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emf" ContentType="image/x-e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drawings/drawing28.xml" ContentType="application/vnd.openxmlformats-officedocument.drawingml.chartshapes+xml"/>
  <Override PartName="/xl/drawings/drawing27.xml" ContentType="application/vnd.openxmlformats-officedocument.drawingml.chartshapes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worksheets/sheet32.xml" ContentType="application/vnd.openxmlformats-officedocument.spreadsheetml.worksheet+xml"/>
  <Override PartName="/xl/worksheets/sheet33.xml" ContentType="application/vnd.openxmlformats-officedocument.spreadsheetml.worksheet+xml"/>
  <Override PartName="/xl/worksheets/sheet34.xml" ContentType="application/vnd.openxmlformats-officedocument.spreadsheetml.worksheet+xml"/>
  <Override PartName="/xl/worksheets/sheet35.xml" ContentType="application/vnd.openxmlformats-officedocument.spreadsheetml.worksheet+xml"/>
  <Override PartName="/xl/worksheets/sheet36.xml" ContentType="application/vnd.openxmlformats-officedocument.spreadsheetml.worksheet+xml"/>
  <Override PartName="/xl/worksheets/sheet37.xml" ContentType="application/vnd.openxmlformats-officedocument.spreadsheetml.worksheet+xml"/>
  <Override PartName="/xl/worksheets/sheet38.xml" ContentType="application/vnd.openxmlformats-officedocument.spreadsheetml.worksheet+xml"/>
  <Override PartName="/xl/worksheets/sheet39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drawings/drawing4.xml" ContentType="application/vnd.openxmlformats-officedocument.drawing+xml"/>
  <Override PartName="/xl/drawings/drawing5.xml" ContentType="application/vnd.openxmlformats-officedocument.drawing+xml"/>
  <Override PartName="/xl/drawings/drawing6.xml" ContentType="application/vnd.openxmlformats-officedocument.drawing+xml"/>
  <Override PartName="/xl/drawings/drawing7.xml" ContentType="application/vnd.openxmlformats-officedocument.drawing+xml"/>
  <Override PartName="/xl/drawings/drawing8.xml" ContentType="application/vnd.openxmlformats-officedocument.drawing+xml"/>
  <Override PartName="/xl/charts/chart1.xml" ContentType="application/vnd.openxmlformats-officedocument.drawingml.chart+xml"/>
  <Override PartName="/xl/drawings/drawing9.xml" ContentType="application/vnd.openxmlformats-officedocument.drawing+xml"/>
  <Override PartName="/xl/charts/chart2.xml" ContentType="application/vnd.openxmlformats-officedocument.drawingml.chart+xml"/>
  <Override PartName="/xl/charts/chart3.xml" ContentType="application/vnd.openxmlformats-officedocument.drawingml.chart+xml"/>
  <Override PartName="/xl/charts/chart4.xml" ContentType="application/vnd.openxmlformats-officedocument.drawingml.chart+xml"/>
  <Override PartName="/xl/charts/chart5.xml" ContentType="application/vnd.openxmlformats-officedocument.drawingml.chart+xml"/>
  <Override PartName="/xl/charts/chart6.xml" ContentType="application/vnd.openxmlformats-officedocument.drawingml.chart+xml"/>
  <Override PartName="/xl/charts/chart7.xml" ContentType="application/vnd.openxmlformats-officedocument.drawingml.chart+xml"/>
  <Override PartName="/xl/charts/chart8.xml" ContentType="application/vnd.openxmlformats-officedocument.drawingml.chart+xml"/>
  <Override PartName="/xl/charts/chart9.xml" ContentType="application/vnd.openxmlformats-officedocument.drawingml.chart+xml"/>
  <Override PartName="/xl/charts/chart10.xml" ContentType="application/vnd.openxmlformats-officedocument.drawingml.chart+xml"/>
  <Override PartName="/xl/drawings/drawing10.xml" ContentType="application/vnd.openxmlformats-officedocument.drawing+xml"/>
  <Override PartName="/xl/drawings/drawing11.xml" ContentType="application/vnd.openxmlformats-officedocument.drawing+xml"/>
  <Override PartName="/xl/drawings/drawing12.xml" ContentType="application/vnd.openxmlformats-officedocument.drawing+xml"/>
  <Override PartName="/xl/drawings/drawing13.xml" ContentType="application/vnd.openxmlformats-officedocument.drawing+xml"/>
  <Override PartName="/xl/drawings/drawing14.xml" ContentType="application/vnd.openxmlformats-officedocument.drawing+xml"/>
  <Override PartName="/xl/drawings/drawing15.xml" ContentType="application/vnd.openxmlformats-officedocument.drawing+xml"/>
  <Override PartName="/xl/drawings/drawing16.xml" ContentType="application/vnd.openxmlformats-officedocument.drawing+xml"/>
  <Override PartName="/xl/drawings/drawing17.xml" ContentType="application/vnd.openxmlformats-officedocument.drawing+xml"/>
  <Override PartName="/xl/charts/chart11.xml" ContentType="application/vnd.openxmlformats-officedocument.drawingml.chart+xml"/>
  <Override PartName="/xl/charts/chart12.xml" ContentType="application/vnd.openxmlformats-officedocument.drawingml.chart+xml"/>
  <Override PartName="/xl/charts/chart13.xml" ContentType="application/vnd.openxmlformats-officedocument.drawingml.chart+xml"/>
  <Override PartName="/xl/drawings/drawing18.xml" ContentType="application/vnd.openxmlformats-officedocument.drawing+xml"/>
  <Override PartName="/xl/charts/chart14.xml" ContentType="application/vnd.openxmlformats-officedocument.drawingml.chart+xml"/>
  <Override PartName="/xl/charts/chart15.xml" ContentType="application/vnd.openxmlformats-officedocument.drawingml.chart+xml"/>
  <Override PartName="/xl/charts/chart16.xml" ContentType="application/vnd.openxmlformats-officedocument.drawingml.chart+xml"/>
  <Override PartName="/xl/charts/chart17.xml" ContentType="application/vnd.openxmlformats-officedocument.drawingml.chart+xml"/>
  <Override PartName="/xl/charts/chart18.xml" ContentType="application/vnd.openxmlformats-officedocument.drawingml.chart+xml"/>
  <Override PartName="/xl/charts/chart19.xml" ContentType="application/vnd.openxmlformats-officedocument.drawingml.chart+xml"/>
  <Override PartName="/xl/charts/chart20.xml" ContentType="application/vnd.openxmlformats-officedocument.drawingml.chart+xml"/>
  <Override PartName="/xl/charts/chart21.xml" ContentType="application/vnd.openxmlformats-officedocument.drawingml.chart+xml"/>
  <Override PartName="/xl/charts/chart22.xml" ContentType="application/vnd.openxmlformats-officedocument.drawingml.chart+xml"/>
  <Override PartName="/xl/charts/chart23.xml" ContentType="application/vnd.openxmlformats-officedocument.drawingml.chart+xml"/>
  <Override PartName="/xl/charts/chart24.xml" ContentType="application/vnd.openxmlformats-officedocument.drawingml.chart+xml"/>
  <Override PartName="/xl/charts/chart25.xml" ContentType="application/vnd.openxmlformats-officedocument.drawingml.chart+xml"/>
  <Override PartName="/xl/charts/chart26.xml" ContentType="application/vnd.openxmlformats-officedocument.drawingml.chart+xml"/>
  <Override PartName="/xl/charts/chart27.xml" ContentType="application/vnd.openxmlformats-officedocument.drawingml.chart+xml"/>
  <Override PartName="/xl/drawings/drawing19.xml" ContentType="application/vnd.openxmlformats-officedocument.drawing+xml"/>
  <Override PartName="/xl/charts/chart28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9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30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harts/chart31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drawings/drawing20.xml" ContentType="application/vnd.openxmlformats-officedocument.drawing+xml"/>
  <Override PartName="/xl/charts/chart32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drawings/drawing26.xml" ContentType="application/vnd.openxmlformats-officedocument.drawing+xml"/>
  <Override PartName="/xl/drawings/drawing21.xml" ContentType="application/vnd.openxmlformats-officedocument.drawing+xml"/>
  <Override PartName="/xl/charts/chart33.xml" ContentType="application/vnd.openxmlformats-officedocument.drawingml.chart+xml"/>
  <Override PartName="/xl/charts/style6.xml" ContentType="application/vnd.ms-office.chartstyle+xml"/>
  <Override PartName="/xl/charts/colors6.xml" ContentType="application/vnd.ms-office.chartcolorstyle+xml"/>
  <Override PartName="/xl/charts/chart34.xml" ContentType="application/vnd.openxmlformats-officedocument.drawingml.chart+xml"/>
  <Override PartName="/xl/charts/style7.xml" ContentType="application/vnd.ms-office.chartstyle+xml"/>
  <Override PartName="/xl/charts/colors7.xml" ContentType="application/vnd.ms-office.chartcolorstyle+xml"/>
  <Override PartName="/xl/charts/chart35.xml" ContentType="application/vnd.openxmlformats-officedocument.drawingml.chart+xml"/>
  <Override PartName="/xl/charts/style8.xml" ContentType="application/vnd.ms-office.chartstyle+xml"/>
  <Override PartName="/xl/charts/colors8.xml" ContentType="application/vnd.ms-office.chartcolorstyle+xml"/>
  <Override PartName="/xl/drawings/drawing22.xml" ContentType="application/vnd.openxmlformats-officedocument.drawing+xml"/>
  <Override PartName="/xl/drawings/drawing23.xml" ContentType="application/vnd.openxmlformats-officedocument.drawing+xml"/>
  <Override PartName="/xl/charts/chart36.xml" ContentType="application/vnd.openxmlformats-officedocument.drawingml.chart+xml"/>
  <Override PartName="/xl/charts/chart37.xml" ContentType="application/vnd.openxmlformats-officedocument.drawingml.chart+xml"/>
  <Override PartName="/xl/drawings/drawing24.xml" ContentType="application/vnd.openxmlformats-officedocument.drawing+xml"/>
  <Override PartName="/xl/charts/chart38.xml" ContentType="application/vnd.openxmlformats-officedocument.drawingml.chart+xml"/>
  <Override PartName="/xl/charts/chart39.xml" ContentType="application/vnd.openxmlformats-officedocument.drawingml.chart+xml"/>
  <Override PartName="/xl/charts/chart40.xml" ContentType="application/vnd.openxmlformats-officedocument.drawingml.chart+xml"/>
  <Override PartName="/xl/charts/chart41.xml" ContentType="application/vnd.openxmlformats-officedocument.drawingml.chart+xml"/>
  <Override PartName="/xl/charts/chart42.xml" ContentType="application/vnd.openxmlformats-officedocument.drawingml.chart+xml"/>
  <Override PartName="/xl/charts/chart43.xml" ContentType="application/vnd.openxmlformats-officedocument.drawingml.chart+xml"/>
  <Override PartName="/xl/charts/chart44.xml" ContentType="application/vnd.openxmlformats-officedocument.drawingml.chart+xml"/>
  <Override PartName="/xl/charts/chart45.xml" ContentType="application/vnd.openxmlformats-officedocument.drawingml.chart+xml"/>
  <Override PartName="/xl/charts/chart46.xml" ContentType="application/vnd.openxmlformats-officedocument.drawingml.chart+xml"/>
  <Override PartName="/xl/charts/chart47.xml" ContentType="application/vnd.openxmlformats-officedocument.drawingml.chart+xml"/>
  <Override PartName="/xl/charts/chart48.xml" ContentType="application/vnd.openxmlformats-officedocument.drawingml.chart+xml"/>
  <Override PartName="/xl/drawings/drawing25.xml" ContentType="application/vnd.openxmlformats-officedocument.drawing+xml"/>
  <Override PartName="/xl/charts/chart49.xml" ContentType="application/vnd.openxmlformats-officedocument.drawingml.chart+xml"/>
  <Override PartName="/xl/charts/chart50.xml" ContentType="application/vnd.openxmlformats-officedocument.drawingml.chart+xml"/>
  <Override PartName="/xl/drawings/drawing29.xml" ContentType="application/vnd.openxmlformats-officedocument.drawing+xml"/>
  <Override PartName="/xl/drawings/drawing30.xml" ContentType="application/vnd.openxmlformats-officedocument.drawing+xml"/>
  <Override PartName="/xl/drawings/drawing31.xml" ContentType="application/vnd.openxmlformats-officedocument.drawing+xml"/>
  <Override PartName="/xl/vbaProject.bin" ContentType="application/vnd.ms-office.vbaProject"/>
  <Override PartName="/xl/externalLinks/externalLink1.xml" ContentType="application/vnd.openxmlformats-officedocument.spreadsheetml.externalLink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  <Override PartName="/customXml/itemProps2.xml" ContentType="application/vnd.openxmlformats-officedocument.customXmlProperties+xml"/>
  <Override PartName="/customXml/itemProps1.xml" ContentType="application/vnd.openxmlformats-officedocument.customXmlProperties+xml"/>
  <Override PartName="/customXml/itemProps3.xml" ContentType="application/vnd.openxmlformats-officedocument.customXml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6130" codeName="{AE6600E7-7A62-396C-DE95-9942FA9DD81E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M:\IE\Projects\Nuffield via NFER AI and automation\Data\Results\Workbooks\LSIPs\LI_LSIP\"/>
    </mc:Choice>
  </mc:AlternateContent>
  <xr:revisionPtr revIDLastSave="0" documentId="13_ncr:1_{5E8E69F2-AEB3-4674-BF42-6B006365C6D9}" xr6:coauthVersionLast="47" xr6:coauthVersionMax="47" xr10:uidLastSave="{00000000-0000-0000-0000-000000000000}"/>
  <bookViews>
    <workbookView xWindow="0" yWindow="0" windowWidth="10350" windowHeight="6390" tabRatio="880" firstSheet="1" activeTab="1" xr2:uid="{00000000-000D-0000-FFFF-FFFF00000000}"/>
  </bookViews>
  <sheets>
    <sheet name="Stored" sheetId="8" state="hidden" r:id="rId1"/>
    <sheet name="Warning" sheetId="100" r:id="rId2"/>
    <sheet name="Info" sheetId="50" r:id="rId3"/>
    <sheet name="Manager" sheetId="13" r:id="rId4"/>
    <sheet name="Contents" sheetId="99" r:id="rId5"/>
    <sheet name="Ind T1" sheetId="11" r:id="rId6"/>
    <sheet name="Ind T2" sheetId="12" r:id="rId7"/>
    <sheet name="Ind T4" sheetId="15" r:id="rId8"/>
    <sheet name="Ind T5" sheetId="104" r:id="rId9"/>
    <sheet name="Ind T6" sheetId="102" r:id="rId10"/>
    <sheet name="Ind F1" sheetId="19" r:id="rId11"/>
    <sheet name="Ind F2" sheetId="21" r:id="rId12"/>
    <sheet name="Ind Occ T1" sheetId="101" r:id="rId13"/>
    <sheet name="Ind Occ T2" sheetId="103" r:id="rId14"/>
    <sheet name="Occ T1" sheetId="16" r:id="rId15"/>
    <sheet name="Occ T2" sheetId="71" r:id="rId16"/>
    <sheet name="Occ T3" sheetId="18" r:id="rId17"/>
    <sheet name="Occ T4" sheetId="105" r:id="rId18"/>
    <sheet name="Occ T5" sheetId="109" r:id="rId19"/>
    <sheet name="Occ F1" sheetId="75" r:id="rId20"/>
    <sheet name="Occ F2" sheetId="76" r:id="rId21"/>
    <sheet name="Occ F3" sheetId="106" r:id="rId22"/>
    <sheet name="Occ F4" sheetId="107" r:id="rId23"/>
    <sheet name="Occ F5" sheetId="108" r:id="rId24"/>
    <sheet name="Qual T1" sheetId="44" r:id="rId25"/>
    <sheet name="Qual F1" sheetId="51" r:id="rId26"/>
    <sheet name="SummaryTable12" sheetId="62" state="veryHidden" r:id="rId27"/>
    <sheet name="ShiftShare T1" sheetId="80" r:id="rId28"/>
    <sheet name="RD T1" sheetId="49" r:id="rId29"/>
    <sheet name="RD F1" sheetId="31" r:id="rId30"/>
    <sheet name="Basic T1" sheetId="52" r:id="rId31"/>
    <sheet name="Basic T2" sheetId="78" r:id="rId32"/>
    <sheet name="Basic T3" sheetId="79" r:id="rId33"/>
    <sheet name="BasicTable5" sheetId="60" state="veryHidden" r:id="rId34"/>
    <sheet name="ShiftShare2" sheetId="83" state="veryHidden" r:id="rId35"/>
    <sheet name="SupplyBasicTable2" sheetId="93" state="veryHidden" r:id="rId36"/>
    <sheet name="name" sheetId="2" r:id="rId37"/>
    <sheet name="aggregation" sheetId="5" r:id="rId38"/>
    <sheet name="AggregationTables" sheetId="46" r:id="rId39"/>
  </sheets>
  <externalReferences>
    <externalReference r:id="rId40"/>
  </externalReferences>
  <definedNames>
    <definedName name="_Fill" localSheetId="33">#REF!</definedName>
    <definedName name="_Fill" localSheetId="13" hidden="1">#REF!</definedName>
    <definedName name="_Fill" localSheetId="34">#REF!</definedName>
    <definedName name="_Fill" localSheetId="26">#REF!</definedName>
    <definedName name="chart22" localSheetId="34">'[1]Chapter 2 - Charts'!$D$71:$N$108</definedName>
    <definedName name="chart31" localSheetId="34">'[1]Chapter 3 - Charts'!$D$27:$O$60</definedName>
    <definedName name="chart32" localSheetId="34">'[1]Chapter 3 - Charts'!$D$74:$O$106</definedName>
    <definedName name="chart33" localSheetId="34">'[1]Chapter 3 - Charts'!$D$117:$Z$153</definedName>
    <definedName name="chart34" localSheetId="34">'[1]Chapter 3 - Charts'!$D$598:$Y$629</definedName>
    <definedName name="Chart42" localSheetId="34">'[1]Chapter 4 - Charts'!$D$25:$N$62</definedName>
    <definedName name="Chart43" localSheetId="34">'[1]Chapter 4 - Charts'!$D$71:$N$108</definedName>
    <definedName name="Chart43_b" localSheetId="34">'[1]Chapter 4 - Charts'!$D$216:$N$260</definedName>
    <definedName name="Chart44" localSheetId="34">'[1]Chapter 4 - Charts'!$D$118:$N$155</definedName>
    <definedName name="Chart44_b" localSheetId="34">'[1]Chapter 4 - Charts'!$D$165:$N$209</definedName>
    <definedName name="Chart44_b_a" localSheetId="34">'[1]Chapter 4 - Charts'!$D$267:$N$311</definedName>
    <definedName name="Chart51" localSheetId="34">'[1]Chapter 5 - Charts'!$D$25:$N$62</definedName>
    <definedName name="Chart52" localSheetId="34">'[1]Chapter 5 - Charts'!$D$71:$N$108</definedName>
    <definedName name="Chart52_b" localSheetId="34">'[1]Chapter 5 - Charts'!$D$118:$N$153</definedName>
    <definedName name="Chart53" localSheetId="34">'[1]Chapter 5 - Charts'!$D$530:$N$567</definedName>
    <definedName name="Chart71" localSheetId="34">'[1]Chapter 7 - Charts'!$D$25:$N$60</definedName>
    <definedName name="Chart710" localSheetId="34">'[1]Chapter 7 - Charts'!$D$843:$N$878</definedName>
    <definedName name="Chart710_b" localSheetId="34">'[1]Chapter 7 - Charts'!$D$886:$N$921</definedName>
    <definedName name="Chart711" localSheetId="34">'[1]Chapter 7 - Charts'!$D$931:$N$966</definedName>
    <definedName name="Chart711_b" localSheetId="34">'[1]Chapter 7 - Charts'!$D$976:$N$1011</definedName>
    <definedName name="Chart712" localSheetId="34">'[1]Chapter 7 - Charts'!$D$1021:$N$1056</definedName>
    <definedName name="Chart712_b" localSheetId="34">'[1]Chapter 7 - Charts'!$D$1065:$N$1100</definedName>
    <definedName name="Chart712_c" localSheetId="34">'[1]Chapter 7 - Charts'!$D$1110:$N$1145</definedName>
    <definedName name="Chart72" localSheetId="34">'[1]Chapter 7 - Charts'!$D$67:$N$102</definedName>
    <definedName name="Chart75" localSheetId="34">'[1]Chapter 7 - Charts'!$D$454:$N$489</definedName>
    <definedName name="Chart76" localSheetId="34">'[1]Chapter 7 - Charts'!$D$366:$N$401</definedName>
    <definedName name="Chart76_b" localSheetId="34">'[1]Chapter 7 - Charts'!$D$499:$N$534</definedName>
    <definedName name="Chart77" localSheetId="34">'[1]Chapter 7 - Charts'!$D$410:$N$445</definedName>
    <definedName name="Chart77_b" localSheetId="34">'[1]Chapter 7 - Charts'!$D$543:$N$578</definedName>
    <definedName name="colourboard" localSheetId="34">[1]Contents!$I$6:$M$30</definedName>
    <definedName name="_xlnm.Print_Area" localSheetId="30">'Basic T1'!$A$1:$AN$101</definedName>
    <definedName name="_xlnm.Print_Area" localSheetId="31">'Basic T2'!$A$1:$CT$146</definedName>
    <definedName name="_xlnm.Print_Area" localSheetId="32">'Basic T3'!$A$1:$AG$35</definedName>
    <definedName name="_xlnm.Print_Area" localSheetId="33">BasicTable5!$1:$96</definedName>
    <definedName name="_xlnm.Print_Area" localSheetId="10">'Ind F1'!$A:$J</definedName>
    <definedName name="_xlnm.Print_Area" localSheetId="11">'Ind F2'!$A:$J</definedName>
    <definedName name="_xlnm.Print_Area" localSheetId="12">'Ind Occ T1'!$A$1:$L$393</definedName>
    <definedName name="_xlnm.Print_Area" localSheetId="13">'Ind Occ T2'!$A$1:$O$393</definedName>
    <definedName name="_xlnm.Print_Area" localSheetId="5">'Ind T1'!$A$1:$S$52</definedName>
    <definedName name="_xlnm.Print_Area" localSheetId="6">'Ind T2'!$A$1:$G$113</definedName>
    <definedName name="_xlnm.Print_Area" localSheetId="7">'Ind T4'!$A$1:$L$123</definedName>
    <definedName name="_xlnm.Print_Area" localSheetId="8">'Ind T5'!$A$1:$N$508</definedName>
    <definedName name="_xlnm.Print_Area" localSheetId="9">'Ind T6'!$A$1:$Y$199</definedName>
    <definedName name="_xlnm.Print_Area" localSheetId="3">Manager!$A$1:$O$18</definedName>
    <definedName name="_xlnm.Print_Area" localSheetId="19">'Occ F1'!$A$1:$K$185</definedName>
    <definedName name="_xlnm.Print_Area" localSheetId="20">'Occ F2'!$A:$J</definedName>
    <definedName name="_xlnm.Print_Area" localSheetId="21">'Occ F3'!$A$1:$S$29</definedName>
    <definedName name="_xlnm.Print_Area" localSheetId="22">'Occ F4'!$A$1:$J$38</definedName>
    <definedName name="_xlnm.Print_Area" localSheetId="23">'Occ F5'!$A$1:$J$116</definedName>
    <definedName name="_xlnm.Print_Area" localSheetId="14">'Occ T1'!$A$1:$AF$90</definedName>
    <definedName name="_xlnm.Print_Area" localSheetId="15">'Occ T2'!$A$1:$AG$180</definedName>
    <definedName name="_xlnm.Print_Area" localSheetId="16">'Occ T3'!$A$1:$L$103</definedName>
    <definedName name="_xlnm.Print_Area" localSheetId="17">'Occ T4'!$A$1:$U$37</definedName>
    <definedName name="_xlnm.Print_Area" localSheetId="18">'Occ T5'!$A$1:$AU$54</definedName>
    <definedName name="_xlnm.Print_Area" localSheetId="25">'Qual F1'!$A:$J</definedName>
    <definedName name="_xlnm.Print_Area" localSheetId="24">'Qual T1'!$A$1:$F$57</definedName>
    <definedName name="_xlnm.Print_Area" localSheetId="29">'RD F1'!$A:$N</definedName>
    <definedName name="_xlnm.Print_Area" localSheetId="28">'RD T1'!$A$1:$H$294,'RD T1'!$I$1:$O$117,'RD T1'!$P$1:$V$62,'RD T1'!$X$1:$AD$29</definedName>
    <definedName name="_xlnm.Print_Area" localSheetId="27">'ShiftShare T1'!$A$1:$R$71</definedName>
    <definedName name="_xlnm.Print_Titles" localSheetId="32">'Basic T3'!$A:$A</definedName>
    <definedName name="_xlnm.Print_Titles" localSheetId="26">SummaryTable12!$1:$6</definedName>
    <definedName name="thecontents" localSheetId="34">[1]Contents!$A$1:$N$1</definedName>
    <definedName name="Total79" localSheetId="34">'[1]Chapter 5 - Charts'!$AJ$75:$AJ$85</definedName>
    <definedName name="Total98" localSheetId="34">'[1]Chapter 5 - Charts'!$AK$75:$AK$85</definedName>
    <definedName name="wshNames">RIGHT(GET.WORKBOOK(1),LEN(GET.WORKBOOK(1))-FIND("]",GET.WORKBOOK(1)))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N51" i="76" l="1"/>
  <c r="O51" i="76"/>
  <c r="P51" i="76"/>
  <c r="Q51" i="76"/>
  <c r="R51" i="76"/>
  <c r="S51" i="76"/>
  <c r="T51" i="76"/>
  <c r="U51" i="76"/>
  <c r="V51" i="76"/>
  <c r="W51" i="76"/>
  <c r="X51" i="76"/>
  <c r="Y51" i="76"/>
  <c r="Z51" i="76"/>
  <c r="AA51" i="76"/>
  <c r="AB51" i="76"/>
  <c r="AC51" i="76"/>
  <c r="AD51" i="76"/>
  <c r="AE51" i="76"/>
  <c r="AF51" i="76"/>
  <c r="AG51" i="76"/>
  <c r="AH51" i="76"/>
  <c r="AI51" i="76"/>
  <c r="AJ51" i="76"/>
  <c r="AK51" i="76"/>
  <c r="AL51" i="76"/>
  <c r="M51" i="76"/>
  <c r="O9" i="105"/>
  <c r="O10" i="105"/>
  <c r="O11" i="105"/>
  <c r="O12" i="105"/>
  <c r="O13" i="105"/>
  <c r="O14" i="105"/>
  <c r="O15" i="105"/>
  <c r="O16" i="105"/>
  <c r="O17" i="105"/>
  <c r="O18" i="105"/>
  <c r="O19" i="105"/>
  <c r="O20" i="105"/>
  <c r="O21" i="105"/>
  <c r="O22" i="105"/>
  <c r="O23" i="105"/>
  <c r="O24" i="105"/>
  <c r="O25" i="105"/>
  <c r="O26" i="105"/>
  <c r="O27" i="105"/>
  <c r="O28" i="105"/>
  <c r="O29" i="105"/>
  <c r="O30" i="105"/>
  <c r="O31" i="105"/>
  <c r="O32" i="105"/>
  <c r="O33" i="105"/>
  <c r="O34" i="105"/>
  <c r="F91" i="12"/>
  <c r="F92" i="12"/>
  <c r="F93" i="12"/>
  <c r="F94" i="12"/>
  <c r="F95" i="12"/>
  <c r="F96" i="12"/>
  <c r="F97" i="12"/>
  <c r="F98" i="12"/>
  <c r="F99" i="12"/>
  <c r="F100" i="12"/>
  <c r="F101" i="12"/>
  <c r="F102" i="12"/>
  <c r="F103" i="12"/>
  <c r="F104" i="12"/>
  <c r="F105" i="12"/>
  <c r="F106" i="12"/>
  <c r="F107" i="12"/>
  <c r="F108" i="12"/>
  <c r="F109" i="12"/>
  <c r="F110" i="12"/>
  <c r="F111" i="12"/>
  <c r="F90" i="12"/>
  <c r="F89" i="12"/>
  <c r="F64" i="12"/>
  <c r="F65" i="12"/>
  <c r="F66" i="12"/>
  <c r="F67" i="12"/>
  <c r="F68" i="12"/>
  <c r="F69" i="12"/>
  <c r="F70" i="12"/>
  <c r="F71" i="12"/>
  <c r="F72" i="12"/>
  <c r="F73" i="12"/>
  <c r="F74" i="12"/>
  <c r="F75" i="12"/>
  <c r="F76" i="12"/>
  <c r="F77" i="12"/>
  <c r="F78" i="12"/>
  <c r="F79" i="12"/>
  <c r="F80" i="12"/>
  <c r="F81" i="12"/>
  <c r="F82" i="12"/>
  <c r="F83" i="12"/>
  <c r="F84" i="12"/>
  <c r="F63" i="12"/>
  <c r="F61" i="12"/>
  <c r="AL45" i="76"/>
  <c r="AK45" i="76"/>
  <c r="AJ45" i="76"/>
  <c r="AI45" i="76"/>
  <c r="AH45" i="76"/>
  <c r="AG45" i="76"/>
  <c r="AF45" i="76"/>
  <c r="AE45" i="76"/>
  <c r="AD45" i="76"/>
  <c r="AC45" i="76"/>
  <c r="AB45" i="76"/>
  <c r="AA45" i="76"/>
  <c r="Z45" i="76"/>
  <c r="Y45" i="76"/>
  <c r="X45" i="76"/>
  <c r="W45" i="76"/>
  <c r="V45" i="76"/>
  <c r="U45" i="76"/>
  <c r="T45" i="76"/>
  <c r="S45" i="76"/>
  <c r="R45" i="76"/>
  <c r="Q45" i="76"/>
  <c r="P45" i="76"/>
  <c r="O45" i="76"/>
  <c r="N45" i="76"/>
  <c r="M45" i="76"/>
  <c r="AL41" i="76"/>
  <c r="AK41" i="76"/>
  <c r="AJ41" i="76"/>
  <c r="AI41" i="76"/>
  <c r="AH41" i="76"/>
  <c r="AG41" i="76"/>
  <c r="AF41" i="76"/>
  <c r="AE41" i="76"/>
  <c r="AD41" i="76"/>
  <c r="AC41" i="76"/>
  <c r="AB41" i="76"/>
  <c r="AA41" i="76"/>
  <c r="Z41" i="76"/>
  <c r="Y41" i="76"/>
  <c r="X41" i="76"/>
  <c r="W41" i="76"/>
  <c r="V41" i="76"/>
  <c r="U41" i="76"/>
  <c r="T41" i="76"/>
  <c r="S41" i="76"/>
  <c r="R41" i="76"/>
  <c r="Q41" i="76"/>
  <c r="P41" i="76"/>
  <c r="O41" i="76"/>
  <c r="N41" i="76"/>
  <c r="M41" i="76"/>
  <c r="N37" i="76"/>
  <c r="O37" i="76"/>
  <c r="P37" i="76"/>
  <c r="Q37" i="76"/>
  <c r="R37" i="76"/>
  <c r="S37" i="76"/>
  <c r="T37" i="76"/>
  <c r="U37" i="76"/>
  <c r="V37" i="76"/>
  <c r="W37" i="76"/>
  <c r="X37" i="76"/>
  <c r="Y37" i="76"/>
  <c r="Z37" i="76"/>
  <c r="AA37" i="76"/>
  <c r="AB37" i="76"/>
  <c r="AC37" i="76"/>
  <c r="AD37" i="76"/>
  <c r="AE37" i="76"/>
  <c r="AF37" i="76"/>
  <c r="AG37" i="76"/>
  <c r="AH37" i="76"/>
  <c r="AI37" i="76"/>
  <c r="AJ37" i="76"/>
  <c r="AK37" i="76"/>
  <c r="AL37" i="76"/>
  <c r="M37" i="76"/>
  <c r="A1" i="52"/>
  <c r="X1" i="49"/>
  <c r="P1" i="49"/>
  <c r="I1" i="49"/>
  <c r="A1" i="49"/>
  <c r="AK1" i="80"/>
  <c r="W1" i="80"/>
  <c r="A51" i="51"/>
  <c r="Q1" i="109"/>
  <c r="A1" i="109"/>
  <c r="A1" i="105"/>
  <c r="A1" i="71"/>
  <c r="A1" i="103"/>
  <c r="A1" i="101"/>
  <c r="A1" i="102"/>
  <c r="A1" i="12"/>
  <c r="W46" i="109"/>
  <c r="AR5" i="109"/>
  <c r="AM5" i="109"/>
  <c r="AH5" i="109"/>
  <c r="AB5" i="109"/>
  <c r="W5" i="109"/>
  <c r="R5" i="109"/>
  <c r="AG1" i="109" s="1"/>
  <c r="B82" i="71"/>
  <c r="Q10" i="105"/>
  <c r="R10" i="105"/>
  <c r="Q11" i="105"/>
  <c r="R11" i="105"/>
  <c r="Q12" i="105"/>
  <c r="R12" i="105"/>
  <c r="Q13" i="105"/>
  <c r="R13" i="105"/>
  <c r="Q14" i="105"/>
  <c r="R14" i="105"/>
  <c r="Q15" i="105"/>
  <c r="R15" i="105"/>
  <c r="Q16" i="105"/>
  <c r="R16" i="105"/>
  <c r="Q17" i="105"/>
  <c r="R17" i="105"/>
  <c r="Q18" i="105"/>
  <c r="R18" i="105"/>
  <c r="Q19" i="105"/>
  <c r="R19" i="105"/>
  <c r="Q20" i="105"/>
  <c r="R20" i="105"/>
  <c r="Q21" i="105"/>
  <c r="R21" i="105"/>
  <c r="Q22" i="105"/>
  <c r="R22" i="105"/>
  <c r="Q23" i="105"/>
  <c r="R23" i="105"/>
  <c r="Q24" i="105"/>
  <c r="R24" i="105"/>
  <c r="Q25" i="105"/>
  <c r="R25" i="105"/>
  <c r="Q26" i="105"/>
  <c r="R26" i="105"/>
  <c r="Q27" i="105"/>
  <c r="R27" i="105"/>
  <c r="Q28" i="105"/>
  <c r="R28" i="105"/>
  <c r="Q29" i="105"/>
  <c r="R29" i="105"/>
  <c r="Q30" i="105"/>
  <c r="R30" i="105"/>
  <c r="Q31" i="105"/>
  <c r="R31" i="105"/>
  <c r="Q32" i="105"/>
  <c r="R32" i="105"/>
  <c r="Q33" i="105"/>
  <c r="R33" i="105"/>
  <c r="Q34" i="105"/>
  <c r="R34" i="105"/>
  <c r="R9" i="105"/>
  <c r="Q9" i="105"/>
  <c r="N9" i="105"/>
  <c r="N10" i="105"/>
  <c r="N11" i="105"/>
  <c r="N12" i="105"/>
  <c r="N13" i="105"/>
  <c r="N14" i="105"/>
  <c r="N15" i="105"/>
  <c r="N16" i="105"/>
  <c r="N17" i="105"/>
  <c r="N18" i="105"/>
  <c r="N19" i="105"/>
  <c r="N20" i="105"/>
  <c r="N21" i="105"/>
  <c r="N22" i="105"/>
  <c r="N23" i="105"/>
  <c r="N24" i="105"/>
  <c r="N25" i="105"/>
  <c r="N26" i="105"/>
  <c r="N27" i="105"/>
  <c r="N28" i="105"/>
  <c r="N29" i="105"/>
  <c r="N30" i="105"/>
  <c r="N31" i="105"/>
  <c r="N32" i="105"/>
  <c r="N33" i="105"/>
  <c r="N34" i="105"/>
  <c r="Y6" i="71"/>
  <c r="Z6" i="71"/>
  <c r="AA6" i="71"/>
  <c r="AB6" i="71"/>
  <c r="X6" i="71"/>
  <c r="W1" i="71" s="1"/>
  <c r="N6" i="71"/>
  <c r="O6" i="71"/>
  <c r="P6" i="71"/>
  <c r="Q6" i="71"/>
  <c r="M6" i="71"/>
  <c r="L1" i="71" s="1"/>
  <c r="AE33" i="71"/>
  <c r="S35" i="49"/>
  <c r="T35" i="49"/>
  <c r="U35" i="49"/>
  <c r="D267" i="49"/>
  <c r="E267" i="49"/>
  <c r="F267" i="49"/>
  <c r="D238" i="49"/>
  <c r="E238" i="49"/>
  <c r="F238" i="49"/>
  <c r="D209" i="49"/>
  <c r="E209" i="49"/>
  <c r="F209" i="49"/>
  <c r="D180" i="49"/>
  <c r="E180" i="49"/>
  <c r="F180" i="49"/>
  <c r="D151" i="49"/>
  <c r="E151" i="49"/>
  <c r="F151" i="49"/>
  <c r="D122" i="49"/>
  <c r="E122" i="49"/>
  <c r="F122" i="49"/>
  <c r="B93" i="49"/>
  <c r="B180" i="49" s="1"/>
  <c r="B267" i="49" s="1"/>
  <c r="C93" i="49"/>
  <c r="C180" i="49" s="1"/>
  <c r="C267" i="49" s="1"/>
  <c r="D93" i="49"/>
  <c r="E93" i="49"/>
  <c r="F93" i="49"/>
  <c r="B64" i="49"/>
  <c r="B151" i="49" s="1"/>
  <c r="B238" i="49" s="1"/>
  <c r="C64" i="49"/>
  <c r="C151" i="49" s="1"/>
  <c r="C238" i="49" s="1"/>
  <c r="E64" i="49"/>
  <c r="E35" i="49"/>
  <c r="B35" i="49"/>
  <c r="B122" i="49" s="1"/>
  <c r="B209" i="49" s="1"/>
  <c r="C35" i="49"/>
  <c r="C122" i="49" s="1"/>
  <c r="C209" i="49" s="1"/>
  <c r="E294" i="49"/>
  <c r="C294" i="49"/>
  <c r="B294" i="49"/>
  <c r="E265" i="49"/>
  <c r="C265" i="49"/>
  <c r="B265" i="49"/>
  <c r="E236" i="49"/>
  <c r="C236" i="49"/>
  <c r="B236" i="49"/>
  <c r="E207" i="49"/>
  <c r="C207" i="49"/>
  <c r="B207" i="49"/>
  <c r="E178" i="49"/>
  <c r="C178" i="49"/>
  <c r="B178" i="49"/>
  <c r="E149" i="49"/>
  <c r="C149" i="49"/>
  <c r="B149" i="49"/>
  <c r="E120" i="49"/>
  <c r="C120" i="49"/>
  <c r="B120" i="49"/>
  <c r="E91" i="49"/>
  <c r="C91" i="49"/>
  <c r="B91" i="49"/>
  <c r="AL33" i="21"/>
  <c r="AH33" i="21"/>
  <c r="AI33" i="21"/>
  <c r="AJ33" i="21"/>
  <c r="AK33" i="21"/>
  <c r="AH23" i="21"/>
  <c r="AI23" i="21"/>
  <c r="AJ23" i="21"/>
  <c r="AK23" i="21"/>
  <c r="AL23" i="21"/>
  <c r="AH18" i="21"/>
  <c r="AI18" i="21"/>
  <c r="AJ18" i="21"/>
  <c r="AK18" i="21"/>
  <c r="AL18" i="21"/>
  <c r="AH11" i="21"/>
  <c r="AI11" i="21"/>
  <c r="AJ11" i="21"/>
  <c r="AK11" i="21"/>
  <c r="AL11" i="21"/>
  <c r="AH5" i="21"/>
  <c r="AI5" i="21"/>
  <c r="AJ5" i="21"/>
  <c r="AK5" i="21"/>
  <c r="AL5" i="21"/>
  <c r="L163" i="75"/>
  <c r="L154" i="75"/>
  <c r="L155" i="75"/>
  <c r="L156" i="75"/>
  <c r="L157" i="75"/>
  <c r="L158" i="75"/>
  <c r="L159" i="75"/>
  <c r="L160" i="75"/>
  <c r="L161" i="75"/>
  <c r="L153" i="75"/>
  <c r="Q89" i="71" l="1"/>
  <c r="G120" i="49"/>
  <c r="G236" i="49"/>
  <c r="Z91" i="71"/>
  <c r="G149" i="49"/>
  <c r="G265" i="49"/>
  <c r="G207" i="49"/>
  <c r="G294" i="49"/>
  <c r="G91" i="49"/>
  <c r="G178" i="49"/>
  <c r="R35" i="49"/>
  <c r="Q35" i="49"/>
  <c r="AJ38" i="21"/>
  <c r="AI38" i="21"/>
  <c r="AL38" i="21"/>
  <c r="AK38" i="21"/>
  <c r="AH38" i="21"/>
  <c r="A33" i="79" l="1"/>
  <c r="B33" i="79"/>
  <c r="C33" i="79"/>
  <c r="D33" i="79"/>
  <c r="E33" i="79"/>
  <c r="F33" i="79"/>
  <c r="G33" i="79"/>
  <c r="H33" i="79"/>
  <c r="I33" i="79"/>
  <c r="J33" i="79"/>
  <c r="A144" i="78"/>
  <c r="W144" i="78" s="1"/>
  <c r="AS144" i="78" s="1"/>
  <c r="BO144" i="78" s="1"/>
  <c r="CK144" i="78" s="1"/>
  <c r="B144" i="78"/>
  <c r="C144" i="78"/>
  <c r="D144" i="78"/>
  <c r="E144" i="78"/>
  <c r="F144" i="78"/>
  <c r="M144" i="78"/>
  <c r="N144" i="78"/>
  <c r="O144" i="78"/>
  <c r="P144" i="78"/>
  <c r="Q144" i="78"/>
  <c r="X144" i="78"/>
  <c r="Y144" i="78"/>
  <c r="Z144" i="78"/>
  <c r="AA144" i="78"/>
  <c r="AB144" i="78"/>
  <c r="AI144" i="78"/>
  <c r="AJ144" i="78"/>
  <c r="AK144" i="78"/>
  <c r="AL144" i="78"/>
  <c r="AM144" i="78"/>
  <c r="AT144" i="78"/>
  <c r="AU144" i="78"/>
  <c r="AV144" i="78"/>
  <c r="AW144" i="78"/>
  <c r="AX144" i="78"/>
  <c r="BE144" i="78"/>
  <c r="BF144" i="78"/>
  <c r="BG144" i="78"/>
  <c r="BH144" i="78"/>
  <c r="BI144" i="78"/>
  <c r="BP144" i="78"/>
  <c r="BQ144" i="78"/>
  <c r="BR144" i="78"/>
  <c r="BS144" i="78"/>
  <c r="BT144" i="78"/>
  <c r="CA144" i="78"/>
  <c r="CB144" i="78"/>
  <c r="CC144" i="78"/>
  <c r="CD144" i="78"/>
  <c r="CE144" i="78"/>
  <c r="CL144" i="78"/>
  <c r="CM144" i="78"/>
  <c r="CN144" i="78"/>
  <c r="CO144" i="78"/>
  <c r="CP144" i="78"/>
  <c r="B107" i="78"/>
  <c r="C107" i="78"/>
  <c r="D107" i="78"/>
  <c r="E107" i="78"/>
  <c r="F107" i="78"/>
  <c r="CP35" i="78"/>
  <c r="CP70" i="78" s="1"/>
  <c r="CO35" i="78"/>
  <c r="CO70" i="78" s="1"/>
  <c r="CN35" i="78"/>
  <c r="CN70" i="78" s="1"/>
  <c r="CM35" i="78"/>
  <c r="CM70" i="78" s="1"/>
  <c r="CL35" i="78"/>
  <c r="CL70" i="78" s="1"/>
  <c r="CE35" i="78"/>
  <c r="CE70" i="78" s="1"/>
  <c r="CD35" i="78"/>
  <c r="CD70" i="78" s="1"/>
  <c r="CC35" i="78"/>
  <c r="CC70" i="78" s="1"/>
  <c r="CB35" i="78"/>
  <c r="CB70" i="78" s="1"/>
  <c r="CA35" i="78"/>
  <c r="CA70" i="78" s="1"/>
  <c r="BT35" i="78"/>
  <c r="BT70" i="78" s="1"/>
  <c r="BS35" i="78"/>
  <c r="BS70" i="78" s="1"/>
  <c r="BR35" i="78"/>
  <c r="BR70" i="78" s="1"/>
  <c r="BQ35" i="78"/>
  <c r="BQ70" i="78" s="1"/>
  <c r="BP35" i="78"/>
  <c r="BP70" i="78" s="1"/>
  <c r="BI35" i="78"/>
  <c r="BI70" i="78" s="1"/>
  <c r="BH35" i="78"/>
  <c r="BH70" i="78" s="1"/>
  <c r="BG35" i="78"/>
  <c r="BG70" i="78" s="1"/>
  <c r="BF35" i="78"/>
  <c r="BF70" i="78" s="1"/>
  <c r="BE35" i="78"/>
  <c r="BE70" i="78" s="1"/>
  <c r="AX35" i="78"/>
  <c r="AX70" i="78" s="1"/>
  <c r="AW35" i="78"/>
  <c r="AW70" i="78" s="1"/>
  <c r="AV35" i="78"/>
  <c r="AV70" i="78" s="1"/>
  <c r="AU35" i="78"/>
  <c r="AU70" i="78" s="1"/>
  <c r="AT35" i="78"/>
  <c r="AT70" i="78" s="1"/>
  <c r="AM35" i="78"/>
  <c r="AM70" i="78" s="1"/>
  <c r="AL35" i="78"/>
  <c r="AL70" i="78" s="1"/>
  <c r="AK35" i="78"/>
  <c r="AK70" i="78" s="1"/>
  <c r="AJ35" i="78"/>
  <c r="AJ70" i="78" s="1"/>
  <c r="AI35" i="78"/>
  <c r="AI70" i="78" s="1"/>
  <c r="AB35" i="78"/>
  <c r="AB70" i="78" s="1"/>
  <c r="AA35" i="78"/>
  <c r="AA70" i="78" s="1"/>
  <c r="Z35" i="78"/>
  <c r="Z70" i="78" s="1"/>
  <c r="Y35" i="78"/>
  <c r="Y70" i="78" s="1"/>
  <c r="X35" i="78"/>
  <c r="X70" i="78" s="1"/>
  <c r="Q35" i="78"/>
  <c r="Q70" i="78" s="1"/>
  <c r="P35" i="78"/>
  <c r="P70" i="78" s="1"/>
  <c r="O35" i="78"/>
  <c r="O70" i="78" s="1"/>
  <c r="N35" i="78"/>
  <c r="N70" i="78" s="1"/>
  <c r="M35" i="78"/>
  <c r="M70" i="78" s="1"/>
  <c r="C35" i="78"/>
  <c r="C70" i="78" s="1"/>
  <c r="D35" i="78"/>
  <c r="E35" i="78"/>
  <c r="E70" i="78" s="1"/>
  <c r="F35" i="78"/>
  <c r="F70" i="78" s="1"/>
  <c r="B35" i="78"/>
  <c r="B72" i="78" s="1"/>
  <c r="A33" i="78"/>
  <c r="W33" i="78" s="1"/>
  <c r="AS33" i="78" s="1"/>
  <c r="BO33" i="78" s="1"/>
  <c r="CK33" i="78" s="1"/>
  <c r="H33" i="78"/>
  <c r="H70" i="78" s="1"/>
  <c r="H107" i="78" s="1"/>
  <c r="I33" i="78"/>
  <c r="I70" i="78" s="1"/>
  <c r="S33" i="78"/>
  <c r="S70" i="78" s="1"/>
  <c r="S107" i="78" s="1"/>
  <c r="T33" i="78"/>
  <c r="T70" i="78" s="1"/>
  <c r="AD33" i="78"/>
  <c r="AD70" i="78" s="1"/>
  <c r="AD107" i="78" s="1"/>
  <c r="AE33" i="78"/>
  <c r="AE70" i="78" s="1"/>
  <c r="AO33" i="78"/>
  <c r="AO70" i="78" s="1"/>
  <c r="AO107" i="78" s="1"/>
  <c r="AP33" i="78"/>
  <c r="AP70" i="78" s="1"/>
  <c r="AZ33" i="78"/>
  <c r="BA33" i="78"/>
  <c r="BA70" i="78" s="1"/>
  <c r="BK33" i="78"/>
  <c r="BK70" i="78" s="1"/>
  <c r="BK107" i="78" s="1"/>
  <c r="BL33" i="78"/>
  <c r="BL70" i="78" s="1"/>
  <c r="BV33" i="78"/>
  <c r="BV70" i="78" s="1"/>
  <c r="BV107" i="78" s="1"/>
  <c r="BW33" i="78"/>
  <c r="BW70" i="78" s="1"/>
  <c r="CG33" i="78"/>
  <c r="CG70" i="78" s="1"/>
  <c r="CG107" i="78" s="1"/>
  <c r="CH33" i="78"/>
  <c r="CH70" i="78" s="1"/>
  <c r="CR33" i="78"/>
  <c r="CR70" i="78" s="1"/>
  <c r="CR107" i="78" s="1"/>
  <c r="CS33" i="78"/>
  <c r="CS70" i="78" s="1"/>
  <c r="T33" i="71"/>
  <c r="O62" i="31"/>
  <c r="T62" i="49"/>
  <c r="R62" i="49"/>
  <c r="Q62" i="49"/>
  <c r="P61" i="49"/>
  <c r="S61" i="49"/>
  <c r="U61" i="49" s="1"/>
  <c r="V61" i="49"/>
  <c r="T33" i="49"/>
  <c r="R33" i="49"/>
  <c r="Q33" i="49"/>
  <c r="P32" i="49"/>
  <c r="S32" i="49"/>
  <c r="U32" i="49" s="1"/>
  <c r="V32" i="49"/>
  <c r="M107" i="49" a="1"/>
  <c r="M108" i="49" s="1"/>
  <c r="K107" i="49" a="1"/>
  <c r="K107" i="49" s="1"/>
  <c r="J107" i="49" a="1"/>
  <c r="J107" i="49" s="1"/>
  <c r="M96" i="49" a="1"/>
  <c r="M96" i="49" s="1"/>
  <c r="K96" i="49" a="1"/>
  <c r="K96" i="49" s="1"/>
  <c r="J96" i="49" a="1"/>
  <c r="J97" i="49" s="1"/>
  <c r="M85" i="49" a="1"/>
  <c r="M85" i="49" s="1"/>
  <c r="K85" i="49" a="1"/>
  <c r="K86" i="49" s="1"/>
  <c r="J85" i="49" a="1"/>
  <c r="J86" i="49" s="1"/>
  <c r="M74" i="49" a="1"/>
  <c r="M74" i="49" s="1"/>
  <c r="K74" i="49" a="1"/>
  <c r="K74" i="49" s="1"/>
  <c r="J74" i="49" a="1"/>
  <c r="J74" i="49" s="1"/>
  <c r="M63" i="49" a="1"/>
  <c r="M63" i="49" s="1"/>
  <c r="K63" i="49" a="1"/>
  <c r="K64" i="49" s="1"/>
  <c r="J63" i="49" a="1"/>
  <c r="J63" i="49" s="1"/>
  <c r="M52" i="49" a="1"/>
  <c r="M53" i="49" s="1"/>
  <c r="K52" i="49" a="1"/>
  <c r="K52" i="49" s="1"/>
  <c r="J52" i="49" a="1"/>
  <c r="J52" i="49" s="1"/>
  <c r="M41" i="49" a="1"/>
  <c r="M41" i="49" s="1"/>
  <c r="K41" i="49" a="1"/>
  <c r="K41" i="49" s="1"/>
  <c r="J41" i="49" a="1"/>
  <c r="J41" i="49" s="1"/>
  <c r="M30" i="49" a="1"/>
  <c r="M30" i="49" s="1"/>
  <c r="K30" i="49" a="1"/>
  <c r="K30" i="49" s="1"/>
  <c r="J30" i="49" a="1"/>
  <c r="J30" i="49" s="1"/>
  <c r="M19" i="49" a="1"/>
  <c r="M20" i="49" s="1"/>
  <c r="K19" i="49" a="1"/>
  <c r="K21" i="49" s="1"/>
  <c r="J19" i="49" a="1"/>
  <c r="J19" i="49" s="1"/>
  <c r="B32" i="49"/>
  <c r="C32" i="49"/>
  <c r="E32" i="49"/>
  <c r="I33" i="71" s="1"/>
  <c r="I107" i="71" s="1"/>
  <c r="C31" i="49"/>
  <c r="E31" i="49"/>
  <c r="C62" i="49"/>
  <c r="C33" i="49" s="1"/>
  <c r="E62" i="49"/>
  <c r="B62" i="49"/>
  <c r="D61" i="49"/>
  <c r="F61" i="49" s="1"/>
  <c r="G61" i="49"/>
  <c r="G119" i="49"/>
  <c r="D90" i="49"/>
  <c r="F90" i="49" s="1"/>
  <c r="G90" i="49"/>
  <c r="D119" i="49"/>
  <c r="F119" i="49" s="1"/>
  <c r="D148" i="49"/>
  <c r="F148" i="49" s="1"/>
  <c r="G148" i="49"/>
  <c r="G177" i="49"/>
  <c r="D177" i="49"/>
  <c r="F177" i="49" s="1"/>
  <c r="D206" i="49"/>
  <c r="F206" i="49" s="1"/>
  <c r="G206" i="49"/>
  <c r="D235" i="49"/>
  <c r="F235" i="49" s="1"/>
  <c r="G235" i="49"/>
  <c r="D264" i="49"/>
  <c r="F264" i="49" s="1"/>
  <c r="G264" i="49"/>
  <c r="D293" i="49"/>
  <c r="F293" i="49" s="1"/>
  <c r="G293" i="49"/>
  <c r="A32" i="49"/>
  <c r="A119" i="49" s="1"/>
  <c r="A206" i="49" s="1"/>
  <c r="A293" i="49" s="1"/>
  <c r="E71" i="80"/>
  <c r="F69" i="80" s="1"/>
  <c r="B71" i="80"/>
  <c r="C69" i="80" s="1"/>
  <c r="A69" i="80"/>
  <c r="H69" i="80"/>
  <c r="I69" i="80"/>
  <c r="R69" i="80"/>
  <c r="I33" i="80"/>
  <c r="E35" i="80"/>
  <c r="F33" i="80" s="1"/>
  <c r="B35" i="80"/>
  <c r="C33" i="80" s="1"/>
  <c r="A33" i="80"/>
  <c r="H33" i="80"/>
  <c r="R33" i="80"/>
  <c r="M2" i="51"/>
  <c r="AE32" i="76"/>
  <c r="AF32" i="76"/>
  <c r="AG32" i="76"/>
  <c r="AH32" i="76"/>
  <c r="AI32" i="76"/>
  <c r="AJ32" i="76"/>
  <c r="AK32" i="76"/>
  <c r="AL32" i="76"/>
  <c r="AE26" i="76"/>
  <c r="AF26" i="76"/>
  <c r="AG26" i="76"/>
  <c r="AH26" i="76"/>
  <c r="AI26" i="76"/>
  <c r="AJ26" i="76"/>
  <c r="AK26" i="76"/>
  <c r="AL26" i="76"/>
  <c r="AE22" i="76"/>
  <c r="AF22" i="76"/>
  <c r="AG22" i="76"/>
  <c r="AH22" i="76"/>
  <c r="AI22" i="76"/>
  <c r="AJ22" i="76"/>
  <c r="AK22" i="76"/>
  <c r="AL22" i="76"/>
  <c r="AE15" i="76"/>
  <c r="AF15" i="76"/>
  <c r="AG15" i="76"/>
  <c r="AH15" i="76"/>
  <c r="AI15" i="76"/>
  <c r="AJ15" i="76"/>
  <c r="AK15" i="76"/>
  <c r="AL15" i="76"/>
  <c r="AE9" i="76"/>
  <c r="AF9" i="76"/>
  <c r="AG9" i="76"/>
  <c r="AH9" i="76"/>
  <c r="AI9" i="76"/>
  <c r="AJ9" i="76"/>
  <c r="AK9" i="76"/>
  <c r="AL9" i="76"/>
  <c r="M2" i="76"/>
  <c r="AE5" i="76"/>
  <c r="AF5" i="76"/>
  <c r="AG5" i="76"/>
  <c r="AH5" i="76"/>
  <c r="AI5" i="76"/>
  <c r="AJ5" i="76"/>
  <c r="AK5" i="76"/>
  <c r="AL5" i="76"/>
  <c r="L82" i="76"/>
  <c r="M32" i="76"/>
  <c r="N32" i="76"/>
  <c r="O32" i="76"/>
  <c r="P32" i="76"/>
  <c r="Q32" i="76"/>
  <c r="R32" i="76"/>
  <c r="S32" i="76"/>
  <c r="T32" i="76"/>
  <c r="U32" i="76"/>
  <c r="V32" i="76"/>
  <c r="W32" i="76"/>
  <c r="X32" i="76"/>
  <c r="Y32" i="76"/>
  <c r="Z32" i="76"/>
  <c r="AA32" i="76"/>
  <c r="AB32" i="76"/>
  <c r="AC32" i="76"/>
  <c r="AD32" i="76"/>
  <c r="L35" i="76"/>
  <c r="L107" i="75"/>
  <c r="M107" i="75"/>
  <c r="L21" i="75"/>
  <c r="K36" i="105"/>
  <c r="J36" i="105"/>
  <c r="G36" i="105"/>
  <c r="F36" i="105"/>
  <c r="O36" i="105" s="1"/>
  <c r="C36" i="105"/>
  <c r="B36" i="105"/>
  <c r="A34" i="105"/>
  <c r="D34" i="105"/>
  <c r="H34" i="105"/>
  <c r="L34" i="105"/>
  <c r="A89" i="18"/>
  <c r="AB8" i="16" a="1"/>
  <c r="AB10" i="16" s="1"/>
  <c r="AA8" i="16" a="1"/>
  <c r="AA10" i="16" s="1"/>
  <c r="Z8" i="16" a="1"/>
  <c r="Z10" i="16" s="1"/>
  <c r="Y8" i="16" a="1"/>
  <c r="Y10" i="16" s="1"/>
  <c r="X8" i="16" a="1"/>
  <c r="X10" i="16" s="1"/>
  <c r="Q8" i="16" a="1"/>
  <c r="Q11" i="16" s="1"/>
  <c r="P8" i="16" a="1"/>
  <c r="P8" i="16" s="1"/>
  <c r="O8" i="16" a="1"/>
  <c r="O10" i="16" s="1"/>
  <c r="N8" i="16" a="1"/>
  <c r="N8" i="16" s="1"/>
  <c r="M8" i="16" a="1"/>
  <c r="M10" i="16" s="1"/>
  <c r="F8" i="16" a="1"/>
  <c r="F9" i="16" s="1"/>
  <c r="E8" i="16" a="1"/>
  <c r="E10" i="16" s="1"/>
  <c r="D8" i="16" a="1"/>
  <c r="D8" i="16" s="1"/>
  <c r="C8" i="16" a="1"/>
  <c r="C10" i="16" s="1"/>
  <c r="B8" i="16" a="1"/>
  <c r="B8" i="16" s="1"/>
  <c r="B49" i="18"/>
  <c r="C49" i="18"/>
  <c r="D49" i="18"/>
  <c r="E49" i="18"/>
  <c r="F49" i="18"/>
  <c r="C48" i="18"/>
  <c r="D48" i="18"/>
  <c r="E48" i="18"/>
  <c r="F48" i="18"/>
  <c r="B48" i="18"/>
  <c r="A49" i="18"/>
  <c r="A48" i="18"/>
  <c r="B45" i="18"/>
  <c r="C45" i="18"/>
  <c r="D45" i="18"/>
  <c r="E45" i="18"/>
  <c r="F45" i="18"/>
  <c r="C44" i="18"/>
  <c r="D44" i="18"/>
  <c r="E44" i="18"/>
  <c r="F44" i="18"/>
  <c r="B44" i="18"/>
  <c r="A45" i="18"/>
  <c r="A44" i="18"/>
  <c r="C41" i="18"/>
  <c r="D41" i="18"/>
  <c r="E41" i="18"/>
  <c r="F41" i="18"/>
  <c r="B41" i="18"/>
  <c r="C40" i="18"/>
  <c r="D40" i="18"/>
  <c r="E40" i="18"/>
  <c r="F40" i="18"/>
  <c r="B40" i="18"/>
  <c r="A41" i="18"/>
  <c r="A40" i="18"/>
  <c r="B36" i="18"/>
  <c r="B37" i="18"/>
  <c r="C37" i="18"/>
  <c r="D37" i="18"/>
  <c r="E37" i="18"/>
  <c r="F37" i="18"/>
  <c r="A37" i="18"/>
  <c r="A178" i="71"/>
  <c r="B178" i="71"/>
  <c r="C178" i="71"/>
  <c r="D178" i="71"/>
  <c r="E178" i="71"/>
  <c r="F178" i="71"/>
  <c r="L178" i="71"/>
  <c r="M178" i="71"/>
  <c r="N178" i="71"/>
  <c r="O178" i="71"/>
  <c r="P178" i="71"/>
  <c r="Q178" i="71"/>
  <c r="W178" i="71"/>
  <c r="X178" i="71"/>
  <c r="Y178" i="71"/>
  <c r="Z178" i="71"/>
  <c r="AA178" i="71"/>
  <c r="AB178" i="71"/>
  <c r="X144" i="71"/>
  <c r="Y144" i="71"/>
  <c r="Z144" i="71"/>
  <c r="AA144" i="71"/>
  <c r="AB144" i="71"/>
  <c r="M144" i="71"/>
  <c r="N144" i="71"/>
  <c r="O144" i="71"/>
  <c r="P144" i="71"/>
  <c r="Q144" i="71"/>
  <c r="B144" i="71"/>
  <c r="C144" i="71"/>
  <c r="D144" i="71"/>
  <c r="E144" i="71"/>
  <c r="F144" i="71"/>
  <c r="N107" i="75" s="1"/>
  <c r="B107" i="71"/>
  <c r="C107" i="71"/>
  <c r="D107" i="71"/>
  <c r="E107" i="71"/>
  <c r="F107" i="71"/>
  <c r="M107" i="71"/>
  <c r="N107" i="71"/>
  <c r="O107" i="71"/>
  <c r="P107" i="71"/>
  <c r="Q107" i="71"/>
  <c r="X107" i="71"/>
  <c r="Y107" i="71"/>
  <c r="Z107" i="71"/>
  <c r="AA107" i="71"/>
  <c r="AB107" i="71"/>
  <c r="AB35" i="71"/>
  <c r="AB70" i="71" s="1"/>
  <c r="AA35" i="71"/>
  <c r="AA70" i="71" s="1"/>
  <c r="Z35" i="71"/>
  <c r="Z70" i="71" s="1"/>
  <c r="Y35" i="71"/>
  <c r="Y70" i="71" s="1"/>
  <c r="X35" i="71"/>
  <c r="X70" i="71" s="1"/>
  <c r="W33" i="71"/>
  <c r="W70" i="71" s="1"/>
  <c r="AD33" i="71"/>
  <c r="Q35" i="71"/>
  <c r="P35" i="71"/>
  <c r="P70" i="71" s="1"/>
  <c r="O35" i="71"/>
  <c r="O70" i="71" s="1"/>
  <c r="N35" i="71"/>
  <c r="N70" i="71" s="1"/>
  <c r="M35" i="71"/>
  <c r="M70" i="71" s="1"/>
  <c r="S33" i="71"/>
  <c r="L33" i="71"/>
  <c r="L70" i="71" s="1"/>
  <c r="F35" i="71"/>
  <c r="E35" i="71"/>
  <c r="E70" i="71" s="1"/>
  <c r="D35" i="71"/>
  <c r="C35" i="71"/>
  <c r="C70" i="71" s="1"/>
  <c r="B35" i="71"/>
  <c r="B70" i="71" s="1"/>
  <c r="H33" i="71"/>
  <c r="H70" i="71" s="1"/>
  <c r="H107" i="71" s="1"/>
  <c r="A33" i="71"/>
  <c r="A70" i="71" s="1"/>
  <c r="A11" i="5"/>
  <c r="AB29" i="49"/>
  <c r="Q36" i="105" l="1"/>
  <c r="K37" i="18"/>
  <c r="U34" i="105"/>
  <c r="N36" i="105"/>
  <c r="AI49" i="76"/>
  <c r="AI88" i="76" s="1"/>
  <c r="S33" i="49"/>
  <c r="U33" i="49" s="1"/>
  <c r="R36" i="105"/>
  <c r="T34" i="105"/>
  <c r="M153" i="75"/>
  <c r="K93" i="49"/>
  <c r="M64" i="49"/>
  <c r="H35" i="71"/>
  <c r="H72" i="71" s="1"/>
  <c r="M70" i="49"/>
  <c r="K69" i="80"/>
  <c r="L69" i="80" s="1"/>
  <c r="M109" i="75"/>
  <c r="J100" i="49"/>
  <c r="J34" i="49"/>
  <c r="G32" i="49"/>
  <c r="C35" i="80"/>
  <c r="B146" i="78"/>
  <c r="K33" i="79"/>
  <c r="AF33" i="79" s="1"/>
  <c r="AE49" i="76"/>
  <c r="AE56" i="76" s="1"/>
  <c r="AK49" i="76"/>
  <c r="AK73" i="76" s="1"/>
  <c r="AJ49" i="76"/>
  <c r="AJ56" i="76" s="1"/>
  <c r="AH49" i="76"/>
  <c r="AH79" i="76" s="1"/>
  <c r="AG49" i="76"/>
  <c r="AG73" i="76" s="1"/>
  <c r="AF49" i="76"/>
  <c r="AL49" i="76"/>
  <c r="AL52" i="76" s="1"/>
  <c r="S35" i="71"/>
  <c r="J33" i="71"/>
  <c r="H37" i="18"/>
  <c r="P62" i="31"/>
  <c r="L144" i="78"/>
  <c r="AH144" i="78" s="1"/>
  <c r="BD144" i="78" s="1"/>
  <c r="BZ144" i="78" s="1"/>
  <c r="BB33" i="78"/>
  <c r="BB70" i="78" s="1"/>
  <c r="BB107" i="78" s="1"/>
  <c r="A107" i="78"/>
  <c r="L107" i="78" s="1"/>
  <c r="AH107" i="78" s="1"/>
  <c r="BD107" i="78" s="1"/>
  <c r="BZ107" i="78" s="1"/>
  <c r="B109" i="78"/>
  <c r="CS107" i="78"/>
  <c r="CH107" i="78"/>
  <c r="BW107" i="78"/>
  <c r="BL107" i="78"/>
  <c r="BA107" i="78"/>
  <c r="AP107" i="78"/>
  <c r="AE107" i="78"/>
  <c r="T107" i="78"/>
  <c r="I107" i="78"/>
  <c r="D70" i="78"/>
  <c r="B70" i="78"/>
  <c r="A70" i="78"/>
  <c r="L70" i="78" s="1"/>
  <c r="AH70" i="78" s="1"/>
  <c r="BD70" i="78" s="1"/>
  <c r="BZ70" i="78" s="1"/>
  <c r="AZ70" i="78"/>
  <c r="AZ107" i="78" s="1"/>
  <c r="U33" i="78"/>
  <c r="U70" i="78" s="1"/>
  <c r="U107" i="78" s="1"/>
  <c r="CI33" i="78"/>
  <c r="CI70" i="78" s="1"/>
  <c r="CI107" i="78" s="1"/>
  <c r="L33" i="78"/>
  <c r="AH33" i="78" s="1"/>
  <c r="BD33" i="78" s="1"/>
  <c r="BZ33" i="78" s="1"/>
  <c r="BX33" i="78"/>
  <c r="BX70" i="78" s="1"/>
  <c r="BX107" i="78" s="1"/>
  <c r="AQ33" i="78"/>
  <c r="AQ70" i="78" s="1"/>
  <c r="AQ107" i="78" s="1"/>
  <c r="J33" i="78"/>
  <c r="J70" i="78" s="1"/>
  <c r="J107" i="78" s="1"/>
  <c r="AF33" i="78"/>
  <c r="AF70" i="78" s="1"/>
  <c r="AF107" i="78" s="1"/>
  <c r="CT33" i="78"/>
  <c r="CT70" i="78" s="1"/>
  <c r="CT107" i="78" s="1"/>
  <c r="BM33" i="78"/>
  <c r="BM70" i="78" s="1"/>
  <c r="BM107" i="78" s="1"/>
  <c r="K65" i="49"/>
  <c r="A90" i="49"/>
  <c r="A177" i="49" s="1"/>
  <c r="A264" i="49" s="1"/>
  <c r="M92" i="49"/>
  <c r="K114" i="49"/>
  <c r="K81" i="49"/>
  <c r="J104" i="49"/>
  <c r="M110" i="49"/>
  <c r="F32" i="49"/>
  <c r="A61" i="49"/>
  <c r="A148" i="49" s="1"/>
  <c r="A235" i="49" s="1"/>
  <c r="J37" i="49"/>
  <c r="K63" i="49"/>
  <c r="M68" i="49"/>
  <c r="M91" i="49"/>
  <c r="J103" i="49"/>
  <c r="M107" i="49"/>
  <c r="M27" i="49"/>
  <c r="M37" i="49"/>
  <c r="M81" i="49"/>
  <c r="K92" i="49"/>
  <c r="J96" i="49"/>
  <c r="M26" i="49"/>
  <c r="K37" i="49"/>
  <c r="K90" i="49"/>
  <c r="M103" i="49"/>
  <c r="D32" i="49"/>
  <c r="M21" i="49"/>
  <c r="K36" i="49"/>
  <c r="K85" i="49"/>
  <c r="K103" i="49"/>
  <c r="M102" i="49"/>
  <c r="K112" i="49"/>
  <c r="M115" i="49"/>
  <c r="J26" i="49"/>
  <c r="M19" i="49"/>
  <c r="K34" i="49"/>
  <c r="K71" i="49"/>
  <c r="J81" i="49"/>
  <c r="K102" i="49"/>
  <c r="K108" i="49"/>
  <c r="M114" i="49"/>
  <c r="J25" i="49"/>
  <c r="K70" i="49"/>
  <c r="K99" i="49"/>
  <c r="M111" i="49"/>
  <c r="M113" i="49"/>
  <c r="M112" i="49"/>
  <c r="M109" i="49"/>
  <c r="K113" i="49"/>
  <c r="K111" i="49"/>
  <c r="K110" i="49"/>
  <c r="K109" i="49"/>
  <c r="K115" i="49"/>
  <c r="J114" i="49"/>
  <c r="J113" i="49"/>
  <c r="J112" i="49"/>
  <c r="J111" i="49"/>
  <c r="J110" i="49"/>
  <c r="J109" i="49"/>
  <c r="J108" i="49"/>
  <c r="J115" i="49"/>
  <c r="M101" i="49"/>
  <c r="M100" i="49"/>
  <c r="M99" i="49"/>
  <c r="M98" i="49"/>
  <c r="M97" i="49"/>
  <c r="M104" i="49"/>
  <c r="K101" i="49"/>
  <c r="K100" i="49"/>
  <c r="K98" i="49"/>
  <c r="K97" i="49"/>
  <c r="K104" i="49"/>
  <c r="J102" i="49"/>
  <c r="J101" i="49"/>
  <c r="J99" i="49"/>
  <c r="J98" i="49"/>
  <c r="M90" i="49"/>
  <c r="M89" i="49"/>
  <c r="M88" i="49"/>
  <c r="M87" i="49"/>
  <c r="M86" i="49"/>
  <c r="M93" i="49"/>
  <c r="K91" i="49"/>
  <c r="K89" i="49"/>
  <c r="K88" i="49"/>
  <c r="K87" i="49"/>
  <c r="J91" i="49"/>
  <c r="J93" i="49"/>
  <c r="J85" i="49"/>
  <c r="J92" i="49"/>
  <c r="J90" i="49"/>
  <c r="J88" i="49"/>
  <c r="J87" i="49"/>
  <c r="J89" i="49"/>
  <c r="M80" i="49"/>
  <c r="M79" i="49"/>
  <c r="M78" i="49"/>
  <c r="M77" i="49"/>
  <c r="M76" i="49"/>
  <c r="M75" i="49"/>
  <c r="M82" i="49"/>
  <c r="K80" i="49"/>
  <c r="K79" i="49"/>
  <c r="K78" i="49"/>
  <c r="K77" i="49"/>
  <c r="K76" i="49"/>
  <c r="K75" i="49"/>
  <c r="K82" i="49"/>
  <c r="J80" i="49"/>
  <c r="J79" i="49"/>
  <c r="J78" i="49"/>
  <c r="J77" i="49"/>
  <c r="J76" i="49"/>
  <c r="J75" i="49"/>
  <c r="J82" i="49"/>
  <c r="M69" i="49"/>
  <c r="M67" i="49"/>
  <c r="M66" i="49"/>
  <c r="M65" i="49"/>
  <c r="M71" i="49"/>
  <c r="K69" i="49"/>
  <c r="K68" i="49"/>
  <c r="K67" i="49"/>
  <c r="K66" i="49"/>
  <c r="J69" i="49"/>
  <c r="J70" i="49"/>
  <c r="J68" i="49"/>
  <c r="J67" i="49"/>
  <c r="J66" i="49"/>
  <c r="J65" i="49"/>
  <c r="J64" i="49"/>
  <c r="J71" i="49"/>
  <c r="M58" i="49"/>
  <c r="M52" i="49"/>
  <c r="M59" i="49"/>
  <c r="M57" i="49"/>
  <c r="M56" i="49"/>
  <c r="M55" i="49"/>
  <c r="M54" i="49"/>
  <c r="M60" i="49"/>
  <c r="K58" i="49"/>
  <c r="K59" i="49"/>
  <c r="K57" i="49"/>
  <c r="K56" i="49"/>
  <c r="K54" i="49"/>
  <c r="K55" i="49"/>
  <c r="K53" i="49"/>
  <c r="K60" i="49"/>
  <c r="J58" i="49"/>
  <c r="J59" i="49"/>
  <c r="J57" i="49"/>
  <c r="J56" i="49"/>
  <c r="J55" i="49"/>
  <c r="J54" i="49"/>
  <c r="J53" i="49"/>
  <c r="J60" i="49"/>
  <c r="M47" i="49"/>
  <c r="M46" i="49"/>
  <c r="M48" i="49"/>
  <c r="M45" i="49"/>
  <c r="M44" i="49"/>
  <c r="M43" i="49"/>
  <c r="M42" i="49"/>
  <c r="M49" i="49"/>
  <c r="K47" i="49"/>
  <c r="K48" i="49"/>
  <c r="K46" i="49"/>
  <c r="K45" i="49"/>
  <c r="K44" i="49"/>
  <c r="K42" i="49"/>
  <c r="K43" i="49"/>
  <c r="K49" i="49"/>
  <c r="J48" i="49"/>
  <c r="J47" i="49"/>
  <c r="J46" i="49"/>
  <c r="J45" i="49"/>
  <c r="J44" i="49"/>
  <c r="J43" i="49"/>
  <c r="J42" i="49"/>
  <c r="J49" i="49"/>
  <c r="M36" i="49"/>
  <c r="M35" i="49"/>
  <c r="M34" i="49"/>
  <c r="M33" i="49"/>
  <c r="M32" i="49"/>
  <c r="M31" i="49"/>
  <c r="M38" i="49"/>
  <c r="K35" i="49"/>
  <c r="K33" i="49"/>
  <c r="K32" i="49"/>
  <c r="K31" i="49"/>
  <c r="K38" i="49"/>
  <c r="J36" i="49"/>
  <c r="J35" i="49"/>
  <c r="J33" i="49"/>
  <c r="J32" i="49"/>
  <c r="J31" i="49"/>
  <c r="J38" i="49"/>
  <c r="M25" i="49"/>
  <c r="M24" i="49"/>
  <c r="M23" i="49"/>
  <c r="M22" i="49"/>
  <c r="K25" i="49"/>
  <c r="K27" i="49"/>
  <c r="K26" i="49"/>
  <c r="K24" i="49"/>
  <c r="K19" i="49"/>
  <c r="K23" i="49"/>
  <c r="K22" i="49"/>
  <c r="K20" i="49"/>
  <c r="J24" i="49"/>
  <c r="J23" i="49"/>
  <c r="J22" i="49"/>
  <c r="J21" i="49"/>
  <c r="J20" i="49"/>
  <c r="J27" i="49"/>
  <c r="H35" i="80"/>
  <c r="I35" i="80"/>
  <c r="K33" i="80"/>
  <c r="N33" i="80" s="1"/>
  <c r="H40" i="18"/>
  <c r="L37" i="18"/>
  <c r="I37" i="18"/>
  <c r="J37" i="18"/>
  <c r="AB16" i="16"/>
  <c r="AB8" i="16"/>
  <c r="AB15" i="16"/>
  <c r="AB14" i="16"/>
  <c r="AB11" i="16"/>
  <c r="AB9" i="16"/>
  <c r="AB13" i="16"/>
  <c r="AB12" i="16"/>
  <c r="AA16" i="16"/>
  <c r="AA8" i="16"/>
  <c r="AA15" i="16"/>
  <c r="AA14" i="16"/>
  <c r="AA11" i="16"/>
  <c r="AA9" i="16"/>
  <c r="AA13" i="16"/>
  <c r="AA12" i="16"/>
  <c r="Z16" i="16"/>
  <c r="Z14" i="16"/>
  <c r="Z13" i="16"/>
  <c r="Z12" i="16"/>
  <c r="Z11" i="16"/>
  <c r="Z9" i="16"/>
  <c r="Z8" i="16"/>
  <c r="Z15" i="16"/>
  <c r="Y9" i="16"/>
  <c r="Y16" i="16"/>
  <c r="Y8" i="16"/>
  <c r="Y15" i="16"/>
  <c r="Y14" i="16"/>
  <c r="Y13" i="16"/>
  <c r="Y12" i="16"/>
  <c r="Y11" i="16"/>
  <c r="X9" i="16"/>
  <c r="X16" i="16"/>
  <c r="X8" i="16"/>
  <c r="X15" i="16"/>
  <c r="X14" i="16"/>
  <c r="X13" i="16"/>
  <c r="X11" i="16"/>
  <c r="X12" i="16"/>
  <c r="Q8" i="16"/>
  <c r="Q14" i="16"/>
  <c r="Q10" i="16"/>
  <c r="Q9" i="16"/>
  <c r="Q16" i="16"/>
  <c r="Q15" i="16"/>
  <c r="Q13" i="16"/>
  <c r="Q12" i="16"/>
  <c r="P14" i="16"/>
  <c r="P10" i="16"/>
  <c r="P9" i="16"/>
  <c r="P16" i="16"/>
  <c r="P15" i="16"/>
  <c r="P13" i="16"/>
  <c r="P12" i="16"/>
  <c r="P11" i="16"/>
  <c r="O14" i="16"/>
  <c r="O13" i="16"/>
  <c r="O16" i="16"/>
  <c r="O15" i="16"/>
  <c r="O12" i="16"/>
  <c r="O8" i="16"/>
  <c r="O11" i="16"/>
  <c r="O9" i="16"/>
  <c r="N14" i="16"/>
  <c r="N13" i="16"/>
  <c r="N12" i="16"/>
  <c r="N11" i="16"/>
  <c r="N15" i="16"/>
  <c r="N10" i="16"/>
  <c r="N9" i="16"/>
  <c r="N16" i="16"/>
  <c r="M9" i="16"/>
  <c r="M8" i="16"/>
  <c r="M15" i="16"/>
  <c r="M14" i="16"/>
  <c r="M16" i="16"/>
  <c r="M13" i="16"/>
  <c r="M12" i="16"/>
  <c r="M11" i="16"/>
  <c r="F14" i="16"/>
  <c r="F16" i="16"/>
  <c r="F15" i="16"/>
  <c r="F13" i="16"/>
  <c r="F8" i="16"/>
  <c r="F12" i="16"/>
  <c r="F11" i="16"/>
  <c r="F10" i="16"/>
  <c r="E9" i="16"/>
  <c r="E8" i="16"/>
  <c r="E14" i="16"/>
  <c r="E16" i="16"/>
  <c r="E15" i="16"/>
  <c r="E13" i="16"/>
  <c r="E12" i="16"/>
  <c r="E11" i="16"/>
  <c r="D14" i="16"/>
  <c r="D12" i="16"/>
  <c r="D11" i="16"/>
  <c r="D15" i="16"/>
  <c r="D13" i="16"/>
  <c r="D10" i="16"/>
  <c r="D9" i="16"/>
  <c r="D16" i="16"/>
  <c r="C16" i="16"/>
  <c r="C8" i="16"/>
  <c r="C15" i="16"/>
  <c r="C14" i="16"/>
  <c r="C11" i="16"/>
  <c r="C9" i="16"/>
  <c r="C13" i="16"/>
  <c r="C12" i="16"/>
  <c r="B14" i="16"/>
  <c r="B13" i="16"/>
  <c r="B34" i="18" s="1"/>
  <c r="H92" i="18" s="1"/>
  <c r="B12" i="16"/>
  <c r="B11" i="16"/>
  <c r="B10" i="16"/>
  <c r="B9" i="16"/>
  <c r="B15" i="16"/>
  <c r="B43" i="18" s="1"/>
  <c r="H96" i="18" s="1"/>
  <c r="B16" i="16"/>
  <c r="W144" i="71"/>
  <c r="L144" i="71"/>
  <c r="A144" i="71"/>
  <c r="W107" i="71"/>
  <c r="L107" i="71"/>
  <c r="A107" i="71"/>
  <c r="B109" i="71"/>
  <c r="S70" i="71"/>
  <c r="S107" i="71" s="1"/>
  <c r="B72" i="71"/>
  <c r="Q70" i="71"/>
  <c r="AD70" i="71"/>
  <c r="AD107" i="71" s="1"/>
  <c r="F70" i="71"/>
  <c r="D70" i="71"/>
  <c r="C72" i="71"/>
  <c r="AI58" i="76" l="1"/>
  <c r="AI73" i="76"/>
  <c r="AI79" i="76"/>
  <c r="AI64" i="76"/>
  <c r="AI69" i="76"/>
  <c r="AI62" i="76"/>
  <c r="AI80" i="76"/>
  <c r="AI85" i="76"/>
  <c r="AI74" i="76"/>
  <c r="AI81" i="76"/>
  <c r="AI67" i="76"/>
  <c r="AI57" i="76"/>
  <c r="AI96" i="76"/>
  <c r="AI94" i="76"/>
  <c r="AI90" i="76"/>
  <c r="AI56" i="76"/>
  <c r="AI77" i="76"/>
  <c r="AI76" i="76"/>
  <c r="AI84" i="76"/>
  <c r="AI54" i="76"/>
  <c r="AI71" i="76"/>
  <c r="AI66" i="76"/>
  <c r="AI92" i="76"/>
  <c r="AI86" i="76"/>
  <c r="AI82" i="76"/>
  <c r="AI75" i="76"/>
  <c r="AI70" i="76"/>
  <c r="AB33" i="79"/>
  <c r="AI65" i="76"/>
  <c r="AI60" i="76"/>
  <c r="AI93" i="76"/>
  <c r="AI89" i="76"/>
  <c r="AI63" i="76"/>
  <c r="AI53" i="76"/>
  <c r="AI52" i="76"/>
  <c r="AI59" i="76"/>
  <c r="Y33" i="79"/>
  <c r="AE33" i="79"/>
  <c r="AK69" i="76"/>
  <c r="N69" i="80"/>
  <c r="O69" i="80" s="1"/>
  <c r="AC33" i="79"/>
  <c r="AG33" i="79"/>
  <c r="AA33" i="79"/>
  <c r="X33" i="79"/>
  <c r="AD33" i="79"/>
  <c r="Z33" i="79"/>
  <c r="AL69" i="76"/>
  <c r="AL56" i="76"/>
  <c r="AH62" i="76"/>
  <c r="M154" i="75"/>
  <c r="AH56" i="76"/>
  <c r="AE69" i="76"/>
  <c r="AE62" i="76"/>
  <c r="AL79" i="76"/>
  <c r="AL73" i="76"/>
  <c r="M158" i="75"/>
  <c r="M159" i="75"/>
  <c r="M161" i="75"/>
  <c r="AF53" i="76"/>
  <c r="AF54" i="76"/>
  <c r="AF57" i="76"/>
  <c r="AF58" i="76"/>
  <c r="AF59" i="76"/>
  <c r="AF60" i="76"/>
  <c r="AF63" i="76"/>
  <c r="AF64" i="76"/>
  <c r="AF65" i="76"/>
  <c r="AF66" i="76"/>
  <c r="AF67" i="76"/>
  <c r="AF70" i="76"/>
  <c r="AF71" i="76"/>
  <c r="AF74" i="76"/>
  <c r="AF75" i="76"/>
  <c r="AF76" i="76"/>
  <c r="AF77" i="76"/>
  <c r="AF80" i="76"/>
  <c r="AF81" i="76"/>
  <c r="AF82" i="76"/>
  <c r="AF84" i="76"/>
  <c r="AF85" i="76"/>
  <c r="AF86" i="76"/>
  <c r="AF88" i="76"/>
  <c r="AF89" i="76"/>
  <c r="AF90" i="76"/>
  <c r="AF92" i="76"/>
  <c r="AF93" i="76"/>
  <c r="AF94" i="76"/>
  <c r="AF96" i="76"/>
  <c r="AJ73" i="76"/>
  <c r="AF56" i="76"/>
  <c r="AG53" i="76"/>
  <c r="AG54" i="76"/>
  <c r="AG57" i="76"/>
  <c r="AG58" i="76"/>
  <c r="AG59" i="76"/>
  <c r="AG60" i="76"/>
  <c r="AG63" i="76"/>
  <c r="AG64" i="76"/>
  <c r="AG65" i="76"/>
  <c r="AG66" i="76"/>
  <c r="AG67" i="76"/>
  <c r="AG70" i="76"/>
  <c r="AG71" i="76"/>
  <c r="AG74" i="76"/>
  <c r="AG75" i="76"/>
  <c r="AG76" i="76"/>
  <c r="AG77" i="76"/>
  <c r="AG80" i="76"/>
  <c r="AG81" i="76"/>
  <c r="AG82" i="76"/>
  <c r="AG84" i="76"/>
  <c r="AG85" i="76"/>
  <c r="AG86" i="76"/>
  <c r="AG88" i="76"/>
  <c r="AG89" i="76"/>
  <c r="AG90" i="76"/>
  <c r="AG92" i="76"/>
  <c r="AG93" i="76"/>
  <c r="AG94" i="76"/>
  <c r="AG96" i="76"/>
  <c r="AG69" i="76"/>
  <c r="AJ62" i="76"/>
  <c r="AJ69" i="76"/>
  <c r="AH53" i="76"/>
  <c r="AH54" i="76"/>
  <c r="AH57" i="76"/>
  <c r="AH58" i="76"/>
  <c r="AH59" i="76"/>
  <c r="AH60" i="76"/>
  <c r="AH63" i="76"/>
  <c r="AH64" i="76"/>
  <c r="AH65" i="76"/>
  <c r="AH66" i="76"/>
  <c r="AH67" i="76"/>
  <c r="AH70" i="76"/>
  <c r="AH71" i="76"/>
  <c r="AH74" i="76"/>
  <c r="AH75" i="76"/>
  <c r="AH76" i="76"/>
  <c r="AH77" i="76"/>
  <c r="AH80" i="76"/>
  <c r="AH81" i="76"/>
  <c r="AH82" i="76"/>
  <c r="AH84" i="76"/>
  <c r="AH85" i="76"/>
  <c r="AH86" i="76"/>
  <c r="AH88" i="76"/>
  <c r="AH89" i="76"/>
  <c r="AH90" i="76"/>
  <c r="AH92" i="76"/>
  <c r="AH93" i="76"/>
  <c r="AH94" i="76"/>
  <c r="AH96" i="76"/>
  <c r="AG62" i="76"/>
  <c r="AG52" i="76"/>
  <c r="AK79" i="76"/>
  <c r="AG56" i="76"/>
  <c r="AL62" i="76"/>
  <c r="AJ53" i="76"/>
  <c r="AJ54" i="76"/>
  <c r="AJ57" i="76"/>
  <c r="AJ58" i="76"/>
  <c r="AJ59" i="76"/>
  <c r="AJ60" i="76"/>
  <c r="AJ63" i="76"/>
  <c r="AJ64" i="76"/>
  <c r="AJ65" i="76"/>
  <c r="AJ66" i="76"/>
  <c r="AJ67" i="76"/>
  <c r="AJ70" i="76"/>
  <c r="AJ71" i="76"/>
  <c r="AJ74" i="76"/>
  <c r="AJ75" i="76"/>
  <c r="AJ76" i="76"/>
  <c r="AJ77" i="76"/>
  <c r="AJ80" i="76"/>
  <c r="AJ81" i="76"/>
  <c r="AJ82" i="76"/>
  <c r="AJ84" i="76"/>
  <c r="AJ85" i="76"/>
  <c r="AJ86" i="76"/>
  <c r="AJ88" i="76"/>
  <c r="AJ89" i="76"/>
  <c r="AJ90" i="76"/>
  <c r="AJ92" i="76"/>
  <c r="AJ93" i="76"/>
  <c r="AJ94" i="76"/>
  <c r="AJ96" i="76"/>
  <c r="AF52" i="76"/>
  <c r="AF79" i="76"/>
  <c r="AK53" i="76"/>
  <c r="AK54" i="76"/>
  <c r="AK57" i="76"/>
  <c r="AK58" i="76"/>
  <c r="AK59" i="76"/>
  <c r="AK60" i="76"/>
  <c r="AK63" i="76"/>
  <c r="AK64" i="76"/>
  <c r="AK65" i="76"/>
  <c r="AK66" i="76"/>
  <c r="AK67" i="76"/>
  <c r="AK70" i="76"/>
  <c r="AK71" i="76"/>
  <c r="AK74" i="76"/>
  <c r="AK75" i="76"/>
  <c r="AK76" i="76"/>
  <c r="AK77" i="76"/>
  <c r="AK80" i="76"/>
  <c r="AK81" i="76"/>
  <c r="AK82" i="76"/>
  <c r="AK84" i="76"/>
  <c r="AK85" i="76"/>
  <c r="AK86" i="76"/>
  <c r="AK88" i="76"/>
  <c r="AK89" i="76"/>
  <c r="AK90" i="76"/>
  <c r="AK92" i="76"/>
  <c r="AK93" i="76"/>
  <c r="AK94" i="76"/>
  <c r="AK96" i="76"/>
  <c r="AK62" i="76"/>
  <c r="AK52" i="76"/>
  <c r="AF73" i="76"/>
  <c r="AE57" i="76"/>
  <c r="AE58" i="76"/>
  <c r="AE59" i="76"/>
  <c r="AE60" i="76"/>
  <c r="AE63" i="76"/>
  <c r="AE64" i="76"/>
  <c r="AE66" i="76"/>
  <c r="AE70" i="76"/>
  <c r="AE71" i="76"/>
  <c r="AE76" i="76"/>
  <c r="AE82" i="76"/>
  <c r="AE86" i="76"/>
  <c r="AE92" i="76"/>
  <c r="AE96" i="76"/>
  <c r="AE52" i="76"/>
  <c r="AE65" i="76"/>
  <c r="AE89" i="76"/>
  <c r="AE53" i="76"/>
  <c r="AE67" i="76"/>
  <c r="AE74" i="76"/>
  <c r="AE77" i="76"/>
  <c r="AE81" i="76"/>
  <c r="AE85" i="76"/>
  <c r="AE90" i="76"/>
  <c r="AE94" i="76"/>
  <c r="AE54" i="76"/>
  <c r="AE75" i="76"/>
  <c r="AE80" i="76"/>
  <c r="AE84" i="76"/>
  <c r="AE88" i="76"/>
  <c r="AE93" i="76"/>
  <c r="AH73" i="76"/>
  <c r="AH52" i="76"/>
  <c r="AK56" i="76"/>
  <c r="AE79" i="76"/>
  <c r="AF69" i="76"/>
  <c r="AL53" i="76"/>
  <c r="AL54" i="76"/>
  <c r="AL57" i="76"/>
  <c r="AL58" i="76"/>
  <c r="AL59" i="76"/>
  <c r="AL60" i="76"/>
  <c r="AL63" i="76"/>
  <c r="AL64" i="76"/>
  <c r="AL65" i="76"/>
  <c r="AL66" i="76"/>
  <c r="AL67" i="76"/>
  <c r="AL70" i="76"/>
  <c r="AL71" i="76"/>
  <c r="AL74" i="76"/>
  <c r="AL75" i="76"/>
  <c r="AL76" i="76"/>
  <c r="AL77" i="76"/>
  <c r="AL80" i="76"/>
  <c r="AL81" i="76"/>
  <c r="AL82" i="76"/>
  <c r="AL84" i="76"/>
  <c r="AL85" i="76"/>
  <c r="AL86" i="76"/>
  <c r="AL88" i="76"/>
  <c r="AL89" i="76"/>
  <c r="AL90" i="76"/>
  <c r="AL92" i="76"/>
  <c r="AL93" i="76"/>
  <c r="AL94" i="76"/>
  <c r="AL96" i="76"/>
  <c r="AG79" i="76"/>
  <c r="AH69" i="76"/>
  <c r="AJ79" i="76"/>
  <c r="AJ52" i="76"/>
  <c r="AE73" i="76"/>
  <c r="AF62" i="76"/>
  <c r="M155" i="75"/>
  <c r="M156" i="75"/>
  <c r="H89" i="18"/>
  <c r="M160" i="75"/>
  <c r="M157" i="75"/>
  <c r="W107" i="78"/>
  <c r="AS107" i="78" s="1"/>
  <c r="BO107" i="78" s="1"/>
  <c r="CK107" i="78" s="1"/>
  <c r="W70" i="78"/>
  <c r="AS70" i="78" s="1"/>
  <c r="BO70" i="78" s="1"/>
  <c r="CK70" i="78" s="1"/>
  <c r="L33" i="80"/>
  <c r="O33" i="80"/>
  <c r="Y29" i="49"/>
  <c r="AD29" i="49" s="1"/>
  <c r="Z29" i="49"/>
  <c r="I7" i="11" a="1"/>
  <c r="I10" i="11" s="1"/>
  <c r="X29" i="49"/>
  <c r="X8" i="49"/>
  <c r="X9" i="49"/>
  <c r="X10" i="49"/>
  <c r="X11" i="49"/>
  <c r="X12" i="49"/>
  <c r="X13" i="49"/>
  <c r="X14" i="49"/>
  <c r="X15" i="49"/>
  <c r="X16" i="49"/>
  <c r="X17" i="49"/>
  <c r="X18" i="49"/>
  <c r="X19" i="49"/>
  <c r="X20" i="49"/>
  <c r="X21" i="49"/>
  <c r="X22" i="49"/>
  <c r="X23" i="49"/>
  <c r="X24" i="49"/>
  <c r="X25" i="49"/>
  <c r="X26" i="49"/>
  <c r="X27" i="49"/>
  <c r="X28" i="49"/>
  <c r="X7" i="49"/>
  <c r="AD28" i="49"/>
  <c r="AA28" i="49"/>
  <c r="AC28" i="49" s="1"/>
  <c r="AD27" i="49"/>
  <c r="AA27" i="49"/>
  <c r="AC27" i="49" s="1"/>
  <c r="AD26" i="49"/>
  <c r="AA26" i="49"/>
  <c r="AC26" i="49" s="1"/>
  <c r="AD25" i="49"/>
  <c r="AA25" i="49"/>
  <c r="AC25" i="49" s="1"/>
  <c r="AD24" i="49"/>
  <c r="AA24" i="49"/>
  <c r="AC24" i="49" s="1"/>
  <c r="AD23" i="49"/>
  <c r="AA23" i="49"/>
  <c r="AC23" i="49" s="1"/>
  <c r="AD22" i="49"/>
  <c r="AA22" i="49"/>
  <c r="AC22" i="49" s="1"/>
  <c r="AD21" i="49"/>
  <c r="AA21" i="49"/>
  <c r="AC21" i="49" s="1"/>
  <c r="AD20" i="49"/>
  <c r="AA20" i="49"/>
  <c r="AC20" i="49" s="1"/>
  <c r="AD19" i="49"/>
  <c r="AA19" i="49"/>
  <c r="AC19" i="49" s="1"/>
  <c r="AD18" i="49"/>
  <c r="AA18" i="49"/>
  <c r="AC18" i="49" s="1"/>
  <c r="AD17" i="49"/>
  <c r="AA17" i="49"/>
  <c r="AC17" i="49" s="1"/>
  <c r="AD16" i="49"/>
  <c r="AA16" i="49"/>
  <c r="AC16" i="49" s="1"/>
  <c r="AD15" i="49"/>
  <c r="AA15" i="49"/>
  <c r="AC15" i="49" s="1"/>
  <c r="AD14" i="49"/>
  <c r="AA14" i="49"/>
  <c r="AC14" i="49" s="1"/>
  <c r="AD13" i="49"/>
  <c r="AA13" i="49"/>
  <c r="AC13" i="49" s="1"/>
  <c r="AD12" i="49"/>
  <c r="AA12" i="49"/>
  <c r="AC12" i="49" s="1"/>
  <c r="AD11" i="49"/>
  <c r="AA11" i="49"/>
  <c r="AC11" i="49" s="1"/>
  <c r="AD10" i="49"/>
  <c r="AA10" i="49"/>
  <c r="AC10" i="49" s="1"/>
  <c r="AD9" i="49"/>
  <c r="AA9" i="49"/>
  <c r="AC9" i="49" s="1"/>
  <c r="AD8" i="49"/>
  <c r="AA8" i="49"/>
  <c r="AC8" i="49" s="1"/>
  <c r="AD7" i="49"/>
  <c r="AA7" i="49"/>
  <c r="AC7" i="49" s="1"/>
  <c r="AD6" i="49"/>
  <c r="AA29" i="49" l="1"/>
  <c r="AC29" i="49" s="1"/>
  <c r="I8" i="11"/>
  <c r="I9" i="11"/>
  <c r="I7" i="11"/>
  <c r="I12" i="11"/>
  <c r="I11" i="11"/>
  <c r="I14" i="11" l="1"/>
  <c r="AE9" i="71" l="1"/>
  <c r="AE10" i="71"/>
  <c r="AE11" i="71"/>
  <c r="AE12" i="71"/>
  <c r="AE13" i="71"/>
  <c r="AE14" i="71"/>
  <c r="AE15" i="71"/>
  <c r="AE16" i="71"/>
  <c r="AE17" i="71"/>
  <c r="AE18" i="71"/>
  <c r="AE19" i="71"/>
  <c r="AE20" i="71"/>
  <c r="AE21" i="71"/>
  <c r="AE22" i="71"/>
  <c r="AE23" i="71"/>
  <c r="AE24" i="71"/>
  <c r="AE25" i="71"/>
  <c r="AE26" i="71"/>
  <c r="AE27" i="71"/>
  <c r="AE28" i="71"/>
  <c r="AE29" i="71"/>
  <c r="AE30" i="71"/>
  <c r="AE31" i="71"/>
  <c r="AE32" i="71"/>
  <c r="AE8" i="71"/>
  <c r="T9" i="71"/>
  <c r="T10" i="71"/>
  <c r="T11" i="71"/>
  <c r="T12" i="71"/>
  <c r="T13" i="71"/>
  <c r="T14" i="71"/>
  <c r="T15" i="71"/>
  <c r="T16" i="71"/>
  <c r="T17" i="71"/>
  <c r="T18" i="71"/>
  <c r="T19" i="71"/>
  <c r="T20" i="71"/>
  <c r="T21" i="71"/>
  <c r="T22" i="71"/>
  <c r="T23" i="71"/>
  <c r="T24" i="71"/>
  <c r="T25" i="71"/>
  <c r="T26" i="71"/>
  <c r="T27" i="71"/>
  <c r="T28" i="71"/>
  <c r="T29" i="71"/>
  <c r="T30" i="71"/>
  <c r="T31" i="71"/>
  <c r="T32" i="71"/>
  <c r="T8" i="71"/>
  <c r="P62" i="49"/>
  <c r="P37" i="49"/>
  <c r="P38" i="49"/>
  <c r="P39" i="49"/>
  <c r="P40" i="49"/>
  <c r="P41" i="49"/>
  <c r="P42" i="49"/>
  <c r="P43" i="49"/>
  <c r="P44" i="49"/>
  <c r="P45" i="49"/>
  <c r="P46" i="49"/>
  <c r="P47" i="49"/>
  <c r="P48" i="49"/>
  <c r="P49" i="49"/>
  <c r="P50" i="49"/>
  <c r="P51" i="49"/>
  <c r="P52" i="49"/>
  <c r="P53" i="49"/>
  <c r="P54" i="49"/>
  <c r="P55" i="49"/>
  <c r="P56" i="49"/>
  <c r="P57" i="49"/>
  <c r="P58" i="49"/>
  <c r="P59" i="49"/>
  <c r="P60" i="49"/>
  <c r="P36" i="49"/>
  <c r="V60" i="49"/>
  <c r="S60" i="49"/>
  <c r="U60" i="49" s="1"/>
  <c r="V59" i="49"/>
  <c r="S59" i="49"/>
  <c r="U59" i="49" s="1"/>
  <c r="V58" i="49"/>
  <c r="S58" i="49"/>
  <c r="U58" i="49" s="1"/>
  <c r="V57" i="49"/>
  <c r="S57" i="49"/>
  <c r="U57" i="49" s="1"/>
  <c r="V56" i="49"/>
  <c r="S56" i="49"/>
  <c r="U56" i="49" s="1"/>
  <c r="V55" i="49"/>
  <c r="S55" i="49"/>
  <c r="U55" i="49" s="1"/>
  <c r="V54" i="49"/>
  <c r="S54" i="49"/>
  <c r="U54" i="49" s="1"/>
  <c r="V53" i="49"/>
  <c r="S53" i="49"/>
  <c r="U53" i="49" s="1"/>
  <c r="V52" i="49"/>
  <c r="S52" i="49"/>
  <c r="U52" i="49" s="1"/>
  <c r="V51" i="49"/>
  <c r="S51" i="49"/>
  <c r="U51" i="49" s="1"/>
  <c r="V50" i="49"/>
  <c r="S50" i="49"/>
  <c r="U50" i="49" s="1"/>
  <c r="V49" i="49"/>
  <c r="S49" i="49"/>
  <c r="U49" i="49" s="1"/>
  <c r="V48" i="49"/>
  <c r="S48" i="49"/>
  <c r="U48" i="49" s="1"/>
  <c r="V47" i="49"/>
  <c r="S47" i="49"/>
  <c r="U47" i="49" s="1"/>
  <c r="V46" i="49"/>
  <c r="S46" i="49"/>
  <c r="U46" i="49" s="1"/>
  <c r="V45" i="49"/>
  <c r="S45" i="49"/>
  <c r="U45" i="49" s="1"/>
  <c r="V44" i="49"/>
  <c r="S44" i="49"/>
  <c r="U44" i="49" s="1"/>
  <c r="V43" i="49"/>
  <c r="S43" i="49"/>
  <c r="U43" i="49" s="1"/>
  <c r="V42" i="49"/>
  <c r="S42" i="49"/>
  <c r="U42" i="49" s="1"/>
  <c r="V41" i="49"/>
  <c r="S41" i="49"/>
  <c r="U41" i="49" s="1"/>
  <c r="V40" i="49"/>
  <c r="S40" i="49"/>
  <c r="U40" i="49" s="1"/>
  <c r="V39" i="49"/>
  <c r="S39" i="49"/>
  <c r="U39" i="49" s="1"/>
  <c r="V38" i="49"/>
  <c r="S38" i="49"/>
  <c r="U38" i="49" s="1"/>
  <c r="V37" i="49"/>
  <c r="S37" i="49"/>
  <c r="U37" i="49" s="1"/>
  <c r="V36" i="49"/>
  <c r="S36" i="49"/>
  <c r="U36" i="49" s="1"/>
  <c r="D36" i="49"/>
  <c r="S8" i="49"/>
  <c r="U8" i="49" s="1"/>
  <c r="S9" i="49"/>
  <c r="U9" i="49" s="1"/>
  <c r="S10" i="49"/>
  <c r="U10" i="49" s="1"/>
  <c r="S11" i="49"/>
  <c r="U11" i="49" s="1"/>
  <c r="S12" i="49"/>
  <c r="U12" i="49" s="1"/>
  <c r="S13" i="49"/>
  <c r="U13" i="49" s="1"/>
  <c r="S14" i="49"/>
  <c r="U14" i="49" s="1"/>
  <c r="S15" i="49"/>
  <c r="U15" i="49" s="1"/>
  <c r="S16" i="49"/>
  <c r="U16" i="49" s="1"/>
  <c r="S17" i="49"/>
  <c r="U17" i="49" s="1"/>
  <c r="S18" i="49"/>
  <c r="U18" i="49" s="1"/>
  <c r="S19" i="49"/>
  <c r="U19" i="49" s="1"/>
  <c r="S20" i="49"/>
  <c r="U20" i="49" s="1"/>
  <c r="S21" i="49"/>
  <c r="U21" i="49" s="1"/>
  <c r="S22" i="49"/>
  <c r="U22" i="49" s="1"/>
  <c r="S23" i="49"/>
  <c r="U23" i="49" s="1"/>
  <c r="S24" i="49"/>
  <c r="U24" i="49" s="1"/>
  <c r="S25" i="49"/>
  <c r="U25" i="49" s="1"/>
  <c r="S26" i="49"/>
  <c r="U26" i="49" s="1"/>
  <c r="S27" i="49"/>
  <c r="U27" i="49" s="1"/>
  <c r="S28" i="49"/>
  <c r="U28" i="49" s="1"/>
  <c r="S29" i="49"/>
  <c r="U29" i="49" s="1"/>
  <c r="S30" i="49"/>
  <c r="U30" i="49" s="1"/>
  <c r="S31" i="49"/>
  <c r="U31" i="49" s="1"/>
  <c r="S7" i="49"/>
  <c r="U7" i="49" s="1"/>
  <c r="V7" i="49"/>
  <c r="P33" i="49"/>
  <c r="P8" i="49"/>
  <c r="P9" i="49"/>
  <c r="P10" i="49"/>
  <c r="P11" i="49"/>
  <c r="P12" i="49"/>
  <c r="P13" i="49"/>
  <c r="P14" i="49"/>
  <c r="P15" i="49"/>
  <c r="P16" i="49"/>
  <c r="P17" i="49"/>
  <c r="P18" i="49"/>
  <c r="P19" i="49"/>
  <c r="P20" i="49"/>
  <c r="P21" i="49"/>
  <c r="P22" i="49"/>
  <c r="P23" i="49"/>
  <c r="P24" i="49"/>
  <c r="P25" i="49"/>
  <c r="P26" i="49"/>
  <c r="P27" i="49"/>
  <c r="P28" i="49"/>
  <c r="P29" i="49"/>
  <c r="P30" i="49"/>
  <c r="P31" i="49"/>
  <c r="P7" i="49"/>
  <c r="S6" i="49"/>
  <c r="T6" i="49"/>
  <c r="U6" i="49"/>
  <c r="V6" i="49"/>
  <c r="R6" i="49"/>
  <c r="Q6" i="49"/>
  <c r="V31" i="49"/>
  <c r="V30" i="49"/>
  <c r="V29" i="49"/>
  <c r="V28" i="49"/>
  <c r="V27" i="49"/>
  <c r="V26" i="49"/>
  <c r="V25" i="49"/>
  <c r="V24" i="49"/>
  <c r="V23" i="49"/>
  <c r="V22" i="49"/>
  <c r="V21" i="49"/>
  <c r="V20" i="49"/>
  <c r="V19" i="49"/>
  <c r="V18" i="49"/>
  <c r="V17" i="49"/>
  <c r="V16" i="49"/>
  <c r="V15" i="49"/>
  <c r="V14" i="49"/>
  <c r="V13" i="49"/>
  <c r="V12" i="49"/>
  <c r="V11" i="49"/>
  <c r="V10" i="49"/>
  <c r="V9" i="49"/>
  <c r="V8" i="49"/>
  <c r="F36" i="49" l="1"/>
  <c r="T8" i="16" a="1"/>
  <c r="AE8" i="16" a="1"/>
  <c r="T70" i="71"/>
  <c r="U33" i="71"/>
  <c r="U70" i="71" s="1"/>
  <c r="U107" i="71" s="1"/>
  <c r="T107" i="71"/>
  <c r="AE107" i="71"/>
  <c r="AF33" i="71"/>
  <c r="AF70" i="71" s="1"/>
  <c r="AF107" i="71" s="1"/>
  <c r="AE70" i="71"/>
  <c r="T35" i="71"/>
  <c r="AE35" i="71"/>
  <c r="S62" i="49"/>
  <c r="U62" i="49" s="1"/>
  <c r="V33" i="49"/>
  <c r="V62" i="49"/>
  <c r="AE9" i="16" l="1"/>
  <c r="AE14" i="16"/>
  <c r="AE16" i="16"/>
  <c r="AE8" i="16"/>
  <c r="AE15" i="16"/>
  <c r="AE13" i="16"/>
  <c r="AE11" i="16"/>
  <c r="AE10" i="16"/>
  <c r="AE12" i="16"/>
  <c r="T8" i="16"/>
  <c r="T15" i="16"/>
  <c r="T14" i="16"/>
  <c r="T13" i="16"/>
  <c r="T12" i="16"/>
  <c r="T11" i="16"/>
  <c r="T10" i="16"/>
  <c r="T9" i="16"/>
  <c r="T16" i="16"/>
  <c r="A1" i="78"/>
  <c r="N33" i="21"/>
  <c r="O33" i="21"/>
  <c r="P33" i="21"/>
  <c r="Q33" i="21"/>
  <c r="R33" i="21"/>
  <c r="S33" i="21"/>
  <c r="T33" i="21"/>
  <c r="U33" i="21"/>
  <c r="V33" i="21"/>
  <c r="W33" i="21"/>
  <c r="X33" i="21"/>
  <c r="Y33" i="21"/>
  <c r="Z33" i="21"/>
  <c r="AA33" i="21"/>
  <c r="AB33" i="21"/>
  <c r="AC33" i="21"/>
  <c r="AD33" i="21"/>
  <c r="AE33" i="21"/>
  <c r="AF33" i="21"/>
  <c r="AG33" i="21"/>
  <c r="M33" i="21"/>
  <c r="N23" i="21"/>
  <c r="O23" i="21"/>
  <c r="P23" i="21"/>
  <c r="Q23" i="21"/>
  <c r="R23" i="21"/>
  <c r="S23" i="21"/>
  <c r="T23" i="21"/>
  <c r="U23" i="21"/>
  <c r="V23" i="21"/>
  <c r="W23" i="21"/>
  <c r="X23" i="21"/>
  <c r="Y23" i="21"/>
  <c r="Z23" i="21"/>
  <c r="AA23" i="21"/>
  <c r="AB23" i="21"/>
  <c r="AC23" i="21"/>
  <c r="AD23" i="21"/>
  <c r="AE23" i="21"/>
  <c r="AF23" i="21"/>
  <c r="AG23" i="21"/>
  <c r="M23" i="21"/>
  <c r="N18" i="21"/>
  <c r="O18" i="21"/>
  <c r="P18" i="21"/>
  <c r="Q18" i="21"/>
  <c r="R18" i="21"/>
  <c r="S18" i="21"/>
  <c r="T18" i="21"/>
  <c r="U18" i="21"/>
  <c r="V18" i="21"/>
  <c r="W18" i="21"/>
  <c r="X18" i="21"/>
  <c r="Y18" i="21"/>
  <c r="Z18" i="21"/>
  <c r="AA18" i="21"/>
  <c r="AB18" i="21"/>
  <c r="AC18" i="21"/>
  <c r="AD18" i="21"/>
  <c r="AE18" i="21"/>
  <c r="AF18" i="21"/>
  <c r="AG18" i="21"/>
  <c r="M18" i="21"/>
  <c r="M11" i="21"/>
  <c r="N11" i="21"/>
  <c r="O11" i="21"/>
  <c r="P11" i="21"/>
  <c r="Q11" i="21"/>
  <c r="C74" i="12" l="1"/>
  <c r="C73" i="12"/>
  <c r="B78" i="12"/>
  <c r="B77" i="12"/>
  <c r="B76" i="12"/>
  <c r="B75" i="12"/>
  <c r="B74" i="12"/>
  <c r="B72" i="12"/>
  <c r="B73" i="12"/>
  <c r="C5" i="11"/>
  <c r="D5" i="11"/>
  <c r="E5" i="11"/>
  <c r="F5" i="11"/>
  <c r="B5" i="11"/>
  <c r="B28" i="12"/>
  <c r="B32" i="12" s="1"/>
  <c r="D12" i="13"/>
  <c r="E12" i="13"/>
  <c r="F12" i="13"/>
  <c r="G12" i="13"/>
  <c r="C12" i="13"/>
  <c r="L1" i="11" l="1"/>
  <c r="A1" i="11"/>
  <c r="H3" i="11"/>
  <c r="N17" i="103"/>
  <c r="M17" i="103"/>
  <c r="L17" i="103"/>
  <c r="N16" i="103"/>
  <c r="M16" i="103"/>
  <c r="L16" i="103"/>
  <c r="N15" i="103"/>
  <c r="M15" i="103"/>
  <c r="L15" i="103"/>
  <c r="N14" i="103"/>
  <c r="M14" i="103"/>
  <c r="L14" i="103"/>
  <c r="N13" i="103"/>
  <c r="M13" i="103"/>
  <c r="L13" i="103"/>
  <c r="N12" i="103"/>
  <c r="M12" i="103"/>
  <c r="L12" i="103"/>
  <c r="N11" i="103"/>
  <c r="M11" i="103"/>
  <c r="L11" i="103"/>
  <c r="N10" i="103"/>
  <c r="M10" i="103"/>
  <c r="L10" i="103"/>
  <c r="N9" i="103"/>
  <c r="M9" i="103"/>
  <c r="L9" i="103"/>
  <c r="I17" i="103"/>
  <c r="H17" i="103"/>
  <c r="G17" i="103"/>
  <c r="I16" i="103"/>
  <c r="H16" i="103"/>
  <c r="G16" i="103"/>
  <c r="I15" i="103"/>
  <c r="H15" i="103"/>
  <c r="G15" i="103"/>
  <c r="I14" i="103"/>
  <c r="H14" i="103"/>
  <c r="G14" i="103"/>
  <c r="I13" i="103"/>
  <c r="H13" i="103"/>
  <c r="G13" i="103"/>
  <c r="I12" i="103"/>
  <c r="H12" i="103"/>
  <c r="G12" i="103"/>
  <c r="I11" i="103"/>
  <c r="H11" i="103"/>
  <c r="G11" i="103"/>
  <c r="I10" i="103"/>
  <c r="H10" i="103"/>
  <c r="G10" i="103"/>
  <c r="I9" i="103"/>
  <c r="H9" i="103"/>
  <c r="G9" i="103"/>
  <c r="C9" i="103"/>
  <c r="D9" i="103"/>
  <c r="C10" i="103"/>
  <c r="D10" i="103"/>
  <c r="C11" i="103"/>
  <c r="D11" i="103"/>
  <c r="C12" i="103"/>
  <c r="D12" i="103"/>
  <c r="C13" i="103"/>
  <c r="D13" i="103"/>
  <c r="C14" i="103"/>
  <c r="D14" i="103"/>
  <c r="C15" i="103"/>
  <c r="D15" i="103"/>
  <c r="C16" i="103"/>
  <c r="D16" i="103"/>
  <c r="C17" i="103"/>
  <c r="D17" i="103"/>
  <c r="B10" i="103"/>
  <c r="B11" i="103"/>
  <c r="B12" i="103"/>
  <c r="B13" i="103"/>
  <c r="B14" i="103"/>
  <c r="B15" i="103"/>
  <c r="B16" i="103"/>
  <c r="B17" i="103"/>
  <c r="B9" i="103"/>
  <c r="A380" i="103"/>
  <c r="A363" i="103"/>
  <c r="A346" i="103"/>
  <c r="A329" i="103"/>
  <c r="A312" i="103"/>
  <c r="A295" i="103"/>
  <c r="A278" i="103"/>
  <c r="A261" i="103"/>
  <c r="A244" i="103"/>
  <c r="A227" i="103"/>
  <c r="A210" i="103"/>
  <c r="A193" i="103"/>
  <c r="A176" i="103"/>
  <c r="A159" i="103"/>
  <c r="A142" i="103"/>
  <c r="A125" i="103"/>
  <c r="A108" i="103"/>
  <c r="A91" i="103"/>
  <c r="A74" i="103"/>
  <c r="A57" i="103"/>
  <c r="A40" i="103"/>
  <c r="A23" i="103"/>
  <c r="K9" i="101"/>
  <c r="K10" i="101"/>
  <c r="K11" i="101"/>
  <c r="K12" i="101"/>
  <c r="K13" i="101"/>
  <c r="K14" i="101"/>
  <c r="K15" i="101"/>
  <c r="K16" i="101"/>
  <c r="K17" i="101"/>
  <c r="J10" i="101"/>
  <c r="J11" i="101"/>
  <c r="J12" i="101"/>
  <c r="J13" i="101"/>
  <c r="J14" i="101"/>
  <c r="J15" i="101"/>
  <c r="J16" i="101"/>
  <c r="J17" i="101"/>
  <c r="J9" i="101"/>
  <c r="G9" i="101"/>
  <c r="G10" i="101"/>
  <c r="G11" i="101"/>
  <c r="G12" i="101"/>
  <c r="G13" i="101"/>
  <c r="G14" i="101"/>
  <c r="G15" i="101"/>
  <c r="G16" i="101"/>
  <c r="G17" i="101"/>
  <c r="F10" i="101"/>
  <c r="F11" i="101"/>
  <c r="F12" i="101"/>
  <c r="F13" i="101"/>
  <c r="F14" i="101"/>
  <c r="F15" i="101"/>
  <c r="F16" i="101"/>
  <c r="F17" i="101"/>
  <c r="F9" i="101"/>
  <c r="C9" i="101"/>
  <c r="C10" i="101"/>
  <c r="C11" i="101"/>
  <c r="C12" i="101"/>
  <c r="C13" i="101"/>
  <c r="C14" i="101"/>
  <c r="C15" i="101"/>
  <c r="C16" i="101"/>
  <c r="C17" i="101"/>
  <c r="B10" i="101"/>
  <c r="B11" i="101"/>
  <c r="B12" i="101"/>
  <c r="B13" i="101"/>
  <c r="B14" i="101"/>
  <c r="B15" i="101"/>
  <c r="B16" i="101"/>
  <c r="B17" i="101"/>
  <c r="B9" i="101"/>
  <c r="A380" i="101"/>
  <c r="A363" i="101"/>
  <c r="A346" i="101"/>
  <c r="A329" i="101"/>
  <c r="A312" i="101"/>
  <c r="A295" i="101"/>
  <c r="A278" i="101"/>
  <c r="A261" i="101"/>
  <c r="A244" i="101"/>
  <c r="A227" i="101"/>
  <c r="A210" i="101"/>
  <c r="A193" i="101"/>
  <c r="A176" i="101"/>
  <c r="A159" i="101"/>
  <c r="A142" i="101"/>
  <c r="A125" i="101"/>
  <c r="A108" i="101"/>
  <c r="A91" i="101"/>
  <c r="A74" i="101"/>
  <c r="A57" i="101"/>
  <c r="A40" i="101"/>
  <c r="A23" i="101"/>
  <c r="F7" i="11" a="1"/>
  <c r="F9" i="11" s="1"/>
  <c r="E7" i="11" a="1"/>
  <c r="E7" i="11" s="1"/>
  <c r="D7" i="11" a="1"/>
  <c r="D9" i="11" s="1"/>
  <c r="C7" i="11" a="1"/>
  <c r="C8" i="11" s="1"/>
  <c r="B7" i="11" a="1"/>
  <c r="B10" i="11" s="1"/>
  <c r="H9" i="11" l="1"/>
  <c r="H22" i="11" s="1"/>
  <c r="I22" i="11"/>
  <c r="F8" i="11"/>
  <c r="F7" i="11"/>
  <c r="F12" i="11"/>
  <c r="F11" i="11"/>
  <c r="F10" i="11"/>
  <c r="E11" i="11"/>
  <c r="E12" i="11"/>
  <c r="E10" i="11"/>
  <c r="E9" i="11"/>
  <c r="E8" i="11"/>
  <c r="D8" i="11"/>
  <c r="D7" i="11"/>
  <c r="D12" i="11"/>
  <c r="D11" i="11"/>
  <c r="D10" i="11"/>
  <c r="C11" i="11"/>
  <c r="C10" i="11"/>
  <c r="C9" i="11"/>
  <c r="C7" i="11"/>
  <c r="C12" i="11"/>
  <c r="B9" i="11"/>
  <c r="N264" i="21" s="1"/>
  <c r="B8" i="11"/>
  <c r="B7" i="11"/>
  <c r="B12" i="11"/>
  <c r="B11" i="11"/>
  <c r="D37" i="11" l="1"/>
  <c r="R7" i="11"/>
  <c r="H10" i="11"/>
  <c r="J10" i="11" s="1"/>
  <c r="J23" i="11" s="1"/>
  <c r="H7" i="11"/>
  <c r="J7" i="11" s="1"/>
  <c r="J20" i="11" s="1"/>
  <c r="H11" i="11"/>
  <c r="J11" i="11" s="1"/>
  <c r="J24" i="11" s="1"/>
  <c r="H8" i="11"/>
  <c r="H21" i="11" s="1"/>
  <c r="I20" i="11"/>
  <c r="I23" i="11"/>
  <c r="H12" i="11"/>
  <c r="I24" i="11"/>
  <c r="I25" i="11"/>
  <c r="N265" i="21"/>
  <c r="I21" i="11"/>
  <c r="N262" i="21"/>
  <c r="J9" i="11"/>
  <c r="J22" i="11" s="1"/>
  <c r="N263" i="21"/>
  <c r="N261" i="21"/>
  <c r="N266" i="21"/>
  <c r="A1" i="5"/>
  <c r="B2" i="5" a="1"/>
  <c r="C2" i="5" s="1"/>
  <c r="H20" i="11" l="1"/>
  <c r="J8" i="11"/>
  <c r="J21" i="11" s="1"/>
  <c r="H14" i="11"/>
  <c r="H23" i="11"/>
  <c r="H24" i="11"/>
  <c r="H25" i="11"/>
  <c r="N2" i="5"/>
  <c r="B2" i="5"/>
  <c r="M2" i="5"/>
  <c r="L2" i="5"/>
  <c r="W2" i="5"/>
  <c r="K2" i="5"/>
  <c r="V2" i="5"/>
  <c r="J2" i="5"/>
  <c r="U2" i="5"/>
  <c r="I2" i="5"/>
  <c r="T2" i="5"/>
  <c r="H2" i="5"/>
  <c r="S2" i="5"/>
  <c r="G2" i="5"/>
  <c r="R2" i="5"/>
  <c r="F2" i="5"/>
  <c r="Q2" i="5"/>
  <c r="E2" i="5"/>
  <c r="P2" i="5"/>
  <c r="D2" i="5"/>
  <c r="O2" i="5"/>
  <c r="M83" i="75"/>
  <c r="M84" i="75"/>
  <c r="M85" i="75"/>
  <c r="M86" i="75"/>
  <c r="M87" i="75"/>
  <c r="M88" i="75"/>
  <c r="M89" i="75"/>
  <c r="M90" i="75"/>
  <c r="M91" i="75"/>
  <c r="M92" i="75"/>
  <c r="M93" i="75"/>
  <c r="M94" i="75"/>
  <c r="M95" i="75"/>
  <c r="M96" i="75"/>
  <c r="M97" i="75"/>
  <c r="M98" i="75"/>
  <c r="M99" i="75"/>
  <c r="M100" i="75"/>
  <c r="M101" i="75"/>
  <c r="M102" i="75"/>
  <c r="M103" i="75"/>
  <c r="M104" i="75"/>
  <c r="M105" i="75"/>
  <c r="M106" i="75"/>
  <c r="M82" i="75"/>
  <c r="L109" i="75"/>
  <c r="L83" i="75"/>
  <c r="L84" i="75"/>
  <c r="L85" i="75"/>
  <c r="L86" i="75"/>
  <c r="L87" i="75"/>
  <c r="L88" i="75"/>
  <c r="L89" i="75"/>
  <c r="L90" i="75"/>
  <c r="L91" i="75"/>
  <c r="L92" i="75"/>
  <c r="L93" i="75"/>
  <c r="L94" i="75"/>
  <c r="L95" i="75"/>
  <c r="L96" i="75"/>
  <c r="L97" i="75"/>
  <c r="L98" i="75"/>
  <c r="L99" i="75"/>
  <c r="L100" i="75"/>
  <c r="L101" i="75"/>
  <c r="L102" i="75"/>
  <c r="L103" i="75"/>
  <c r="L104" i="75"/>
  <c r="L105" i="75"/>
  <c r="L106" i="75"/>
  <c r="L82" i="75"/>
  <c r="AB180" i="71" l="1"/>
  <c r="AA180" i="71"/>
  <c r="Z180" i="71"/>
  <c r="Y180" i="71"/>
  <c r="X180" i="71"/>
  <c r="AB177" i="71"/>
  <c r="AA177" i="71"/>
  <c r="Z177" i="71"/>
  <c r="Y177" i="71"/>
  <c r="X177" i="71"/>
  <c r="AB176" i="71"/>
  <c r="AA176" i="71"/>
  <c r="Z176" i="71"/>
  <c r="Y176" i="71"/>
  <c r="X176" i="71"/>
  <c r="AB175" i="71"/>
  <c r="AA175" i="71"/>
  <c r="Z175" i="71"/>
  <c r="Y175" i="71"/>
  <c r="X175" i="71"/>
  <c r="AB174" i="71"/>
  <c r="AA174" i="71"/>
  <c r="Z174" i="71"/>
  <c r="Y174" i="71"/>
  <c r="X174" i="71"/>
  <c r="AB173" i="71"/>
  <c r="AA173" i="71"/>
  <c r="Z173" i="71"/>
  <c r="Y173" i="71"/>
  <c r="X173" i="71"/>
  <c r="AB172" i="71"/>
  <c r="AA172" i="71"/>
  <c r="Z172" i="71"/>
  <c r="Y172" i="71"/>
  <c r="X172" i="71"/>
  <c r="AB171" i="71"/>
  <c r="AA171" i="71"/>
  <c r="Z171" i="71"/>
  <c r="Y171" i="71"/>
  <c r="X171" i="71"/>
  <c r="AB170" i="71"/>
  <c r="AA170" i="71"/>
  <c r="Z170" i="71"/>
  <c r="Y170" i="71"/>
  <c r="X170" i="71"/>
  <c r="AB169" i="71"/>
  <c r="AA169" i="71"/>
  <c r="Z169" i="71"/>
  <c r="Y169" i="71"/>
  <c r="X169" i="71"/>
  <c r="AB168" i="71"/>
  <c r="AA168" i="71"/>
  <c r="Z168" i="71"/>
  <c r="Y168" i="71"/>
  <c r="X168" i="71"/>
  <c r="AB167" i="71"/>
  <c r="AA167" i="71"/>
  <c r="Z167" i="71"/>
  <c r="Y167" i="71"/>
  <c r="X167" i="71"/>
  <c r="AB166" i="71"/>
  <c r="AA166" i="71"/>
  <c r="Z166" i="71"/>
  <c r="Y166" i="71"/>
  <c r="X166" i="71"/>
  <c r="AB165" i="71"/>
  <c r="AA165" i="71"/>
  <c r="Z165" i="71"/>
  <c r="Y165" i="71"/>
  <c r="X165" i="71"/>
  <c r="AB164" i="71"/>
  <c r="AA164" i="71"/>
  <c r="Z164" i="71"/>
  <c r="Y164" i="71"/>
  <c r="X164" i="71"/>
  <c r="AB163" i="71"/>
  <c r="AA163" i="71"/>
  <c r="Z163" i="71"/>
  <c r="Y163" i="71"/>
  <c r="X163" i="71"/>
  <c r="AB162" i="71"/>
  <c r="AA162" i="71"/>
  <c r="Z162" i="71"/>
  <c r="Y162" i="71"/>
  <c r="X162" i="71"/>
  <c r="AB161" i="71"/>
  <c r="AA161" i="71"/>
  <c r="Z161" i="71"/>
  <c r="Y161" i="71"/>
  <c r="X161" i="71"/>
  <c r="AB160" i="71"/>
  <c r="AA160" i="71"/>
  <c r="Z160" i="71"/>
  <c r="Y160" i="71"/>
  <c r="X160" i="71"/>
  <c r="AB159" i="71"/>
  <c r="AA159" i="71"/>
  <c r="Z159" i="71"/>
  <c r="Y159" i="71"/>
  <c r="X159" i="71"/>
  <c r="AB158" i="71"/>
  <c r="AA158" i="71"/>
  <c r="Z158" i="71"/>
  <c r="Y158" i="71"/>
  <c r="X158" i="71"/>
  <c r="AB157" i="71"/>
  <c r="AA157" i="71"/>
  <c r="Z157" i="71"/>
  <c r="Y157" i="71"/>
  <c r="X157" i="71"/>
  <c r="AB156" i="71"/>
  <c r="AA156" i="71"/>
  <c r="Z156" i="71"/>
  <c r="Y156" i="71"/>
  <c r="X156" i="71"/>
  <c r="AB155" i="71"/>
  <c r="AA155" i="71"/>
  <c r="Z155" i="71"/>
  <c r="Y155" i="71"/>
  <c r="X155" i="71"/>
  <c r="AB154" i="71"/>
  <c r="AA154" i="71"/>
  <c r="Z154" i="71"/>
  <c r="Y154" i="71"/>
  <c r="X154" i="71"/>
  <c r="AB153" i="71"/>
  <c r="AA153" i="71"/>
  <c r="Z153" i="71"/>
  <c r="Y153" i="71"/>
  <c r="X153" i="71"/>
  <c r="AE151" i="71"/>
  <c r="AD151" i="71"/>
  <c r="AB151" i="71"/>
  <c r="AA151" i="71"/>
  <c r="Z151" i="71"/>
  <c r="Y151" i="71"/>
  <c r="X151" i="71"/>
  <c r="Q180" i="71"/>
  <c r="P180" i="71"/>
  <c r="O180" i="71"/>
  <c r="N180" i="71"/>
  <c r="M180" i="71"/>
  <c r="Q177" i="71"/>
  <c r="P177" i="71"/>
  <c r="O177" i="71"/>
  <c r="N177" i="71"/>
  <c r="M177" i="71"/>
  <c r="Q176" i="71"/>
  <c r="P176" i="71"/>
  <c r="O176" i="71"/>
  <c r="N176" i="71"/>
  <c r="M176" i="71"/>
  <c r="Q175" i="71"/>
  <c r="P175" i="71"/>
  <c r="O175" i="71"/>
  <c r="N175" i="71"/>
  <c r="M175" i="71"/>
  <c r="Q174" i="71"/>
  <c r="P174" i="71"/>
  <c r="O174" i="71"/>
  <c r="N174" i="71"/>
  <c r="M174" i="71"/>
  <c r="Q173" i="71"/>
  <c r="P173" i="71"/>
  <c r="O173" i="71"/>
  <c r="N173" i="71"/>
  <c r="M173" i="71"/>
  <c r="Q172" i="71"/>
  <c r="P172" i="71"/>
  <c r="O172" i="71"/>
  <c r="N172" i="71"/>
  <c r="M172" i="71"/>
  <c r="Q171" i="71"/>
  <c r="P171" i="71"/>
  <c r="O171" i="71"/>
  <c r="N171" i="71"/>
  <c r="M171" i="71"/>
  <c r="Q170" i="71"/>
  <c r="P170" i="71"/>
  <c r="O170" i="71"/>
  <c r="N170" i="71"/>
  <c r="M170" i="71"/>
  <c r="Q169" i="71"/>
  <c r="P169" i="71"/>
  <c r="O169" i="71"/>
  <c r="N169" i="71"/>
  <c r="M169" i="71"/>
  <c r="Q168" i="71"/>
  <c r="P168" i="71"/>
  <c r="O168" i="71"/>
  <c r="N168" i="71"/>
  <c r="M168" i="71"/>
  <c r="Q167" i="71"/>
  <c r="P167" i="71"/>
  <c r="O167" i="71"/>
  <c r="N167" i="71"/>
  <c r="M167" i="71"/>
  <c r="Q166" i="71"/>
  <c r="P166" i="71"/>
  <c r="O166" i="71"/>
  <c r="N166" i="71"/>
  <c r="M166" i="71"/>
  <c r="Q165" i="71"/>
  <c r="P165" i="71"/>
  <c r="O165" i="71"/>
  <c r="N165" i="71"/>
  <c r="M165" i="71"/>
  <c r="Q164" i="71"/>
  <c r="P164" i="71"/>
  <c r="O164" i="71"/>
  <c r="N164" i="71"/>
  <c r="M164" i="71"/>
  <c r="Q163" i="71"/>
  <c r="P163" i="71"/>
  <c r="O163" i="71"/>
  <c r="N163" i="71"/>
  <c r="M163" i="71"/>
  <c r="Q162" i="71"/>
  <c r="P162" i="71"/>
  <c r="O162" i="71"/>
  <c r="N162" i="71"/>
  <c r="M162" i="71"/>
  <c r="Q161" i="71"/>
  <c r="P161" i="71"/>
  <c r="O161" i="71"/>
  <c r="N161" i="71"/>
  <c r="M161" i="71"/>
  <c r="Q160" i="71"/>
  <c r="P160" i="71"/>
  <c r="O160" i="71"/>
  <c r="N160" i="71"/>
  <c r="M160" i="71"/>
  <c r="Q159" i="71"/>
  <c r="P159" i="71"/>
  <c r="O159" i="71"/>
  <c r="N159" i="71"/>
  <c r="M159" i="71"/>
  <c r="Q158" i="71"/>
  <c r="P158" i="71"/>
  <c r="O158" i="71"/>
  <c r="N158" i="71"/>
  <c r="M158" i="71"/>
  <c r="Q157" i="71"/>
  <c r="P157" i="71"/>
  <c r="O157" i="71"/>
  <c r="N157" i="71"/>
  <c r="M157" i="71"/>
  <c r="Q156" i="71"/>
  <c r="P156" i="71"/>
  <c r="O156" i="71"/>
  <c r="N156" i="71"/>
  <c r="M156" i="71"/>
  <c r="Q155" i="71"/>
  <c r="P155" i="71"/>
  <c r="O155" i="71"/>
  <c r="N155" i="71"/>
  <c r="M155" i="71"/>
  <c r="Q154" i="71"/>
  <c r="P154" i="71"/>
  <c r="O154" i="71"/>
  <c r="N154" i="71"/>
  <c r="M154" i="71"/>
  <c r="Q153" i="71"/>
  <c r="P153" i="71"/>
  <c r="O153" i="71"/>
  <c r="N153" i="71"/>
  <c r="M153" i="71"/>
  <c r="T151" i="71"/>
  <c r="S151" i="71"/>
  <c r="Q151" i="71"/>
  <c r="P151" i="71"/>
  <c r="O151" i="71"/>
  <c r="N151" i="71"/>
  <c r="M151" i="71"/>
  <c r="B154" i="71"/>
  <c r="C154" i="71"/>
  <c r="D154" i="71"/>
  <c r="E154" i="71"/>
  <c r="F154" i="71"/>
  <c r="B155" i="71"/>
  <c r="C155" i="71"/>
  <c r="D155" i="71"/>
  <c r="E155" i="71"/>
  <c r="F155" i="71"/>
  <c r="B156" i="71"/>
  <c r="C156" i="71"/>
  <c r="D156" i="71"/>
  <c r="E156" i="71"/>
  <c r="F156" i="71"/>
  <c r="B157" i="71"/>
  <c r="C157" i="71"/>
  <c r="D157" i="71"/>
  <c r="E157" i="71"/>
  <c r="F157" i="71"/>
  <c r="B158" i="71"/>
  <c r="C158" i="71"/>
  <c r="D158" i="71"/>
  <c r="E158" i="71"/>
  <c r="F158" i="71"/>
  <c r="B159" i="71"/>
  <c r="C159" i="71"/>
  <c r="D159" i="71"/>
  <c r="E159" i="71"/>
  <c r="F159" i="71"/>
  <c r="B160" i="71"/>
  <c r="C160" i="71"/>
  <c r="D160" i="71"/>
  <c r="E160" i="71"/>
  <c r="F160" i="71"/>
  <c r="B161" i="71"/>
  <c r="C161" i="71"/>
  <c r="D161" i="71"/>
  <c r="E161" i="71"/>
  <c r="F161" i="71"/>
  <c r="B162" i="71"/>
  <c r="C162" i="71"/>
  <c r="D162" i="71"/>
  <c r="E162" i="71"/>
  <c r="F162" i="71"/>
  <c r="B163" i="71"/>
  <c r="C163" i="71"/>
  <c r="D163" i="71"/>
  <c r="E163" i="71"/>
  <c r="F163" i="71"/>
  <c r="B164" i="71"/>
  <c r="C164" i="71"/>
  <c r="D164" i="71"/>
  <c r="E164" i="71"/>
  <c r="F164" i="71"/>
  <c r="B165" i="71"/>
  <c r="C165" i="71"/>
  <c r="D165" i="71"/>
  <c r="E165" i="71"/>
  <c r="F165" i="71"/>
  <c r="B166" i="71"/>
  <c r="C166" i="71"/>
  <c r="D166" i="71"/>
  <c r="E166" i="71"/>
  <c r="F166" i="71"/>
  <c r="B167" i="71"/>
  <c r="C167" i="71"/>
  <c r="D167" i="71"/>
  <c r="E167" i="71"/>
  <c r="F167" i="71"/>
  <c r="B168" i="71"/>
  <c r="C168" i="71"/>
  <c r="D168" i="71"/>
  <c r="E168" i="71"/>
  <c r="F168" i="71"/>
  <c r="B169" i="71"/>
  <c r="C169" i="71"/>
  <c r="D169" i="71"/>
  <c r="E169" i="71"/>
  <c r="F169" i="71"/>
  <c r="B170" i="71"/>
  <c r="C170" i="71"/>
  <c r="D170" i="71"/>
  <c r="E170" i="71"/>
  <c r="F170" i="71"/>
  <c r="B171" i="71"/>
  <c r="C171" i="71"/>
  <c r="D171" i="71"/>
  <c r="E171" i="71"/>
  <c r="F171" i="71"/>
  <c r="B172" i="71"/>
  <c r="C172" i="71"/>
  <c r="D172" i="71"/>
  <c r="E172" i="71"/>
  <c r="F172" i="71"/>
  <c r="B173" i="71"/>
  <c r="C173" i="71"/>
  <c r="D173" i="71"/>
  <c r="E173" i="71"/>
  <c r="F173" i="71"/>
  <c r="B174" i="71"/>
  <c r="C174" i="71"/>
  <c r="D174" i="71"/>
  <c r="E174" i="71"/>
  <c r="F174" i="71"/>
  <c r="B175" i="71"/>
  <c r="C175" i="71"/>
  <c r="D175" i="71"/>
  <c r="E175" i="71"/>
  <c r="F175" i="71"/>
  <c r="B176" i="71"/>
  <c r="C176" i="71"/>
  <c r="D176" i="71"/>
  <c r="E176" i="71"/>
  <c r="F176" i="71"/>
  <c r="B177" i="71"/>
  <c r="C177" i="71"/>
  <c r="D177" i="71"/>
  <c r="E177" i="71"/>
  <c r="F177" i="71"/>
  <c r="C153" i="71"/>
  <c r="D153" i="71"/>
  <c r="E153" i="71"/>
  <c r="F153" i="71"/>
  <c r="B153" i="71"/>
  <c r="I151" i="71"/>
  <c r="N6" i="75" s="1"/>
  <c r="N81" i="75" s="1"/>
  <c r="H151" i="71"/>
  <c r="M6" i="75" s="1"/>
  <c r="A1" i="75" s="1"/>
  <c r="C151" i="71"/>
  <c r="D151" i="71"/>
  <c r="E151" i="71"/>
  <c r="F151" i="71"/>
  <c r="B151" i="71"/>
  <c r="P36" i="31"/>
  <c r="O64" i="31"/>
  <c r="O53" i="31"/>
  <c r="O54" i="31"/>
  <c r="O55" i="31"/>
  <c r="O56" i="31"/>
  <c r="O57" i="31"/>
  <c r="O58" i="31"/>
  <c r="O59" i="31"/>
  <c r="O60" i="31"/>
  <c r="O61" i="31"/>
  <c r="O65" i="31"/>
  <c r="O38" i="31"/>
  <c r="O39" i="31"/>
  <c r="O40" i="31"/>
  <c r="O41" i="31"/>
  <c r="O42" i="31"/>
  <c r="O43" i="31"/>
  <c r="O44" i="31"/>
  <c r="O45" i="31"/>
  <c r="O46" i="31"/>
  <c r="O47" i="31"/>
  <c r="O48" i="31"/>
  <c r="O49" i="31"/>
  <c r="O50" i="31"/>
  <c r="O51" i="31"/>
  <c r="O52" i="31"/>
  <c r="O37" i="31"/>
  <c r="Q36" i="31"/>
  <c r="P5" i="31"/>
  <c r="T160" i="71" l="1"/>
  <c r="AD153" i="71"/>
  <c r="S165" i="71"/>
  <c r="AE178" i="71"/>
  <c r="AE174" i="71"/>
  <c r="AD178" i="71"/>
  <c r="T178" i="71"/>
  <c r="S178" i="71"/>
  <c r="I178" i="71"/>
  <c r="N9" i="75" s="1"/>
  <c r="H178" i="71"/>
  <c r="M9" i="75" s="1"/>
  <c r="H153" i="71"/>
  <c r="M50" i="75" s="1"/>
  <c r="M81" i="75"/>
  <c r="A80" i="75" s="1"/>
  <c r="S171" i="71"/>
  <c r="H158" i="71"/>
  <c r="M43" i="75" s="1"/>
  <c r="I163" i="71"/>
  <c r="N36" i="75" s="1"/>
  <c r="S157" i="71"/>
  <c r="S156" i="71"/>
  <c r="S168" i="71"/>
  <c r="AD165" i="71"/>
  <c r="AD159" i="71"/>
  <c r="AD168" i="71"/>
  <c r="AD174" i="71"/>
  <c r="T180" i="71"/>
  <c r="T176" i="71"/>
  <c r="AD171" i="71"/>
  <c r="AD177" i="71"/>
  <c r="I168" i="71"/>
  <c r="N27" i="75" s="1"/>
  <c r="I156" i="71"/>
  <c r="N45" i="75" s="1"/>
  <c r="S153" i="71"/>
  <c r="I157" i="71"/>
  <c r="N44" i="75" s="1"/>
  <c r="H164" i="71"/>
  <c r="M33" i="75" s="1"/>
  <c r="S154" i="71"/>
  <c r="H177" i="71"/>
  <c r="M10" i="75" s="1"/>
  <c r="H165" i="71"/>
  <c r="M32" i="75" s="1"/>
  <c r="I153" i="71"/>
  <c r="N50" i="75" s="1"/>
  <c r="S162" i="71"/>
  <c r="H154" i="71"/>
  <c r="M49" i="75" s="1"/>
  <c r="I175" i="71"/>
  <c r="N14" i="75" s="1"/>
  <c r="S174" i="71"/>
  <c r="I167" i="71"/>
  <c r="N28" i="75" s="1"/>
  <c r="I155" i="71"/>
  <c r="N46" i="75" s="1"/>
  <c r="S159" i="71"/>
  <c r="AD156" i="71"/>
  <c r="AD162" i="71"/>
  <c r="H176" i="71"/>
  <c r="M13" i="75" s="1"/>
  <c r="H175" i="71"/>
  <c r="M14" i="75" s="1"/>
  <c r="H163" i="71"/>
  <c r="M36" i="75" s="1"/>
  <c r="I166" i="71"/>
  <c r="N29" i="75" s="1"/>
  <c r="I154" i="71"/>
  <c r="N49" i="75" s="1"/>
  <c r="H174" i="71"/>
  <c r="M17" i="75" s="1"/>
  <c r="H162" i="71"/>
  <c r="M37" i="75" s="1"/>
  <c r="I177" i="71"/>
  <c r="N10" i="75" s="1"/>
  <c r="I165" i="71"/>
  <c r="N32" i="75" s="1"/>
  <c r="H173" i="71"/>
  <c r="M18" i="75" s="1"/>
  <c r="H161" i="71"/>
  <c r="M38" i="75" s="1"/>
  <c r="I176" i="71"/>
  <c r="N13" i="75" s="1"/>
  <c r="I164" i="71"/>
  <c r="N33" i="75" s="1"/>
  <c r="H172" i="71"/>
  <c r="M21" i="75" s="1"/>
  <c r="H160" i="71"/>
  <c r="M39" i="75" s="1"/>
  <c r="H171" i="71"/>
  <c r="M22" i="75" s="1"/>
  <c r="H159" i="71"/>
  <c r="M40" i="75" s="1"/>
  <c r="I174" i="71"/>
  <c r="N17" i="75" s="1"/>
  <c r="I162" i="71"/>
  <c r="N37" i="75" s="1"/>
  <c r="H170" i="71"/>
  <c r="M23" i="75" s="1"/>
  <c r="I173" i="71"/>
  <c r="N18" i="75" s="1"/>
  <c r="I161" i="71"/>
  <c r="N38" i="75" s="1"/>
  <c r="H169" i="71"/>
  <c r="M26" i="75" s="1"/>
  <c r="H157" i="71"/>
  <c r="M44" i="75" s="1"/>
  <c r="I172" i="71"/>
  <c r="N21" i="75" s="1"/>
  <c r="I160" i="71"/>
  <c r="N39" i="75" s="1"/>
  <c r="H168" i="71"/>
  <c r="M27" i="75" s="1"/>
  <c r="H156" i="71"/>
  <c r="M45" i="75" s="1"/>
  <c r="I171" i="71"/>
  <c r="N22" i="75" s="1"/>
  <c r="I159" i="71"/>
  <c r="N40" i="75" s="1"/>
  <c r="H167" i="71"/>
  <c r="M28" i="75" s="1"/>
  <c r="H155" i="71"/>
  <c r="M46" i="75" s="1"/>
  <c r="I170" i="71"/>
  <c r="N23" i="75" s="1"/>
  <c r="I158" i="71"/>
  <c r="N43" i="75" s="1"/>
  <c r="H166" i="71"/>
  <c r="M29" i="75" s="1"/>
  <c r="I169" i="71"/>
  <c r="N26" i="75" s="1"/>
  <c r="AD180" i="71"/>
  <c r="AE180" i="71"/>
  <c r="AE156" i="71"/>
  <c r="AE159" i="71"/>
  <c r="AE162" i="71"/>
  <c r="AE165" i="71"/>
  <c r="AE168" i="71"/>
  <c r="AE171" i="71"/>
  <c r="AE153" i="71"/>
  <c r="AE177" i="71"/>
  <c r="AD155" i="71"/>
  <c r="AD158" i="71"/>
  <c r="AD161" i="71"/>
  <c r="AD164" i="71"/>
  <c r="AD167" i="71"/>
  <c r="AD170" i="71"/>
  <c r="AD173" i="71"/>
  <c r="AD176" i="71"/>
  <c r="AE155" i="71"/>
  <c r="AE158" i="71"/>
  <c r="AE161" i="71"/>
  <c r="AE164" i="71"/>
  <c r="AE167" i="71"/>
  <c r="AE170" i="71"/>
  <c r="AE173" i="71"/>
  <c r="AE176" i="71"/>
  <c r="AD154" i="71"/>
  <c r="AD157" i="71"/>
  <c r="AD160" i="71"/>
  <c r="AD163" i="71"/>
  <c r="AD166" i="71"/>
  <c r="AD169" i="71"/>
  <c r="AD172" i="71"/>
  <c r="AD175" i="71"/>
  <c r="AE154" i="71"/>
  <c r="AE157" i="71"/>
  <c r="AE160" i="71"/>
  <c r="AE163" i="71"/>
  <c r="AE166" i="71"/>
  <c r="AE169" i="71"/>
  <c r="AE172" i="71"/>
  <c r="AE175" i="71"/>
  <c r="S175" i="71"/>
  <c r="S180" i="71"/>
  <c r="T157" i="71"/>
  <c r="T172" i="71"/>
  <c r="S177" i="71"/>
  <c r="T156" i="71"/>
  <c r="T162" i="71"/>
  <c r="T171" i="71"/>
  <c r="T153" i="71"/>
  <c r="T168" i="71"/>
  <c r="T174" i="71"/>
  <c r="T165" i="71"/>
  <c r="S155" i="71"/>
  <c r="S158" i="71"/>
  <c r="S161" i="71"/>
  <c r="S164" i="71"/>
  <c r="S167" i="71"/>
  <c r="S170" i="71"/>
  <c r="S173" i="71"/>
  <c r="S176" i="71"/>
  <c r="T159" i="71"/>
  <c r="T177" i="71"/>
  <c r="T155" i="71"/>
  <c r="T158" i="71"/>
  <c r="T161" i="71"/>
  <c r="T164" i="71"/>
  <c r="T167" i="71"/>
  <c r="T170" i="71"/>
  <c r="T173" i="71"/>
  <c r="S172" i="71"/>
  <c r="S160" i="71"/>
  <c r="S163" i="71"/>
  <c r="S166" i="71"/>
  <c r="S169" i="71"/>
  <c r="T154" i="71"/>
  <c r="T163" i="71"/>
  <c r="T166" i="71"/>
  <c r="T169" i="71"/>
  <c r="T175" i="71"/>
  <c r="Q18" i="109"/>
  <c r="Q9" i="109"/>
  <c r="Q10" i="109"/>
  <c r="Q11" i="109"/>
  <c r="Q12" i="109"/>
  <c r="Q13" i="109"/>
  <c r="Q14" i="109"/>
  <c r="Q15" i="109"/>
  <c r="Q16" i="109"/>
  <c r="Q8" i="109"/>
  <c r="AD18" i="109"/>
  <c r="AC18" i="109"/>
  <c r="AB18" i="109"/>
  <c r="AB32" i="109" s="1"/>
  <c r="Y18" i="109"/>
  <c r="X18" i="109"/>
  <c r="W18" i="109"/>
  <c r="T18" i="109"/>
  <c r="S18" i="109"/>
  <c r="R18" i="109"/>
  <c r="AE16" i="109"/>
  <c r="Z16" i="109"/>
  <c r="U16" i="109"/>
  <c r="AE15" i="109"/>
  <c r="Z15" i="109"/>
  <c r="U15" i="109"/>
  <c r="AE14" i="109"/>
  <c r="Z14" i="109"/>
  <c r="U14" i="109"/>
  <c r="AE13" i="109"/>
  <c r="Z13" i="109"/>
  <c r="U13" i="109"/>
  <c r="AE12" i="109"/>
  <c r="Z12" i="109"/>
  <c r="U12" i="109"/>
  <c r="AE11" i="109"/>
  <c r="Z11" i="109"/>
  <c r="U11" i="109"/>
  <c r="AE10" i="109"/>
  <c r="Z10" i="109"/>
  <c r="U10" i="109"/>
  <c r="AE9" i="109"/>
  <c r="Z9" i="109"/>
  <c r="U9" i="109"/>
  <c r="AE8" i="109"/>
  <c r="Z8" i="109"/>
  <c r="U8" i="109"/>
  <c r="O16" i="109"/>
  <c r="O15" i="109"/>
  <c r="O14" i="109"/>
  <c r="O13" i="109"/>
  <c r="O12" i="109"/>
  <c r="O11" i="109"/>
  <c r="O10" i="109"/>
  <c r="O9" i="109"/>
  <c r="O8" i="109"/>
  <c r="J16" i="109"/>
  <c r="J15" i="109"/>
  <c r="J14" i="109"/>
  <c r="J13" i="109"/>
  <c r="J12" i="109"/>
  <c r="J11" i="109"/>
  <c r="J10" i="109"/>
  <c r="J9" i="109"/>
  <c r="J8" i="109"/>
  <c r="Z18" i="109" l="1"/>
  <c r="AE18" i="109"/>
  <c r="U18" i="109"/>
  <c r="B36" i="103"/>
  <c r="AU16" i="109"/>
  <c r="AU15" i="109"/>
  <c r="AU14" i="109"/>
  <c r="AU13" i="109"/>
  <c r="AU12" i="109"/>
  <c r="AU11" i="109"/>
  <c r="AU10" i="109"/>
  <c r="AU9" i="109"/>
  <c r="AU8" i="109"/>
  <c r="AP16" i="109"/>
  <c r="AP15" i="109"/>
  <c r="AP14" i="109"/>
  <c r="AP13" i="109"/>
  <c r="AP12" i="109"/>
  <c r="AP11" i="109"/>
  <c r="AP10" i="109"/>
  <c r="AP9" i="109"/>
  <c r="AP8" i="109"/>
  <c r="AK16" i="109"/>
  <c r="AK15" i="109"/>
  <c r="AK14" i="109"/>
  <c r="AK13" i="109"/>
  <c r="AK12" i="109"/>
  <c r="AK11" i="109"/>
  <c r="AK10" i="109"/>
  <c r="AK9" i="109"/>
  <c r="AK8" i="109"/>
  <c r="AT18" i="109"/>
  <c r="AS18" i="109"/>
  <c r="AR18" i="109"/>
  <c r="AO18" i="109"/>
  <c r="AN18" i="109"/>
  <c r="AM18" i="109"/>
  <c r="AJ18" i="109"/>
  <c r="AI18" i="109"/>
  <c r="AI27" i="109" s="1"/>
  <c r="AH18" i="109"/>
  <c r="N18" i="109"/>
  <c r="M18" i="109"/>
  <c r="L18" i="109"/>
  <c r="I18" i="109"/>
  <c r="H18" i="109"/>
  <c r="G18" i="109"/>
  <c r="C18" i="109"/>
  <c r="D18" i="109"/>
  <c r="B18" i="109"/>
  <c r="B26" i="109" s="1"/>
  <c r="E8" i="109"/>
  <c r="AP18" i="109" l="1"/>
  <c r="AP36" i="109" s="1"/>
  <c r="AP47" i="109"/>
  <c r="AK18" i="109"/>
  <c r="AK54" i="109" s="1"/>
  <c r="AU18" i="109"/>
  <c r="AU54" i="109" s="1"/>
  <c r="O18" i="109"/>
  <c r="O33" i="109" s="1"/>
  <c r="J45" i="109"/>
  <c r="J18" i="109"/>
  <c r="J26" i="109" s="1"/>
  <c r="J50" i="109"/>
  <c r="E44" i="109"/>
  <c r="E9" i="109"/>
  <c r="O45" i="109" s="1"/>
  <c r="E10" i="109"/>
  <c r="E11" i="109"/>
  <c r="E47" i="109" s="1"/>
  <c r="E12" i="109"/>
  <c r="E13" i="109"/>
  <c r="E14" i="109"/>
  <c r="O50" i="109" s="1"/>
  <c r="E15" i="109"/>
  <c r="O51" i="109" s="1"/>
  <c r="E16" i="109"/>
  <c r="E18" i="109"/>
  <c r="AG18" i="109"/>
  <c r="AG9" i="109"/>
  <c r="AG10" i="109"/>
  <c r="AG11" i="109"/>
  <c r="AG12" i="109"/>
  <c r="AG13" i="109"/>
  <c r="AG14" i="109"/>
  <c r="AG15" i="109"/>
  <c r="AG16" i="109"/>
  <c r="AG8" i="109"/>
  <c r="AT54" i="109"/>
  <c r="AS54" i="109"/>
  <c r="AR54" i="109"/>
  <c r="AO54" i="109"/>
  <c r="N28" i="108" s="1"/>
  <c r="AN54" i="109"/>
  <c r="O28" i="108" s="1"/>
  <c r="AM54" i="109"/>
  <c r="P28" i="108" s="1"/>
  <c r="AJ54" i="109"/>
  <c r="AI54" i="109"/>
  <c r="AH54" i="109"/>
  <c r="AU52" i="109"/>
  <c r="AT52" i="109"/>
  <c r="AS52" i="109"/>
  <c r="AR52" i="109"/>
  <c r="AP52" i="109"/>
  <c r="AO52" i="109"/>
  <c r="N26" i="108" s="1"/>
  <c r="AN52" i="109"/>
  <c r="O26" i="108" s="1"/>
  <c r="AM52" i="109"/>
  <c r="P26" i="108" s="1"/>
  <c r="AK52" i="109"/>
  <c r="AJ52" i="109"/>
  <c r="AI52" i="109"/>
  <c r="AH52" i="109"/>
  <c r="AU51" i="109"/>
  <c r="AT51" i="109"/>
  <c r="AS51" i="109"/>
  <c r="AR51" i="109"/>
  <c r="AP51" i="109"/>
  <c r="AO51" i="109"/>
  <c r="N25" i="108" s="1"/>
  <c r="AN51" i="109"/>
  <c r="O25" i="108" s="1"/>
  <c r="AM51" i="109"/>
  <c r="P25" i="108" s="1"/>
  <c r="AK51" i="109"/>
  <c r="AJ51" i="109"/>
  <c r="AI51" i="109"/>
  <c r="AH51" i="109"/>
  <c r="AU50" i="109"/>
  <c r="AT50" i="109"/>
  <c r="AS50" i="109"/>
  <c r="AR50" i="109"/>
  <c r="AP50" i="109"/>
  <c r="AO50" i="109"/>
  <c r="N24" i="108" s="1"/>
  <c r="AN50" i="109"/>
  <c r="O24" i="108" s="1"/>
  <c r="AM50" i="109"/>
  <c r="P24" i="108" s="1"/>
  <c r="AK50" i="109"/>
  <c r="AJ50" i="109"/>
  <c r="AI50" i="109"/>
  <c r="AH50" i="109"/>
  <c r="AU49" i="109"/>
  <c r="AT49" i="109"/>
  <c r="AS49" i="109"/>
  <c r="AR49" i="109"/>
  <c r="AP49" i="109"/>
  <c r="AO49" i="109"/>
  <c r="N23" i="108" s="1"/>
  <c r="AN49" i="109"/>
  <c r="O23" i="108" s="1"/>
  <c r="AM49" i="109"/>
  <c r="P23" i="108" s="1"/>
  <c r="AK49" i="109"/>
  <c r="AJ49" i="109"/>
  <c r="AI49" i="109"/>
  <c r="AH49" i="109"/>
  <c r="AU48" i="109"/>
  <c r="AT48" i="109"/>
  <c r="AS48" i="109"/>
  <c r="AR48" i="109"/>
  <c r="AP48" i="109"/>
  <c r="AO48" i="109"/>
  <c r="N22" i="108" s="1"/>
  <c r="AN48" i="109"/>
  <c r="O22" i="108" s="1"/>
  <c r="AM48" i="109"/>
  <c r="P22" i="108" s="1"/>
  <c r="AK48" i="109"/>
  <c r="AJ48" i="109"/>
  <c r="AI48" i="109"/>
  <c r="AH48" i="109"/>
  <c r="AU47" i="109"/>
  <c r="AT47" i="109"/>
  <c r="AS47" i="109"/>
  <c r="AR47" i="109"/>
  <c r="AO47" i="109"/>
  <c r="N21" i="108" s="1"/>
  <c r="AN47" i="109"/>
  <c r="O21" i="108" s="1"/>
  <c r="AM47" i="109"/>
  <c r="P21" i="108" s="1"/>
  <c r="AK47" i="109"/>
  <c r="AJ47" i="109"/>
  <c r="AI47" i="109"/>
  <c r="AH47" i="109"/>
  <c r="AU46" i="109"/>
  <c r="AT46" i="109"/>
  <c r="AS46" i="109"/>
  <c r="AR46" i="109"/>
  <c r="AP46" i="109"/>
  <c r="AO46" i="109"/>
  <c r="N20" i="108" s="1"/>
  <c r="AN46" i="109"/>
  <c r="O20" i="108" s="1"/>
  <c r="AM46" i="109"/>
  <c r="P20" i="108" s="1"/>
  <c r="AK46" i="109"/>
  <c r="AJ46" i="109"/>
  <c r="AI46" i="109"/>
  <c r="AH46" i="109"/>
  <c r="AU45" i="109"/>
  <c r="AT45" i="109"/>
  <c r="AS45" i="109"/>
  <c r="AR45" i="109"/>
  <c r="AP45" i="109"/>
  <c r="AO45" i="109"/>
  <c r="N19" i="108" s="1"/>
  <c r="AN45" i="109"/>
  <c r="O19" i="108" s="1"/>
  <c r="AM45" i="109"/>
  <c r="P19" i="108" s="1"/>
  <c r="AK45" i="109"/>
  <c r="AJ45" i="109"/>
  <c r="AI45" i="109"/>
  <c r="AH45" i="109"/>
  <c r="AU44" i="109"/>
  <c r="AT44" i="109"/>
  <c r="AS44" i="109"/>
  <c r="AR44" i="109"/>
  <c r="AP44" i="109"/>
  <c r="AO44" i="109"/>
  <c r="N18" i="108" s="1"/>
  <c r="AN44" i="109"/>
  <c r="O18" i="108" s="1"/>
  <c r="AM44" i="109"/>
  <c r="P18" i="108" s="1"/>
  <c r="AK44" i="109"/>
  <c r="AJ44" i="109"/>
  <c r="AI44" i="109"/>
  <c r="AH44" i="109"/>
  <c r="AR41" i="109"/>
  <c r="AM41" i="109"/>
  <c r="AH41" i="109"/>
  <c r="AT36" i="109"/>
  <c r="AS36" i="109"/>
  <c r="AR36" i="109"/>
  <c r="AO36" i="109"/>
  <c r="AN36" i="109"/>
  <c r="AM36" i="109"/>
  <c r="AK36" i="109"/>
  <c r="AJ36" i="109"/>
  <c r="AI36" i="109"/>
  <c r="AH36" i="109"/>
  <c r="AU34" i="109"/>
  <c r="AT34" i="109"/>
  <c r="AS34" i="109"/>
  <c r="AR34" i="109"/>
  <c r="AO34" i="109"/>
  <c r="AN34" i="109"/>
  <c r="AM34" i="109"/>
  <c r="AK34" i="109"/>
  <c r="AJ34" i="109"/>
  <c r="AI34" i="109"/>
  <c r="AH34" i="109"/>
  <c r="AT33" i="109"/>
  <c r="AS33" i="109"/>
  <c r="AR33" i="109"/>
  <c r="AO33" i="109"/>
  <c r="AN33" i="109"/>
  <c r="AM33" i="109"/>
  <c r="AK33" i="109"/>
  <c r="AJ33" i="109"/>
  <c r="AI33" i="109"/>
  <c r="AH33" i="109"/>
  <c r="AT32" i="109"/>
  <c r="AS32" i="109"/>
  <c r="AR32" i="109"/>
  <c r="AO32" i="109"/>
  <c r="AN32" i="109"/>
  <c r="AM32" i="109"/>
  <c r="AK32" i="109"/>
  <c r="AJ32" i="109"/>
  <c r="AI32" i="109"/>
  <c r="AH32" i="109"/>
  <c r="AT31" i="109"/>
  <c r="AS31" i="109"/>
  <c r="AR31" i="109"/>
  <c r="AO31" i="109"/>
  <c r="AN31" i="109"/>
  <c r="AM31" i="109"/>
  <c r="AK31" i="109"/>
  <c r="AJ31" i="109"/>
  <c r="AI31" i="109"/>
  <c r="AH31" i="109"/>
  <c r="AU30" i="109"/>
  <c r="AT30" i="109"/>
  <c r="AS30" i="109"/>
  <c r="AR30" i="109"/>
  <c r="AO30" i="109"/>
  <c r="AN30" i="109"/>
  <c r="AM30" i="109"/>
  <c r="AK30" i="109"/>
  <c r="AJ30" i="109"/>
  <c r="AI30" i="109"/>
  <c r="AH30" i="109"/>
  <c r="AU29" i="109"/>
  <c r="AT29" i="109"/>
  <c r="AS29" i="109"/>
  <c r="AR29" i="109"/>
  <c r="AO29" i="109"/>
  <c r="AN29" i="109"/>
  <c r="AM29" i="109"/>
  <c r="AK29" i="109"/>
  <c r="AJ29" i="109"/>
  <c r="AI29" i="109"/>
  <c r="AH29" i="109"/>
  <c r="AT28" i="109"/>
  <c r="AS28" i="109"/>
  <c r="AR28" i="109"/>
  <c r="AO28" i="109"/>
  <c r="AN28" i="109"/>
  <c r="AM28" i="109"/>
  <c r="AK28" i="109"/>
  <c r="AJ28" i="109"/>
  <c r="AI28" i="109"/>
  <c r="AH28" i="109"/>
  <c r="AT27" i="109"/>
  <c r="AS27" i="109"/>
  <c r="AR27" i="109"/>
  <c r="AO27" i="109"/>
  <c r="AN27" i="109"/>
  <c r="AM27" i="109"/>
  <c r="AK27" i="109"/>
  <c r="AJ27" i="109"/>
  <c r="AH27" i="109"/>
  <c r="AT26" i="109"/>
  <c r="AS26" i="109"/>
  <c r="AR26" i="109"/>
  <c r="AP26" i="109"/>
  <c r="AO26" i="109"/>
  <c r="AN26" i="109"/>
  <c r="AM26" i="109"/>
  <c r="AJ26" i="109"/>
  <c r="AI26" i="109"/>
  <c r="AH26" i="109"/>
  <c r="AR23" i="109"/>
  <c r="AM23" i="109"/>
  <c r="AH23" i="109"/>
  <c r="W54" i="109"/>
  <c r="P43" i="108" s="1"/>
  <c r="U54" i="109"/>
  <c r="T54" i="109"/>
  <c r="W52" i="109"/>
  <c r="P41" i="108" s="1"/>
  <c r="U52" i="109"/>
  <c r="T52" i="109"/>
  <c r="W51" i="109"/>
  <c r="P40" i="108" s="1"/>
  <c r="U51" i="109"/>
  <c r="T51" i="109"/>
  <c r="W50" i="109"/>
  <c r="P39" i="108" s="1"/>
  <c r="U50" i="109"/>
  <c r="T50" i="109"/>
  <c r="W49" i="109"/>
  <c r="P38" i="108" s="1"/>
  <c r="U49" i="109"/>
  <c r="T49" i="109"/>
  <c r="W48" i="109"/>
  <c r="P37" i="108" s="1"/>
  <c r="U48" i="109"/>
  <c r="T48" i="109"/>
  <c r="W47" i="109"/>
  <c r="P36" i="108" s="1"/>
  <c r="U47" i="109"/>
  <c r="T47" i="109"/>
  <c r="P35" i="108"/>
  <c r="U46" i="109"/>
  <c r="T46" i="109"/>
  <c r="W45" i="109"/>
  <c r="P34" i="108" s="1"/>
  <c r="U45" i="109"/>
  <c r="T45" i="109"/>
  <c r="W44" i="109"/>
  <c r="P33" i="108" s="1"/>
  <c r="U44" i="109"/>
  <c r="T44" i="109"/>
  <c r="AB41" i="109"/>
  <c r="W41" i="109"/>
  <c r="R41" i="109"/>
  <c r="AB36" i="109"/>
  <c r="Z36" i="109"/>
  <c r="Y36" i="109"/>
  <c r="X36" i="109"/>
  <c r="W36" i="109"/>
  <c r="U36" i="109"/>
  <c r="T36" i="109"/>
  <c r="AB34" i="109"/>
  <c r="Z34" i="109"/>
  <c r="Y34" i="109"/>
  <c r="X34" i="109"/>
  <c r="W34" i="109"/>
  <c r="U34" i="109"/>
  <c r="T34" i="109"/>
  <c r="AB33" i="109"/>
  <c r="Z33" i="109"/>
  <c r="Y33" i="109"/>
  <c r="X33" i="109"/>
  <c r="W33" i="109"/>
  <c r="U33" i="109"/>
  <c r="T33" i="109"/>
  <c r="Z32" i="109"/>
  <c r="Y32" i="109"/>
  <c r="X32" i="109"/>
  <c r="W32" i="109"/>
  <c r="U32" i="109"/>
  <c r="T32" i="109"/>
  <c r="AB31" i="109"/>
  <c r="Z31" i="109"/>
  <c r="Y31" i="109"/>
  <c r="X31" i="109"/>
  <c r="W31" i="109"/>
  <c r="U31" i="109"/>
  <c r="T31" i="109"/>
  <c r="AB30" i="109"/>
  <c r="Z30" i="109"/>
  <c r="Y30" i="109"/>
  <c r="X30" i="109"/>
  <c r="W30" i="109"/>
  <c r="U30" i="109"/>
  <c r="T30" i="109"/>
  <c r="AB29" i="109"/>
  <c r="Z29" i="109"/>
  <c r="Y29" i="109"/>
  <c r="X29" i="109"/>
  <c r="W29" i="109"/>
  <c r="U29" i="109"/>
  <c r="T29" i="109"/>
  <c r="AB28" i="109"/>
  <c r="Z28" i="109"/>
  <c r="Y28" i="109"/>
  <c r="X28" i="109"/>
  <c r="W28" i="109"/>
  <c r="U28" i="109"/>
  <c r="T28" i="109"/>
  <c r="AB27" i="109"/>
  <c r="Z27" i="109"/>
  <c r="Y27" i="109"/>
  <c r="X27" i="109"/>
  <c r="W27" i="109"/>
  <c r="U27" i="109"/>
  <c r="T27" i="109"/>
  <c r="AB26" i="109"/>
  <c r="Z26" i="109"/>
  <c r="Y26" i="109"/>
  <c r="X26" i="109"/>
  <c r="W26" i="109"/>
  <c r="U26" i="109"/>
  <c r="T26" i="109"/>
  <c r="AB23" i="109"/>
  <c r="W23" i="109"/>
  <c r="R23" i="109"/>
  <c r="AD52" i="109"/>
  <c r="AD51" i="109"/>
  <c r="AD49" i="109"/>
  <c r="AD47" i="109"/>
  <c r="Y46" i="109"/>
  <c r="N35" i="108" s="1"/>
  <c r="AD45" i="109"/>
  <c r="S49" i="109"/>
  <c r="S48" i="109"/>
  <c r="S47" i="109"/>
  <c r="S45" i="109"/>
  <c r="C26" i="109"/>
  <c r="D26" i="109"/>
  <c r="G26" i="109"/>
  <c r="H26" i="109"/>
  <c r="I26" i="109"/>
  <c r="L26" i="109"/>
  <c r="M26" i="109"/>
  <c r="N26" i="109"/>
  <c r="C27" i="109"/>
  <c r="D27" i="109"/>
  <c r="G27" i="109"/>
  <c r="H27" i="109"/>
  <c r="I27" i="109"/>
  <c r="L27" i="109"/>
  <c r="M27" i="109"/>
  <c r="N27" i="109"/>
  <c r="C28" i="109"/>
  <c r="D28" i="109"/>
  <c r="G28" i="109"/>
  <c r="H28" i="109"/>
  <c r="I28" i="109"/>
  <c r="L28" i="109"/>
  <c r="M28" i="109"/>
  <c r="N28" i="109"/>
  <c r="C29" i="109"/>
  <c r="D29" i="109"/>
  <c r="G29" i="109"/>
  <c r="H29" i="109"/>
  <c r="I29" i="109"/>
  <c r="L29" i="109"/>
  <c r="M29" i="109"/>
  <c r="N29" i="109"/>
  <c r="O29" i="109"/>
  <c r="C30" i="109"/>
  <c r="D30" i="109"/>
  <c r="G30" i="109"/>
  <c r="H30" i="109"/>
  <c r="I30" i="109"/>
  <c r="L30" i="109"/>
  <c r="M30" i="109"/>
  <c r="N30" i="109"/>
  <c r="C31" i="109"/>
  <c r="D31" i="109"/>
  <c r="G31" i="109"/>
  <c r="H31" i="109"/>
  <c r="I31" i="109"/>
  <c r="L31" i="109"/>
  <c r="M31" i="109"/>
  <c r="N31" i="109"/>
  <c r="C32" i="109"/>
  <c r="D32" i="109"/>
  <c r="G32" i="109"/>
  <c r="H32" i="109"/>
  <c r="I32" i="109"/>
  <c r="L32" i="109"/>
  <c r="M32" i="109"/>
  <c r="N32" i="109"/>
  <c r="C33" i="109"/>
  <c r="D33" i="109"/>
  <c r="G33" i="109"/>
  <c r="H33" i="109"/>
  <c r="I33" i="109"/>
  <c r="L33" i="109"/>
  <c r="M33" i="109"/>
  <c r="N33" i="109"/>
  <c r="C34" i="109"/>
  <c r="D34" i="109"/>
  <c r="G34" i="109"/>
  <c r="H34" i="109"/>
  <c r="I34" i="109"/>
  <c r="L34" i="109"/>
  <c r="M34" i="109"/>
  <c r="N34" i="109"/>
  <c r="C36" i="109"/>
  <c r="D36" i="109"/>
  <c r="G36" i="109"/>
  <c r="H36" i="109"/>
  <c r="I36" i="109"/>
  <c r="L36" i="109"/>
  <c r="M36" i="109"/>
  <c r="N36" i="109"/>
  <c r="L45" i="109"/>
  <c r="M45" i="109"/>
  <c r="N45" i="109"/>
  <c r="L46" i="109"/>
  <c r="M46" i="109"/>
  <c r="N46" i="109"/>
  <c r="L47" i="109"/>
  <c r="M47" i="109"/>
  <c r="N47" i="109"/>
  <c r="L48" i="109"/>
  <c r="M48" i="109"/>
  <c r="N48" i="109"/>
  <c r="L49" i="109"/>
  <c r="M49" i="109"/>
  <c r="N49" i="109"/>
  <c r="L50" i="109"/>
  <c r="M50" i="109"/>
  <c r="N50" i="109"/>
  <c r="L51" i="109"/>
  <c r="M51" i="109"/>
  <c r="N51" i="109"/>
  <c r="L52" i="109"/>
  <c r="M52" i="109"/>
  <c r="N52" i="109"/>
  <c r="L54" i="109"/>
  <c r="M54" i="109"/>
  <c r="N54" i="109"/>
  <c r="M44" i="109"/>
  <c r="N44" i="109"/>
  <c r="L44" i="109"/>
  <c r="G45" i="109"/>
  <c r="P4" i="108" s="1"/>
  <c r="H45" i="109"/>
  <c r="O4" i="108" s="1"/>
  <c r="I45" i="109"/>
  <c r="N4" i="108" s="1"/>
  <c r="G46" i="109"/>
  <c r="P5" i="108" s="1"/>
  <c r="H46" i="109"/>
  <c r="O5" i="108" s="1"/>
  <c r="I46" i="109"/>
  <c r="N5" i="108" s="1"/>
  <c r="G47" i="109"/>
  <c r="P6" i="108" s="1"/>
  <c r="H47" i="109"/>
  <c r="O6" i="108" s="1"/>
  <c r="I47" i="109"/>
  <c r="N6" i="108" s="1"/>
  <c r="J47" i="109"/>
  <c r="G48" i="109"/>
  <c r="P7" i="108" s="1"/>
  <c r="H48" i="109"/>
  <c r="O7" i="108" s="1"/>
  <c r="I48" i="109"/>
  <c r="N7" i="108" s="1"/>
  <c r="G49" i="109"/>
  <c r="P8" i="108" s="1"/>
  <c r="H49" i="109"/>
  <c r="O8" i="108" s="1"/>
  <c r="I49" i="109"/>
  <c r="N8" i="108" s="1"/>
  <c r="J49" i="109"/>
  <c r="G50" i="109"/>
  <c r="P9" i="108" s="1"/>
  <c r="H50" i="109"/>
  <c r="O9" i="108" s="1"/>
  <c r="I50" i="109"/>
  <c r="N9" i="108" s="1"/>
  <c r="G51" i="109"/>
  <c r="P10" i="108" s="1"/>
  <c r="H51" i="109"/>
  <c r="O10" i="108" s="1"/>
  <c r="I51" i="109"/>
  <c r="N10" i="108" s="1"/>
  <c r="G52" i="109"/>
  <c r="P11" i="108" s="1"/>
  <c r="H52" i="109"/>
  <c r="O11" i="108" s="1"/>
  <c r="I52" i="109"/>
  <c r="N11" i="108" s="1"/>
  <c r="G54" i="109"/>
  <c r="P13" i="108" s="1"/>
  <c r="H54" i="109"/>
  <c r="O13" i="108" s="1"/>
  <c r="I54" i="109"/>
  <c r="N13" i="108" s="1"/>
  <c r="H44" i="109"/>
  <c r="O3" i="108" s="1"/>
  <c r="I44" i="109"/>
  <c r="N3" i="108" s="1"/>
  <c r="G44" i="109"/>
  <c r="P3" i="108" s="1"/>
  <c r="B45" i="109"/>
  <c r="C45" i="109"/>
  <c r="D45" i="109"/>
  <c r="B46" i="109"/>
  <c r="C46" i="109"/>
  <c r="D46" i="109"/>
  <c r="B47" i="109"/>
  <c r="C47" i="109"/>
  <c r="D47" i="109"/>
  <c r="B48" i="109"/>
  <c r="C48" i="109"/>
  <c r="D48" i="109"/>
  <c r="B49" i="109"/>
  <c r="C49" i="109"/>
  <c r="D49" i="109"/>
  <c r="B50" i="109"/>
  <c r="C50" i="109"/>
  <c r="D50" i="109"/>
  <c r="B51" i="109"/>
  <c r="C51" i="109"/>
  <c r="D51" i="109"/>
  <c r="B52" i="109"/>
  <c r="C52" i="109"/>
  <c r="D52" i="109"/>
  <c r="B54" i="109"/>
  <c r="C54" i="109"/>
  <c r="D54" i="109"/>
  <c r="C44" i="109"/>
  <c r="D44" i="109"/>
  <c r="B44" i="109"/>
  <c r="L41" i="109"/>
  <c r="G41" i="109"/>
  <c r="B41" i="109"/>
  <c r="L23" i="109"/>
  <c r="G23" i="109"/>
  <c r="B23" i="109"/>
  <c r="A8" i="109"/>
  <c r="AG26" i="109" s="1"/>
  <c r="A9" i="109"/>
  <c r="Q27" i="109" s="1"/>
  <c r="A10" i="109"/>
  <c r="Q28" i="109" s="1"/>
  <c r="A11" i="109"/>
  <c r="Q29" i="109" s="1"/>
  <c r="A12" i="109"/>
  <c r="Q30" i="109" s="1"/>
  <c r="A13" i="109"/>
  <c r="Q31" i="109" s="1"/>
  <c r="A14" i="109"/>
  <c r="Q32" i="109" s="1"/>
  <c r="A15" i="109"/>
  <c r="AG51" i="109" s="1"/>
  <c r="A16" i="109"/>
  <c r="AG34" i="109" s="1"/>
  <c r="A18" i="109"/>
  <c r="Q36" i="109" s="1"/>
  <c r="N1" i="108"/>
  <c r="M35" i="108"/>
  <c r="M43" i="108"/>
  <c r="M28" i="108"/>
  <c r="M13" i="108"/>
  <c r="M11" i="108"/>
  <c r="M26" i="108" s="1"/>
  <c r="M10" i="108"/>
  <c r="M40" i="108" s="1"/>
  <c r="M9" i="108"/>
  <c r="M39" i="108" s="1"/>
  <c r="M8" i="108"/>
  <c r="M38" i="108" s="1"/>
  <c r="M7" i="108"/>
  <c r="M37" i="108" s="1"/>
  <c r="M6" i="108"/>
  <c r="M21" i="108" s="1"/>
  <c r="M5" i="108"/>
  <c r="M20" i="108" s="1"/>
  <c r="M4" i="108"/>
  <c r="M34" i="108" s="1"/>
  <c r="M3" i="108"/>
  <c r="M18" i="108" s="1"/>
  <c r="M13" i="107"/>
  <c r="W14" i="106"/>
  <c r="M4" i="107"/>
  <c r="M5" i="107"/>
  <c r="M6" i="107"/>
  <c r="M7" i="107"/>
  <c r="M8" i="107"/>
  <c r="M9" i="107"/>
  <c r="M10" i="107"/>
  <c r="M11" i="107"/>
  <c r="M3" i="107"/>
  <c r="W5" i="106"/>
  <c r="W6" i="106"/>
  <c r="W7" i="106"/>
  <c r="W8" i="106"/>
  <c r="W9" i="106"/>
  <c r="W10" i="106"/>
  <c r="W11" i="106"/>
  <c r="W12" i="106"/>
  <c r="W4" i="106"/>
  <c r="W112" i="71"/>
  <c r="W35" i="71"/>
  <c r="W9" i="71"/>
  <c r="W154" i="71" s="1"/>
  <c r="W10" i="71"/>
  <c r="W11" i="71"/>
  <c r="W48" i="71" s="1"/>
  <c r="W12" i="71"/>
  <c r="W13" i="71"/>
  <c r="W158" i="71" s="1"/>
  <c r="W14" i="71"/>
  <c r="W159" i="71" s="1"/>
  <c r="W15" i="71"/>
  <c r="W160" i="71" s="1"/>
  <c r="W16" i="71"/>
  <c r="W161" i="71" s="1"/>
  <c r="W17" i="71"/>
  <c r="W162" i="71" s="1"/>
  <c r="W18" i="71"/>
  <c r="W19" i="71"/>
  <c r="W20" i="71"/>
  <c r="W21" i="71"/>
  <c r="W166" i="71" s="1"/>
  <c r="W22" i="71"/>
  <c r="W23" i="71"/>
  <c r="W60" i="71" s="1"/>
  <c r="W24" i="71"/>
  <c r="W61" i="71" s="1"/>
  <c r="W25" i="71"/>
  <c r="W170" i="71" s="1"/>
  <c r="W26" i="71"/>
  <c r="W171" i="71" s="1"/>
  <c r="W27" i="71"/>
  <c r="W172" i="71" s="1"/>
  <c r="W28" i="71"/>
  <c r="W173" i="71" s="1"/>
  <c r="W29" i="71"/>
  <c r="W30" i="71"/>
  <c r="W31" i="71"/>
  <c r="W32" i="71"/>
  <c r="W8" i="71"/>
  <c r="AB143" i="71"/>
  <c r="AA143" i="71"/>
  <c r="Z143" i="71"/>
  <c r="Y143" i="71"/>
  <c r="X143" i="71"/>
  <c r="AB142" i="71"/>
  <c r="AA142" i="71"/>
  <c r="Z142" i="71"/>
  <c r="Y142" i="71"/>
  <c r="X142" i="71"/>
  <c r="AB141" i="71"/>
  <c r="AA141" i="71"/>
  <c r="Z141" i="71"/>
  <c r="Y141" i="71"/>
  <c r="X141" i="71"/>
  <c r="AB140" i="71"/>
  <c r="AA140" i="71"/>
  <c r="Z140" i="71"/>
  <c r="Y140" i="71"/>
  <c r="X140" i="71"/>
  <c r="AB139" i="71"/>
  <c r="AA139" i="71"/>
  <c r="Z139" i="71"/>
  <c r="Y139" i="71"/>
  <c r="X139" i="71"/>
  <c r="AB138" i="71"/>
  <c r="AA138" i="71"/>
  <c r="Z138" i="71"/>
  <c r="Y138" i="71"/>
  <c r="X138" i="71"/>
  <c r="AB137" i="71"/>
  <c r="AA137" i="71"/>
  <c r="Z137" i="71"/>
  <c r="Y137" i="71"/>
  <c r="X137" i="71"/>
  <c r="AB136" i="71"/>
  <c r="AA136" i="71"/>
  <c r="Z136" i="71"/>
  <c r="Y136" i="71"/>
  <c r="X136" i="71"/>
  <c r="AB135" i="71"/>
  <c r="AA135" i="71"/>
  <c r="Z135" i="71"/>
  <c r="Y135" i="71"/>
  <c r="X135" i="71"/>
  <c r="AB134" i="71"/>
  <c r="AA134" i="71"/>
  <c r="Z134" i="71"/>
  <c r="Y134" i="71"/>
  <c r="X134" i="71"/>
  <c r="AB133" i="71"/>
  <c r="AA133" i="71"/>
  <c r="Z133" i="71"/>
  <c r="Y133" i="71"/>
  <c r="X133" i="71"/>
  <c r="AB132" i="71"/>
  <c r="AA132" i="71"/>
  <c r="Z132" i="71"/>
  <c r="Y132" i="71"/>
  <c r="X132" i="71"/>
  <c r="AB131" i="71"/>
  <c r="AA131" i="71"/>
  <c r="Z131" i="71"/>
  <c r="Y131" i="71"/>
  <c r="X131" i="71"/>
  <c r="W131" i="71"/>
  <c r="AB130" i="71"/>
  <c r="AA130" i="71"/>
  <c r="Z130" i="71"/>
  <c r="Y130" i="71"/>
  <c r="X130" i="71"/>
  <c r="AB129" i="71"/>
  <c r="AA129" i="71"/>
  <c r="Z129" i="71"/>
  <c r="Y129" i="71"/>
  <c r="X129" i="71"/>
  <c r="AB128" i="71"/>
  <c r="AA128" i="71"/>
  <c r="Z128" i="71"/>
  <c r="Y128" i="71"/>
  <c r="X128" i="71"/>
  <c r="AB127" i="71"/>
  <c r="AA127" i="71"/>
  <c r="Z127" i="71"/>
  <c r="Y127" i="71"/>
  <c r="X127" i="71"/>
  <c r="AB126" i="71"/>
  <c r="AA126" i="71"/>
  <c r="Z126" i="71"/>
  <c r="Y126" i="71"/>
  <c r="X126" i="71"/>
  <c r="AB125" i="71"/>
  <c r="AA125" i="71"/>
  <c r="Z125" i="71"/>
  <c r="Y125" i="71"/>
  <c r="X125" i="71"/>
  <c r="AB124" i="71"/>
  <c r="AA124" i="71"/>
  <c r="Z124" i="71"/>
  <c r="Y124" i="71"/>
  <c r="X124" i="71"/>
  <c r="AB123" i="71"/>
  <c r="AA123" i="71"/>
  <c r="Z123" i="71"/>
  <c r="Y123" i="71"/>
  <c r="X123" i="71"/>
  <c r="AB122" i="71"/>
  <c r="AA122" i="71"/>
  <c r="Z122" i="71"/>
  <c r="Y122" i="71"/>
  <c r="X122" i="71"/>
  <c r="AB121" i="71"/>
  <c r="AA121" i="71"/>
  <c r="Z121" i="71"/>
  <c r="Y121" i="71"/>
  <c r="X121" i="71"/>
  <c r="AB120" i="71"/>
  <c r="AA120" i="71"/>
  <c r="Z120" i="71"/>
  <c r="Y120" i="71"/>
  <c r="X120" i="71"/>
  <c r="AB119" i="71"/>
  <c r="AA119" i="71"/>
  <c r="Z119" i="71"/>
  <c r="Y119" i="71"/>
  <c r="X119" i="71"/>
  <c r="AB117" i="71"/>
  <c r="AA117" i="71"/>
  <c r="Z117" i="71"/>
  <c r="Y117" i="71"/>
  <c r="X117" i="71"/>
  <c r="AB106" i="71"/>
  <c r="AA106" i="71"/>
  <c r="Z106" i="71"/>
  <c r="Y106" i="71"/>
  <c r="X106" i="71"/>
  <c r="AB105" i="71"/>
  <c r="AA105" i="71"/>
  <c r="Z105" i="71"/>
  <c r="Y105" i="71"/>
  <c r="X105" i="71"/>
  <c r="AB104" i="71"/>
  <c r="AA104" i="71"/>
  <c r="Z104" i="71"/>
  <c r="Y104" i="71"/>
  <c r="X104" i="71"/>
  <c r="AB103" i="71"/>
  <c r="AA103" i="71"/>
  <c r="Z103" i="71"/>
  <c r="Y103" i="71"/>
  <c r="X103" i="71"/>
  <c r="AB102" i="71"/>
  <c r="AA102" i="71"/>
  <c r="Z102" i="71"/>
  <c r="Y102" i="71"/>
  <c r="X102" i="71"/>
  <c r="AB101" i="71"/>
  <c r="AA101" i="71"/>
  <c r="Z101" i="71"/>
  <c r="Y101" i="71"/>
  <c r="X101" i="71"/>
  <c r="AB100" i="71"/>
  <c r="AA100" i="71"/>
  <c r="Z100" i="71"/>
  <c r="Y100" i="71"/>
  <c r="X100" i="71"/>
  <c r="AB99" i="71"/>
  <c r="AA99" i="71"/>
  <c r="Z99" i="71"/>
  <c r="Y99" i="71"/>
  <c r="X99" i="71"/>
  <c r="AB98" i="71"/>
  <c r="AA98" i="71"/>
  <c r="Z98" i="71"/>
  <c r="Y98" i="71"/>
  <c r="X98" i="71"/>
  <c r="AB97" i="71"/>
  <c r="AA97" i="71"/>
  <c r="Z97" i="71"/>
  <c r="Y97" i="71"/>
  <c r="X97" i="71"/>
  <c r="AB96" i="71"/>
  <c r="AA96" i="71"/>
  <c r="Z96" i="71"/>
  <c r="Y96" i="71"/>
  <c r="X96" i="71"/>
  <c r="AB95" i="71"/>
  <c r="AA95" i="71"/>
  <c r="Z95" i="71"/>
  <c r="Y95" i="71"/>
  <c r="X95" i="71"/>
  <c r="AB94" i="71"/>
  <c r="AA94" i="71"/>
  <c r="Z94" i="71"/>
  <c r="Y94" i="71"/>
  <c r="X94" i="71"/>
  <c r="AB93" i="71"/>
  <c r="AA93" i="71"/>
  <c r="Z93" i="71"/>
  <c r="Y93" i="71"/>
  <c r="X93" i="71"/>
  <c r="AB92" i="71"/>
  <c r="AA92" i="71"/>
  <c r="Z92" i="71"/>
  <c r="Y92" i="71"/>
  <c r="X92" i="71"/>
  <c r="AB91" i="71"/>
  <c r="AA91" i="71"/>
  <c r="Y91" i="71"/>
  <c r="X91" i="71"/>
  <c r="AB90" i="71"/>
  <c r="AA90" i="71"/>
  <c r="Z90" i="71"/>
  <c r="Y90" i="71"/>
  <c r="X90" i="71"/>
  <c r="AE89" i="71"/>
  <c r="AB89" i="71"/>
  <c r="AA89" i="71"/>
  <c r="Z89" i="71"/>
  <c r="Y89" i="71"/>
  <c r="X89" i="71"/>
  <c r="AB88" i="71"/>
  <c r="AA88" i="71"/>
  <c r="Z88" i="71"/>
  <c r="Y88" i="71"/>
  <c r="X88" i="71"/>
  <c r="AB87" i="71"/>
  <c r="AA87" i="71"/>
  <c r="Z87" i="71"/>
  <c r="Y87" i="71"/>
  <c r="X87" i="71"/>
  <c r="AB86" i="71"/>
  <c r="AA86" i="71"/>
  <c r="Z86" i="71"/>
  <c r="Y86" i="71"/>
  <c r="X86" i="71"/>
  <c r="AB85" i="71"/>
  <c r="AA85" i="71"/>
  <c r="Z85" i="71"/>
  <c r="Y85" i="71"/>
  <c r="X85" i="71"/>
  <c r="AB84" i="71"/>
  <c r="AA84" i="71"/>
  <c r="Z84" i="71"/>
  <c r="Y84" i="71"/>
  <c r="X84" i="71"/>
  <c r="AB83" i="71"/>
  <c r="AA83" i="71"/>
  <c r="Z83" i="71"/>
  <c r="Y83" i="71"/>
  <c r="X83" i="71"/>
  <c r="AB82" i="71"/>
  <c r="AA82" i="71"/>
  <c r="Z82" i="71"/>
  <c r="Y82" i="71"/>
  <c r="X82" i="71"/>
  <c r="AB80" i="71"/>
  <c r="AA80" i="71"/>
  <c r="Z80" i="71"/>
  <c r="Y80" i="71"/>
  <c r="X80" i="71"/>
  <c r="AA68" i="71"/>
  <c r="Y68" i="71"/>
  <c r="AB65" i="71"/>
  <c r="AA64" i="71"/>
  <c r="Y64" i="71"/>
  <c r="W63" i="71"/>
  <c r="AB61" i="71"/>
  <c r="AA60" i="71"/>
  <c r="Y60" i="71"/>
  <c r="Y58" i="71"/>
  <c r="AB57" i="71"/>
  <c r="AA56" i="71"/>
  <c r="Y56" i="71"/>
  <c r="Y54" i="71"/>
  <c r="AB53" i="71"/>
  <c r="Y53" i="71"/>
  <c r="AA52" i="71"/>
  <c r="Y52" i="71"/>
  <c r="Y50" i="71"/>
  <c r="AB49" i="71"/>
  <c r="Y49" i="71"/>
  <c r="AA48" i="71"/>
  <c r="Y48" i="71"/>
  <c r="Y46" i="71"/>
  <c r="AB45" i="71"/>
  <c r="Y45" i="71"/>
  <c r="AF43" i="71"/>
  <c r="AF80" i="71" s="1"/>
  <c r="AE43" i="71"/>
  <c r="AE80" i="71" s="1"/>
  <c r="AD43" i="71"/>
  <c r="AD80" i="71" s="1"/>
  <c r="AB43" i="71"/>
  <c r="AA43" i="71"/>
  <c r="Z43" i="71"/>
  <c r="Y43" i="71"/>
  <c r="X43" i="71"/>
  <c r="AF42" i="71"/>
  <c r="AF79" i="71" s="1"/>
  <c r="AE42" i="71"/>
  <c r="AE79" i="71" s="1"/>
  <c r="AD42" i="71"/>
  <c r="AD79" i="71" s="1"/>
  <c r="AB146" i="71"/>
  <c r="Z146" i="71"/>
  <c r="Y109" i="71"/>
  <c r="X146" i="71"/>
  <c r="X109" i="71"/>
  <c r="AE106" i="71"/>
  <c r="AD32" i="71"/>
  <c r="AE68" i="71"/>
  <c r="AD31" i="71"/>
  <c r="AD68" i="71" s="1"/>
  <c r="AD105" i="71" s="1"/>
  <c r="AE67" i="71"/>
  <c r="AD30" i="71"/>
  <c r="AD67" i="71" s="1"/>
  <c r="AD104" i="71" s="1"/>
  <c r="AE66" i="71"/>
  <c r="AD29" i="71"/>
  <c r="AE102" i="71"/>
  <c r="AD28" i="71"/>
  <c r="AD65" i="71" s="1"/>
  <c r="AD102" i="71" s="1"/>
  <c r="AE64" i="71"/>
  <c r="AD27" i="71"/>
  <c r="AF27" i="71" s="1"/>
  <c r="AF64" i="71" s="1"/>
  <c r="AF101" i="71" s="1"/>
  <c r="W138" i="71"/>
  <c r="AE63" i="71"/>
  <c r="AD26" i="71"/>
  <c r="AF26" i="71" s="1"/>
  <c r="AF63" i="71" s="1"/>
  <c r="AF100" i="71" s="1"/>
  <c r="W100" i="71"/>
  <c r="AE62" i="71"/>
  <c r="AD25" i="71"/>
  <c r="AF25" i="71" s="1"/>
  <c r="AF62" i="71" s="1"/>
  <c r="AF99" i="71" s="1"/>
  <c r="W99" i="71"/>
  <c r="AE98" i="71"/>
  <c r="AD24" i="71"/>
  <c r="AD61" i="71" s="1"/>
  <c r="AD98" i="71" s="1"/>
  <c r="AE60" i="71"/>
  <c r="AD23" i="71"/>
  <c r="AF23" i="71" s="1"/>
  <c r="AF60" i="71" s="1"/>
  <c r="AF97" i="71" s="1"/>
  <c r="AE59" i="71"/>
  <c r="AD22" i="71"/>
  <c r="AD59" i="71" s="1"/>
  <c r="AD96" i="71" s="1"/>
  <c r="AE58" i="71"/>
  <c r="AD21" i="71"/>
  <c r="AD58" i="71" s="1"/>
  <c r="AD95" i="71" s="1"/>
  <c r="AE94" i="71"/>
  <c r="AD20" i="71"/>
  <c r="AF20" i="71" s="1"/>
  <c r="AF57" i="71" s="1"/>
  <c r="AF94" i="71" s="1"/>
  <c r="AE56" i="71"/>
  <c r="AD19" i="71"/>
  <c r="AD56" i="71" s="1"/>
  <c r="AD93" i="71" s="1"/>
  <c r="AE55" i="71"/>
  <c r="AD18" i="71"/>
  <c r="AF18" i="71" s="1"/>
  <c r="AF55" i="71" s="1"/>
  <c r="AF92" i="71" s="1"/>
  <c r="AE54" i="71"/>
  <c r="AD17" i="71"/>
  <c r="AF17" i="71" s="1"/>
  <c r="AF54" i="71" s="1"/>
  <c r="AF91" i="71" s="1"/>
  <c r="W91" i="71"/>
  <c r="AE90" i="71"/>
  <c r="AD16" i="71"/>
  <c r="AD53" i="71" s="1"/>
  <c r="AD90" i="71" s="1"/>
  <c r="AE52" i="71"/>
  <c r="AD15" i="71"/>
  <c r="AF15" i="71" s="1"/>
  <c r="AF52" i="71" s="1"/>
  <c r="AF89" i="71" s="1"/>
  <c r="AE51" i="71"/>
  <c r="AD14" i="71"/>
  <c r="AE50" i="71"/>
  <c r="AD13" i="71"/>
  <c r="AF13" i="71" s="1"/>
  <c r="AF50" i="71" s="1"/>
  <c r="AF87" i="71" s="1"/>
  <c r="AE86" i="71"/>
  <c r="AD12" i="71"/>
  <c r="AD49" i="71" s="1"/>
  <c r="AD86" i="71" s="1"/>
  <c r="AE48" i="71"/>
  <c r="AD11" i="71"/>
  <c r="AE47" i="71"/>
  <c r="AD10" i="71"/>
  <c r="AD47" i="71" s="1"/>
  <c r="AD84" i="71" s="1"/>
  <c r="AE46" i="71"/>
  <c r="AD9" i="71"/>
  <c r="W83" i="71"/>
  <c r="AE82" i="71"/>
  <c r="AD8" i="71"/>
  <c r="AF8" i="71" s="1"/>
  <c r="AD4" i="71"/>
  <c r="L112" i="71"/>
  <c r="L35" i="71"/>
  <c r="L9" i="71"/>
  <c r="L10" i="71"/>
  <c r="L11" i="71"/>
  <c r="L122" i="71" s="1"/>
  <c r="L12" i="71"/>
  <c r="L13" i="71"/>
  <c r="L158" i="71" s="1"/>
  <c r="L14" i="71"/>
  <c r="L159" i="71" s="1"/>
  <c r="L15" i="71"/>
  <c r="L160" i="71" s="1"/>
  <c r="L16" i="71"/>
  <c r="L17" i="71"/>
  <c r="L91" i="71" s="1"/>
  <c r="L18" i="71"/>
  <c r="L19" i="71"/>
  <c r="L164" i="71" s="1"/>
  <c r="L20" i="71"/>
  <c r="L165" i="71" s="1"/>
  <c r="L21" i="71"/>
  <c r="L166" i="71" s="1"/>
  <c r="L22" i="71"/>
  <c r="L23" i="71"/>
  <c r="L24" i="71"/>
  <c r="L25" i="71"/>
  <c r="L170" i="71" s="1"/>
  <c r="L26" i="71"/>
  <c r="L63" i="71" s="1"/>
  <c r="L27" i="71"/>
  <c r="L172" i="71" s="1"/>
  <c r="L28" i="71"/>
  <c r="L173" i="71" s="1"/>
  <c r="L29" i="71"/>
  <c r="L103" i="71" s="1"/>
  <c r="L30" i="71"/>
  <c r="L31" i="71"/>
  <c r="L176" i="71" s="1"/>
  <c r="L32" i="71"/>
  <c r="L69" i="71" s="1"/>
  <c r="L8" i="71"/>
  <c r="Q143" i="71"/>
  <c r="P143" i="71"/>
  <c r="O143" i="71"/>
  <c r="N143" i="71"/>
  <c r="M143" i="71"/>
  <c r="Q142" i="71"/>
  <c r="P142" i="71"/>
  <c r="O142" i="71"/>
  <c r="N142" i="71"/>
  <c r="M142" i="71"/>
  <c r="Q141" i="71"/>
  <c r="P141" i="71"/>
  <c r="O141" i="71"/>
  <c r="N141" i="71"/>
  <c r="M141" i="71"/>
  <c r="Q140" i="71"/>
  <c r="P140" i="71"/>
  <c r="O140" i="71"/>
  <c r="N140" i="71"/>
  <c r="M140" i="71"/>
  <c r="Q139" i="71"/>
  <c r="P139" i="71"/>
  <c r="O139" i="71"/>
  <c r="N139" i="71"/>
  <c r="M139" i="71"/>
  <c r="Q138" i="71"/>
  <c r="P138" i="71"/>
  <c r="O138" i="71"/>
  <c r="N138" i="71"/>
  <c r="M138" i="71"/>
  <c r="Q137" i="71"/>
  <c r="P137" i="71"/>
  <c r="O137" i="71"/>
  <c r="N137" i="71"/>
  <c r="M137" i="71"/>
  <c r="Q136" i="71"/>
  <c r="P136" i="71"/>
  <c r="O136" i="71"/>
  <c r="N136" i="71"/>
  <c r="M136" i="71"/>
  <c r="Q135" i="71"/>
  <c r="P135" i="71"/>
  <c r="O135" i="71"/>
  <c r="N135" i="71"/>
  <c r="M135" i="71"/>
  <c r="Q134" i="71"/>
  <c r="P134" i="71"/>
  <c r="O134" i="71"/>
  <c r="N134" i="71"/>
  <c r="M134" i="71"/>
  <c r="Q133" i="71"/>
  <c r="P133" i="71"/>
  <c r="O133" i="71"/>
  <c r="N133" i="71"/>
  <c r="M133" i="71"/>
  <c r="Q132" i="71"/>
  <c r="P132" i="71"/>
  <c r="O132" i="71"/>
  <c r="N132" i="71"/>
  <c r="M132" i="71"/>
  <c r="Q131" i="71"/>
  <c r="P131" i="71"/>
  <c r="O131" i="71"/>
  <c r="N131" i="71"/>
  <c r="M131" i="71"/>
  <c r="Q130" i="71"/>
  <c r="P130" i="71"/>
  <c r="O130" i="71"/>
  <c r="N130" i="71"/>
  <c r="M130" i="71"/>
  <c r="Q129" i="71"/>
  <c r="P129" i="71"/>
  <c r="O129" i="71"/>
  <c r="N129" i="71"/>
  <c r="M129" i="71"/>
  <c r="Q128" i="71"/>
  <c r="P128" i="71"/>
  <c r="O128" i="71"/>
  <c r="N128" i="71"/>
  <c r="M128" i="71"/>
  <c r="Q127" i="71"/>
  <c r="P127" i="71"/>
  <c r="O127" i="71"/>
  <c r="N127" i="71"/>
  <c r="M127" i="71"/>
  <c r="Q126" i="71"/>
  <c r="P126" i="71"/>
  <c r="O126" i="71"/>
  <c r="N126" i="71"/>
  <c r="M126" i="71"/>
  <c r="Q125" i="71"/>
  <c r="P125" i="71"/>
  <c r="O125" i="71"/>
  <c r="N125" i="71"/>
  <c r="M125" i="71"/>
  <c r="Q124" i="71"/>
  <c r="P124" i="71"/>
  <c r="O124" i="71"/>
  <c r="N124" i="71"/>
  <c r="M124" i="71"/>
  <c r="Q123" i="71"/>
  <c r="P123" i="71"/>
  <c r="O123" i="71"/>
  <c r="N123" i="71"/>
  <c r="M123" i="71"/>
  <c r="Q122" i="71"/>
  <c r="P122" i="71"/>
  <c r="O122" i="71"/>
  <c r="N122" i="71"/>
  <c r="M122" i="71"/>
  <c r="Q121" i="71"/>
  <c r="P121" i="71"/>
  <c r="O121" i="71"/>
  <c r="N121" i="71"/>
  <c r="M121" i="71"/>
  <c r="Q120" i="71"/>
  <c r="P120" i="71"/>
  <c r="O120" i="71"/>
  <c r="N120" i="71"/>
  <c r="M120" i="71"/>
  <c r="Q119" i="71"/>
  <c r="P119" i="71"/>
  <c r="O119" i="71"/>
  <c r="N119" i="71"/>
  <c r="M119" i="71"/>
  <c r="Q117" i="71"/>
  <c r="P117" i="71"/>
  <c r="O117" i="71"/>
  <c r="N117" i="71"/>
  <c r="M117" i="71"/>
  <c r="Q106" i="71"/>
  <c r="P106" i="71"/>
  <c r="O106" i="71"/>
  <c r="N106" i="71"/>
  <c r="M106" i="71"/>
  <c r="Q105" i="71"/>
  <c r="P105" i="71"/>
  <c r="O105" i="71"/>
  <c r="N105" i="71"/>
  <c r="M105" i="71"/>
  <c r="Q104" i="71"/>
  <c r="P104" i="71"/>
  <c r="O104" i="71"/>
  <c r="N104" i="71"/>
  <c r="M104" i="71"/>
  <c r="Q103" i="71"/>
  <c r="P103" i="71"/>
  <c r="O103" i="71"/>
  <c r="N103" i="71"/>
  <c r="M103" i="71"/>
  <c r="Q102" i="71"/>
  <c r="P102" i="71"/>
  <c r="O102" i="71"/>
  <c r="N102" i="71"/>
  <c r="M102" i="71"/>
  <c r="Q101" i="71"/>
  <c r="P101" i="71"/>
  <c r="O101" i="71"/>
  <c r="N101" i="71"/>
  <c r="M101" i="71"/>
  <c r="Q100" i="71"/>
  <c r="P100" i="71"/>
  <c r="O100" i="71"/>
  <c r="N100" i="71"/>
  <c r="M100" i="71"/>
  <c r="Q99" i="71"/>
  <c r="P99" i="71"/>
  <c r="O99" i="71"/>
  <c r="N99" i="71"/>
  <c r="M99" i="71"/>
  <c r="Q98" i="71"/>
  <c r="P98" i="71"/>
  <c r="O98" i="71"/>
  <c r="N98" i="71"/>
  <c r="M98" i="71"/>
  <c r="Q97" i="71"/>
  <c r="P97" i="71"/>
  <c r="O97" i="71"/>
  <c r="N97" i="71"/>
  <c r="M97" i="71"/>
  <c r="Q96" i="71"/>
  <c r="P96" i="71"/>
  <c r="O96" i="71"/>
  <c r="N96" i="71"/>
  <c r="M96" i="71"/>
  <c r="Q95" i="71"/>
  <c r="P95" i="71"/>
  <c r="O95" i="71"/>
  <c r="N95" i="71"/>
  <c r="M95" i="71"/>
  <c r="Q94" i="71"/>
  <c r="P94" i="71"/>
  <c r="O94" i="71"/>
  <c r="N94" i="71"/>
  <c r="M94" i="71"/>
  <c r="Q93" i="71"/>
  <c r="P93" i="71"/>
  <c r="O93" i="71"/>
  <c r="N93" i="71"/>
  <c r="M93" i="71"/>
  <c r="Q92" i="71"/>
  <c r="P92" i="71"/>
  <c r="O92" i="71"/>
  <c r="N92" i="71"/>
  <c r="M92" i="71"/>
  <c r="Q91" i="71"/>
  <c r="P91" i="71"/>
  <c r="O91" i="71"/>
  <c r="N91" i="71"/>
  <c r="M91" i="71"/>
  <c r="Q90" i="71"/>
  <c r="P90" i="71"/>
  <c r="O90" i="71"/>
  <c r="N90" i="71"/>
  <c r="M90" i="71"/>
  <c r="P89" i="71"/>
  <c r="O89" i="71"/>
  <c r="N89" i="71"/>
  <c r="M89" i="71"/>
  <c r="Q88" i="71"/>
  <c r="P88" i="71"/>
  <c r="O88" i="71"/>
  <c r="N88" i="71"/>
  <c r="M88" i="71"/>
  <c r="Q87" i="71"/>
  <c r="P87" i="71"/>
  <c r="O87" i="71"/>
  <c r="N87" i="71"/>
  <c r="M87" i="71"/>
  <c r="Q86" i="71"/>
  <c r="P86" i="71"/>
  <c r="O86" i="71"/>
  <c r="N86" i="71"/>
  <c r="M86" i="71"/>
  <c r="Q85" i="71"/>
  <c r="P85" i="71"/>
  <c r="O85" i="71"/>
  <c r="N85" i="71"/>
  <c r="M85" i="71"/>
  <c r="Q84" i="71"/>
  <c r="P84" i="71"/>
  <c r="O84" i="71"/>
  <c r="N84" i="71"/>
  <c r="M84" i="71"/>
  <c r="Q83" i="71"/>
  <c r="P83" i="71"/>
  <c r="O83" i="71"/>
  <c r="N83" i="71"/>
  <c r="M83" i="71"/>
  <c r="Q82" i="71"/>
  <c r="P82" i="71"/>
  <c r="O82" i="71"/>
  <c r="N82" i="71"/>
  <c r="M82" i="71"/>
  <c r="Q80" i="71"/>
  <c r="P80" i="71"/>
  <c r="O80" i="71"/>
  <c r="N80" i="71"/>
  <c r="M80" i="71"/>
  <c r="L51" i="71"/>
  <c r="U43" i="71"/>
  <c r="U80" i="71" s="1"/>
  <c r="T43" i="71"/>
  <c r="T80" i="71" s="1"/>
  <c r="S43" i="71"/>
  <c r="S80" i="71" s="1"/>
  <c r="Q43" i="71"/>
  <c r="P43" i="71"/>
  <c r="O43" i="71"/>
  <c r="N43" i="71"/>
  <c r="M43" i="71"/>
  <c r="U42" i="71"/>
  <c r="U79" i="71" s="1"/>
  <c r="T42" i="71"/>
  <c r="T79" i="71" s="1"/>
  <c r="S42" i="71"/>
  <c r="S79" i="71" s="1"/>
  <c r="Q72" i="71"/>
  <c r="M68" i="71"/>
  <c r="T106" i="71"/>
  <c r="S32" i="71"/>
  <c r="S69" i="71" s="1"/>
  <c r="S106" i="71" s="1"/>
  <c r="T68" i="71"/>
  <c r="S31" i="71"/>
  <c r="T67" i="71"/>
  <c r="S30" i="71"/>
  <c r="S67" i="71" s="1"/>
  <c r="S104" i="71" s="1"/>
  <c r="T66" i="71"/>
  <c r="S29" i="71"/>
  <c r="S66" i="71" s="1"/>
  <c r="S103" i="71" s="1"/>
  <c r="T102" i="71"/>
  <c r="S28" i="71"/>
  <c r="S65" i="71" s="1"/>
  <c r="S102" i="71" s="1"/>
  <c r="T64" i="71"/>
  <c r="S27" i="71"/>
  <c r="S64" i="71" s="1"/>
  <c r="S101" i="71" s="1"/>
  <c r="T63" i="71"/>
  <c r="S26" i="71"/>
  <c r="S63" i="71" s="1"/>
  <c r="S100" i="71" s="1"/>
  <c r="T62" i="71"/>
  <c r="S25" i="71"/>
  <c r="S62" i="71" s="1"/>
  <c r="S99" i="71" s="1"/>
  <c r="L99" i="71"/>
  <c r="T98" i="71"/>
  <c r="S24" i="71"/>
  <c r="U24" i="71" s="1"/>
  <c r="U61" i="71" s="1"/>
  <c r="U98" i="71" s="1"/>
  <c r="T97" i="71"/>
  <c r="S23" i="71"/>
  <c r="S60" i="71" s="1"/>
  <c r="S97" i="71" s="1"/>
  <c r="T59" i="71"/>
  <c r="S22" i="71"/>
  <c r="S59" i="71" s="1"/>
  <c r="S96" i="71" s="1"/>
  <c r="T58" i="71"/>
  <c r="S21" i="71"/>
  <c r="S58" i="71" s="1"/>
  <c r="S95" i="71" s="1"/>
  <c r="T94" i="71"/>
  <c r="S20" i="71"/>
  <c r="S57" i="71" s="1"/>
  <c r="S94" i="71" s="1"/>
  <c r="T56" i="71"/>
  <c r="S19" i="71"/>
  <c r="S56" i="71" s="1"/>
  <c r="S93" i="71" s="1"/>
  <c r="T55" i="71"/>
  <c r="S18" i="71"/>
  <c r="S55" i="71" s="1"/>
  <c r="S92" i="71" s="1"/>
  <c r="T54" i="71"/>
  <c r="S17" i="71"/>
  <c r="S54" i="71" s="1"/>
  <c r="S91" i="71" s="1"/>
  <c r="T90" i="71"/>
  <c r="S16" i="71"/>
  <c r="S53" i="71" s="1"/>
  <c r="S90" i="71" s="1"/>
  <c r="T52" i="71"/>
  <c r="S15" i="71"/>
  <c r="S52" i="71" s="1"/>
  <c r="S89" i="71" s="1"/>
  <c r="T51" i="71"/>
  <c r="S14" i="71"/>
  <c r="S51" i="71" s="1"/>
  <c r="S88" i="71" s="1"/>
  <c r="L88" i="71"/>
  <c r="T50" i="71"/>
  <c r="S13" i="71"/>
  <c r="S50" i="71" s="1"/>
  <c r="S87" i="71" s="1"/>
  <c r="T86" i="71"/>
  <c r="S12" i="71"/>
  <c r="S49" i="71" s="1"/>
  <c r="S86" i="71" s="1"/>
  <c r="T85" i="71"/>
  <c r="S11" i="71"/>
  <c r="S48" i="71" s="1"/>
  <c r="S85" i="71" s="1"/>
  <c r="T47" i="71"/>
  <c r="S10" i="71"/>
  <c r="S47" i="71" s="1"/>
  <c r="S84" i="71" s="1"/>
  <c r="T46" i="71"/>
  <c r="S9" i="71"/>
  <c r="S46" i="71" s="1"/>
  <c r="S83" i="71" s="1"/>
  <c r="T82" i="71"/>
  <c r="S8" i="71"/>
  <c r="S45" i="71" s="1"/>
  <c r="S82" i="71" s="1"/>
  <c r="S4" i="71"/>
  <c r="Y6" i="16"/>
  <c r="Z6" i="16"/>
  <c r="AA6" i="16"/>
  <c r="AA79" i="16" s="1"/>
  <c r="AB6" i="16"/>
  <c r="X6" i="16"/>
  <c r="X79" i="16" s="1"/>
  <c r="W18" i="16"/>
  <c r="W90" i="16" s="1"/>
  <c r="W9" i="16"/>
  <c r="W81" i="16" s="1"/>
  <c r="W10" i="16"/>
  <c r="W82" i="16" s="1"/>
  <c r="W11" i="16"/>
  <c r="W83" i="16" s="1"/>
  <c r="W12" i="16"/>
  <c r="W84" i="16" s="1"/>
  <c r="W13" i="16"/>
  <c r="W85" i="16" s="1"/>
  <c r="W14" i="16"/>
  <c r="W86" i="16" s="1"/>
  <c r="W15" i="16"/>
  <c r="W87" i="16" s="1"/>
  <c r="W16" i="16"/>
  <c r="W8" i="16"/>
  <c r="W80" i="16" s="1"/>
  <c r="AF44" i="16"/>
  <c r="AE44" i="16"/>
  <c r="AD44" i="16"/>
  <c r="AF43" i="16"/>
  <c r="AE43" i="16"/>
  <c r="AD43" i="16"/>
  <c r="AF24" i="16"/>
  <c r="AE24" i="16"/>
  <c r="AD24" i="16"/>
  <c r="AF23" i="16"/>
  <c r="AE23" i="16"/>
  <c r="AD23" i="16"/>
  <c r="W88" i="16"/>
  <c r="N6" i="16"/>
  <c r="O6" i="16"/>
  <c r="P6" i="16"/>
  <c r="P24" i="16" s="1"/>
  <c r="Q6" i="16"/>
  <c r="M6" i="16"/>
  <c r="W1" i="16" s="1"/>
  <c r="L18" i="16"/>
  <c r="L90" i="16" s="1"/>
  <c r="L9" i="16"/>
  <c r="L10" i="16"/>
  <c r="L11" i="16"/>
  <c r="L83" i="16" s="1"/>
  <c r="L12" i="16"/>
  <c r="L84" i="16" s="1"/>
  <c r="L13" i="16"/>
  <c r="L14" i="16"/>
  <c r="L86" i="16" s="1"/>
  <c r="L15" i="16"/>
  <c r="L87" i="16" s="1"/>
  <c r="L16" i="16"/>
  <c r="L88" i="16" s="1"/>
  <c r="L8" i="16"/>
  <c r="L80" i="16" s="1"/>
  <c r="U44" i="16"/>
  <c r="T44" i="16"/>
  <c r="S44" i="16"/>
  <c r="U43" i="16"/>
  <c r="T43" i="16"/>
  <c r="S43" i="16"/>
  <c r="U24" i="16"/>
  <c r="T24" i="16"/>
  <c r="S24" i="16"/>
  <c r="U23" i="16"/>
  <c r="T23" i="16"/>
  <c r="S23" i="16"/>
  <c r="L85" i="16"/>
  <c r="L82" i="16"/>
  <c r="L81" i="16"/>
  <c r="A79" i="108" l="1"/>
  <c r="A40" i="108"/>
  <c r="A1" i="108"/>
  <c r="P48" i="16"/>
  <c r="AU28" i="109"/>
  <c r="AU27" i="109"/>
  <c r="AP54" i="109"/>
  <c r="AU36" i="109"/>
  <c r="AU33" i="109"/>
  <c r="AU32" i="109"/>
  <c r="AU31" i="109"/>
  <c r="AP27" i="109"/>
  <c r="AP28" i="109"/>
  <c r="AP29" i="109"/>
  <c r="AP30" i="109"/>
  <c r="AP31" i="109"/>
  <c r="AP32" i="109"/>
  <c r="AP33" i="109"/>
  <c r="AP34" i="109"/>
  <c r="AU26" i="109"/>
  <c r="AK26" i="109"/>
  <c r="Z79" i="16"/>
  <c r="AD85" i="16"/>
  <c r="W126" i="71"/>
  <c r="W135" i="71"/>
  <c r="W52" i="71"/>
  <c r="W90" i="71"/>
  <c r="L131" i="71"/>
  <c r="L126" i="71"/>
  <c r="L57" i="71"/>
  <c r="W88" i="71"/>
  <c r="M79" i="16"/>
  <c r="W39" i="16"/>
  <c r="W125" i="71"/>
  <c r="W137" i="71"/>
  <c r="L68" i="71"/>
  <c r="W51" i="71"/>
  <c r="W127" i="71"/>
  <c r="L65" i="71"/>
  <c r="W53" i="71"/>
  <c r="M41" i="108"/>
  <c r="M25" i="108"/>
  <c r="M19" i="108"/>
  <c r="M33" i="108"/>
  <c r="W64" i="71"/>
  <c r="L87" i="71"/>
  <c r="L56" i="71"/>
  <c r="W95" i="71"/>
  <c r="W102" i="71"/>
  <c r="L52" i="71"/>
  <c r="W65" i="71"/>
  <c r="W87" i="71"/>
  <c r="L138" i="71"/>
  <c r="L64" i="71"/>
  <c r="L95" i="71"/>
  <c r="L48" i="71"/>
  <c r="L156" i="71"/>
  <c r="W56" i="71"/>
  <c r="W164" i="71"/>
  <c r="W122" i="71"/>
  <c r="W156" i="71"/>
  <c r="M36" i="108"/>
  <c r="AG31" i="109"/>
  <c r="AG48" i="109"/>
  <c r="L100" i="71"/>
  <c r="L171" i="71"/>
  <c r="L55" i="71"/>
  <c r="L163" i="71"/>
  <c r="L84" i="71"/>
  <c r="L155" i="71"/>
  <c r="W55" i="71"/>
  <c r="W163" i="71"/>
  <c r="W121" i="71"/>
  <c r="W155" i="71"/>
  <c r="AG28" i="109"/>
  <c r="AG45" i="109"/>
  <c r="AG54" i="109"/>
  <c r="L45" i="71"/>
  <c r="L153" i="71"/>
  <c r="L54" i="71"/>
  <c r="L162" i="71"/>
  <c r="L83" i="71"/>
  <c r="L154" i="71"/>
  <c r="W119" i="71"/>
  <c r="W153" i="71"/>
  <c r="Q44" i="109"/>
  <c r="Q46" i="109"/>
  <c r="Q48" i="109"/>
  <c r="Q50" i="109"/>
  <c r="Q52" i="109"/>
  <c r="AG33" i="109"/>
  <c r="AG50" i="109"/>
  <c r="L143" i="71"/>
  <c r="L177" i="71"/>
  <c r="L135" i="71"/>
  <c r="L169" i="71"/>
  <c r="L53" i="71"/>
  <c r="L161" i="71"/>
  <c r="L109" i="71"/>
  <c r="L180" i="71"/>
  <c r="W106" i="71"/>
  <c r="W177" i="71"/>
  <c r="W98" i="71"/>
  <c r="W169" i="71"/>
  <c r="W109" i="71"/>
  <c r="W180" i="71"/>
  <c r="M24" i="108"/>
  <c r="AG30" i="109"/>
  <c r="AG47" i="109"/>
  <c r="L134" i="71"/>
  <c r="L168" i="71"/>
  <c r="W68" i="71"/>
  <c r="W176" i="71"/>
  <c r="W134" i="71"/>
  <c r="W168" i="71"/>
  <c r="M23" i="108"/>
  <c r="AG27" i="109"/>
  <c r="AG36" i="109"/>
  <c r="AG44" i="109"/>
  <c r="AG52" i="109"/>
  <c r="L67" i="71"/>
  <c r="L175" i="71"/>
  <c r="L96" i="71"/>
  <c r="L167" i="71"/>
  <c r="W141" i="71"/>
  <c r="W175" i="71"/>
  <c r="W133" i="71"/>
  <c r="W167" i="71"/>
  <c r="M22" i="108"/>
  <c r="AG32" i="109"/>
  <c r="AG49" i="109"/>
  <c r="L66" i="71"/>
  <c r="L174" i="71"/>
  <c r="W103" i="71"/>
  <c r="W174" i="71"/>
  <c r="Q45" i="109"/>
  <c r="Q47" i="109"/>
  <c r="Q49" i="109"/>
  <c r="Q51" i="109"/>
  <c r="Q54" i="109"/>
  <c r="AG29" i="109"/>
  <c r="AG46" i="109"/>
  <c r="L123" i="71"/>
  <c r="L157" i="71"/>
  <c r="W57" i="71"/>
  <c r="W165" i="71"/>
  <c r="W49" i="71"/>
  <c r="W157" i="71"/>
  <c r="Q26" i="109"/>
  <c r="Q33" i="109"/>
  <c r="Q34" i="109"/>
  <c r="T101" i="71"/>
  <c r="AF11" i="71"/>
  <c r="AF48" i="71" s="1"/>
  <c r="AF85" i="71" s="1"/>
  <c r="AE45" i="71"/>
  <c r="AE69" i="71"/>
  <c r="AE53" i="71"/>
  <c r="AE61" i="71"/>
  <c r="AE105" i="71"/>
  <c r="AF32" i="71"/>
  <c r="AF69" i="71" s="1"/>
  <c r="AF106" i="71" s="1"/>
  <c r="AE85" i="71"/>
  <c r="T93" i="71"/>
  <c r="AE101" i="71"/>
  <c r="AE49" i="71"/>
  <c r="U31" i="71"/>
  <c r="U68" i="71" s="1"/>
  <c r="U105" i="71" s="1"/>
  <c r="T89" i="71"/>
  <c r="T105" i="71"/>
  <c r="AF9" i="71"/>
  <c r="AF46" i="71" s="1"/>
  <c r="AF83" i="71" s="1"/>
  <c r="AF14" i="71"/>
  <c r="AF51" i="71" s="1"/>
  <c r="AF88" i="71" s="1"/>
  <c r="AE57" i="71"/>
  <c r="AE97" i="71"/>
  <c r="AE65" i="71"/>
  <c r="AF29" i="71"/>
  <c r="AF66" i="71" s="1"/>
  <c r="AF103" i="71" s="1"/>
  <c r="AE93" i="71"/>
  <c r="O31" i="109"/>
  <c r="E51" i="109"/>
  <c r="O54" i="109"/>
  <c r="O27" i="109"/>
  <c r="O34" i="109"/>
  <c r="AF21" i="71"/>
  <c r="AF58" i="71" s="1"/>
  <c r="AF95" i="71" s="1"/>
  <c r="AD69" i="71"/>
  <c r="AD106" i="71" s="1"/>
  <c r="AF12" i="71"/>
  <c r="AF49" i="71" s="1"/>
  <c r="AF86" i="71" s="1"/>
  <c r="AF30" i="71"/>
  <c r="AF67" i="71" s="1"/>
  <c r="AF104" i="71" s="1"/>
  <c r="E30" i="109"/>
  <c r="J34" i="109"/>
  <c r="E29" i="109"/>
  <c r="AD66" i="71"/>
  <c r="AD103" i="71" s="1"/>
  <c r="P79" i="16"/>
  <c r="AD54" i="71"/>
  <c r="AD91" i="71" s="1"/>
  <c r="AD62" i="71"/>
  <c r="AD99" i="71" s="1"/>
  <c r="AD50" i="71"/>
  <c r="AD87" i="71" s="1"/>
  <c r="AD63" i="71"/>
  <c r="AD100" i="71" s="1"/>
  <c r="X53" i="16"/>
  <c r="S61" i="71"/>
  <c r="S98" i="71" s="1"/>
  <c r="AD45" i="71"/>
  <c r="AD82" i="71" s="1"/>
  <c r="AD51" i="71"/>
  <c r="AD88" i="71" s="1"/>
  <c r="AD57" i="71"/>
  <c r="AD94" i="71" s="1"/>
  <c r="E36" i="109"/>
  <c r="E28" i="109"/>
  <c r="O26" i="109"/>
  <c r="O36" i="109"/>
  <c r="O28" i="109"/>
  <c r="O32" i="109"/>
  <c r="O30" i="109"/>
  <c r="E31" i="109"/>
  <c r="O49" i="109"/>
  <c r="E45" i="109"/>
  <c r="J33" i="109"/>
  <c r="J54" i="109"/>
  <c r="J29" i="109"/>
  <c r="J27" i="109"/>
  <c r="E54" i="109"/>
  <c r="J28" i="109"/>
  <c r="J30" i="109"/>
  <c r="J36" i="109"/>
  <c r="J31" i="109"/>
  <c r="J51" i="109"/>
  <c r="E33" i="109"/>
  <c r="E27" i="109"/>
  <c r="O47" i="109"/>
  <c r="J44" i="109"/>
  <c r="O46" i="109"/>
  <c r="E49" i="109"/>
  <c r="E46" i="109"/>
  <c r="E52" i="109"/>
  <c r="J46" i="109"/>
  <c r="E48" i="109"/>
  <c r="J52" i="109"/>
  <c r="N16" i="108"/>
  <c r="Q45" i="71"/>
  <c r="Q46" i="71"/>
  <c r="Q48" i="71"/>
  <c r="Q49" i="71"/>
  <c r="Q64" i="71"/>
  <c r="Q65" i="71"/>
  <c r="U18" i="71"/>
  <c r="U55" i="71" s="1"/>
  <c r="U92" i="71" s="1"/>
  <c r="Q53" i="71"/>
  <c r="Q68" i="71"/>
  <c r="M146" i="71"/>
  <c r="Q56" i="71"/>
  <c r="Q60" i="71"/>
  <c r="U12" i="71"/>
  <c r="U49" i="71" s="1"/>
  <c r="U86" i="71" s="1"/>
  <c r="N31" i="108"/>
  <c r="N49" i="71"/>
  <c r="U9" i="71"/>
  <c r="U46" i="71" s="1"/>
  <c r="U83" i="71" s="1"/>
  <c r="U21" i="71"/>
  <c r="U58" i="71" s="1"/>
  <c r="U95" i="71" s="1"/>
  <c r="N55" i="71"/>
  <c r="S4" i="16"/>
  <c r="S42" i="16" s="1"/>
  <c r="O79" i="16"/>
  <c r="U30" i="71"/>
  <c r="U67" i="71" s="1"/>
  <c r="U104" i="71" s="1"/>
  <c r="N45" i="71"/>
  <c r="N56" i="71"/>
  <c r="Q61" i="71"/>
  <c r="N67" i="71"/>
  <c r="N68" i="71"/>
  <c r="P146" i="71"/>
  <c r="N51" i="71"/>
  <c r="M109" i="71"/>
  <c r="U27" i="71"/>
  <c r="U64" i="71" s="1"/>
  <c r="U101" i="71" s="1"/>
  <c r="S68" i="71"/>
  <c r="S105" i="71" s="1"/>
  <c r="U11" i="71"/>
  <c r="U48" i="71" s="1"/>
  <c r="U85" i="71" s="1"/>
  <c r="N47" i="71"/>
  <c r="N57" i="71"/>
  <c r="N63" i="71"/>
  <c r="U15" i="71"/>
  <c r="U52" i="71" s="1"/>
  <c r="U89" i="71" s="1"/>
  <c r="N52" i="71"/>
  <c r="Q57" i="71"/>
  <c r="Q69" i="71"/>
  <c r="U23" i="71"/>
  <c r="U60" i="71" s="1"/>
  <c r="U97" i="71" s="1"/>
  <c r="N48" i="71"/>
  <c r="Q52" i="71"/>
  <c r="N53" i="71"/>
  <c r="N59" i="71"/>
  <c r="N64" i="71"/>
  <c r="N60" i="71"/>
  <c r="O146" i="71"/>
  <c r="O52" i="109"/>
  <c r="E50" i="109"/>
  <c r="J48" i="109"/>
  <c r="J32" i="109"/>
  <c r="E32" i="109"/>
  <c r="O48" i="109"/>
  <c r="E34" i="109"/>
  <c r="O44" i="109"/>
  <c r="E26" i="109"/>
  <c r="X52" i="109"/>
  <c r="O41" i="108" s="1"/>
  <c r="AD50" i="109"/>
  <c r="Y50" i="109"/>
  <c r="N39" i="108" s="1"/>
  <c r="R48" i="109"/>
  <c r="AB48" i="109"/>
  <c r="S50" i="109"/>
  <c r="AE26" i="109"/>
  <c r="AE44" i="109"/>
  <c r="Z44" i="109"/>
  <c r="Y45" i="109"/>
  <c r="N34" i="108" s="1"/>
  <c r="R51" i="109"/>
  <c r="Y47" i="109"/>
  <c r="N36" i="108" s="1"/>
  <c r="Y49" i="109"/>
  <c r="N38" i="108" s="1"/>
  <c r="AD46" i="109"/>
  <c r="Y51" i="109"/>
  <c r="N40" i="108" s="1"/>
  <c r="Y52" i="109"/>
  <c r="N41" i="108" s="1"/>
  <c r="AB51" i="109"/>
  <c r="A30" i="109"/>
  <c r="A27" i="109"/>
  <c r="A45" i="109"/>
  <c r="A49" i="109"/>
  <c r="A31" i="109"/>
  <c r="A54" i="109"/>
  <c r="A36" i="109"/>
  <c r="A47" i="109"/>
  <c r="A29" i="109"/>
  <c r="A33" i="109"/>
  <c r="A51" i="109"/>
  <c r="A44" i="109"/>
  <c r="A48" i="109"/>
  <c r="A52" i="109"/>
  <c r="A26" i="109"/>
  <c r="A46" i="109"/>
  <c r="A28" i="109"/>
  <c r="A50" i="109"/>
  <c r="A32" i="109"/>
  <c r="A34" i="109"/>
  <c r="W75" i="71"/>
  <c r="W104" i="71"/>
  <c r="W47" i="71"/>
  <c r="W92" i="71"/>
  <c r="W59" i="71"/>
  <c r="W94" i="71"/>
  <c r="W129" i="71"/>
  <c r="W130" i="71"/>
  <c r="W142" i="71"/>
  <c r="W86" i="71"/>
  <c r="W123" i="71"/>
  <c r="W67" i="71"/>
  <c r="W143" i="71"/>
  <c r="W69" i="71"/>
  <c r="W45" i="71"/>
  <c r="W82" i="71"/>
  <c r="AF45" i="71"/>
  <c r="AF82" i="71" s="1"/>
  <c r="X47" i="71"/>
  <c r="X55" i="71"/>
  <c r="Z109" i="71"/>
  <c r="AD35" i="71"/>
  <c r="AD72" i="71" s="1"/>
  <c r="AD109" i="71" s="1"/>
  <c r="Y47" i="71"/>
  <c r="AB48" i="71"/>
  <c r="Y51" i="71"/>
  <c r="AB52" i="71"/>
  <c r="Y55" i="71"/>
  <c r="AB56" i="71"/>
  <c r="Y59" i="71"/>
  <c r="AB60" i="71"/>
  <c r="Y63" i="71"/>
  <c r="AB64" i="71"/>
  <c r="Y67" i="71"/>
  <c r="AB68" i="71"/>
  <c r="AE84" i="71"/>
  <c r="AE88" i="71"/>
  <c r="AE92" i="71"/>
  <c r="AE96" i="71"/>
  <c r="AE100" i="71"/>
  <c r="AE104" i="71"/>
  <c r="AA109" i="71"/>
  <c r="AF10" i="71"/>
  <c r="AF47" i="71" s="1"/>
  <c r="AF84" i="71" s="1"/>
  <c r="AF16" i="71"/>
  <c r="AF53" i="71" s="1"/>
  <c r="AF90" i="71" s="1"/>
  <c r="AF19" i="71"/>
  <c r="AF56" i="71" s="1"/>
  <c r="AF93" i="71" s="1"/>
  <c r="AF22" i="71"/>
  <c r="AF59" i="71" s="1"/>
  <c r="AF96" i="71" s="1"/>
  <c r="AF28" i="71"/>
  <c r="AF65" i="71" s="1"/>
  <c r="AF102" i="71" s="1"/>
  <c r="AF31" i="71"/>
  <c r="AF68" i="71" s="1"/>
  <c r="AF105" i="71" s="1"/>
  <c r="AE72" i="71"/>
  <c r="W46" i="71"/>
  <c r="Z47" i="71"/>
  <c r="AD48" i="71"/>
  <c r="AD85" i="71" s="1"/>
  <c r="W50" i="71"/>
  <c r="Z51" i="71"/>
  <c r="AD52" i="71"/>
  <c r="AD89" i="71" s="1"/>
  <c r="W54" i="71"/>
  <c r="Z55" i="71"/>
  <c r="W58" i="71"/>
  <c r="Z59" i="71"/>
  <c r="AD60" i="71"/>
  <c r="AD97" i="71" s="1"/>
  <c r="W62" i="71"/>
  <c r="Z63" i="71"/>
  <c r="AD64" i="71"/>
  <c r="AD101" i="71" s="1"/>
  <c r="W66" i="71"/>
  <c r="Z67" i="71"/>
  <c r="W72" i="71"/>
  <c r="AB109" i="71"/>
  <c r="X63" i="71"/>
  <c r="X82" i="16"/>
  <c r="AA84" i="16"/>
  <c r="X46" i="71"/>
  <c r="AA47" i="71"/>
  <c r="X50" i="71"/>
  <c r="AA51" i="71"/>
  <c r="X54" i="71"/>
  <c r="AA55" i="71"/>
  <c r="X58" i="71"/>
  <c r="AA59" i="71"/>
  <c r="X62" i="71"/>
  <c r="AA63" i="71"/>
  <c r="X66" i="71"/>
  <c r="AA67" i="71"/>
  <c r="X72" i="71"/>
  <c r="W85" i="71"/>
  <c r="W89" i="71"/>
  <c r="W93" i="71"/>
  <c r="W97" i="71"/>
  <c r="W101" i="71"/>
  <c r="W105" i="71"/>
  <c r="X51" i="71"/>
  <c r="X59" i="71"/>
  <c r="X67" i="71"/>
  <c r="W139" i="71"/>
  <c r="X83" i="16"/>
  <c r="Z72" i="16"/>
  <c r="W38" i="71"/>
  <c r="AB47" i="71"/>
  <c r="AB51" i="71"/>
  <c r="AB55" i="71"/>
  <c r="AB59" i="71"/>
  <c r="Y62" i="71"/>
  <c r="AB63" i="71"/>
  <c r="Y66" i="71"/>
  <c r="AB67" i="71"/>
  <c r="Y72" i="71"/>
  <c r="AE83" i="71"/>
  <c r="AE87" i="71"/>
  <c r="AE91" i="71"/>
  <c r="AE95" i="71"/>
  <c r="AE99" i="71"/>
  <c r="AE103" i="71"/>
  <c r="Z46" i="71"/>
  <c r="Z50" i="71"/>
  <c r="Z54" i="71"/>
  <c r="AD55" i="71"/>
  <c r="AD92" i="71" s="1"/>
  <c r="Z58" i="71"/>
  <c r="Z62" i="71"/>
  <c r="Z66" i="71"/>
  <c r="Z72" i="71"/>
  <c r="X84" i="16"/>
  <c r="AE34" i="16"/>
  <c r="X45" i="71"/>
  <c r="AA46" i="71"/>
  <c r="X49" i="71"/>
  <c r="AA50" i="71"/>
  <c r="X53" i="71"/>
  <c r="AA54" i="71"/>
  <c r="X57" i="71"/>
  <c r="AA58" i="71"/>
  <c r="X61" i="71"/>
  <c r="AA62" i="71"/>
  <c r="X65" i="71"/>
  <c r="AA66" i="71"/>
  <c r="X69" i="71"/>
  <c r="AA72" i="71"/>
  <c r="W84" i="71"/>
  <c r="W96" i="71"/>
  <c r="W120" i="71"/>
  <c r="W124" i="71"/>
  <c r="W128" i="71"/>
  <c r="W132" i="71"/>
  <c r="W136" i="71"/>
  <c r="W140" i="71"/>
  <c r="W146" i="71"/>
  <c r="X85" i="16"/>
  <c r="X86" i="16"/>
  <c r="AB46" i="71"/>
  <c r="AB50" i="71"/>
  <c r="AB54" i="71"/>
  <c r="Y57" i="71"/>
  <c r="AB58" i="71"/>
  <c r="Y61" i="71"/>
  <c r="AB62" i="71"/>
  <c r="Y65" i="71"/>
  <c r="AB66" i="71"/>
  <c r="Y69" i="71"/>
  <c r="AB72" i="71"/>
  <c r="AD46" i="71"/>
  <c r="AD83" i="71" s="1"/>
  <c r="Z53" i="71"/>
  <c r="Z57" i="71"/>
  <c r="Z61" i="71"/>
  <c r="Z69" i="71"/>
  <c r="Y146" i="71"/>
  <c r="Z45" i="71"/>
  <c r="Z49" i="71"/>
  <c r="Z65" i="71"/>
  <c r="AA45" i="71"/>
  <c r="X48" i="71"/>
  <c r="AA49" i="71"/>
  <c r="X52" i="71"/>
  <c r="AA53" i="71"/>
  <c r="X56" i="71"/>
  <c r="AA57" i="71"/>
  <c r="X60" i="71"/>
  <c r="AA61" i="71"/>
  <c r="X64" i="71"/>
  <c r="AA65" i="71"/>
  <c r="X68" i="71"/>
  <c r="AA69" i="71"/>
  <c r="AF24" i="71"/>
  <c r="AF61" i="71" s="1"/>
  <c r="AF98" i="71" s="1"/>
  <c r="AB69" i="71"/>
  <c r="AA146" i="71"/>
  <c r="Z48" i="71"/>
  <c r="Z52" i="71"/>
  <c r="Z56" i="71"/>
  <c r="Z60" i="71"/>
  <c r="Z64" i="71"/>
  <c r="Z68" i="71"/>
  <c r="L75" i="71"/>
  <c r="L60" i="71"/>
  <c r="L92" i="71"/>
  <c r="L46" i="71"/>
  <c r="L49" i="71"/>
  <c r="L61" i="71"/>
  <c r="L104" i="71"/>
  <c r="L119" i="71"/>
  <c r="O52" i="71"/>
  <c r="O60" i="71"/>
  <c r="Q146" i="71"/>
  <c r="T45" i="71"/>
  <c r="M47" i="71"/>
  <c r="P48" i="71"/>
  <c r="T49" i="71"/>
  <c r="M51" i="71"/>
  <c r="P52" i="71"/>
  <c r="T53" i="71"/>
  <c r="M55" i="71"/>
  <c r="P56" i="71"/>
  <c r="T57" i="71"/>
  <c r="M59" i="71"/>
  <c r="P60" i="71"/>
  <c r="T61" i="71"/>
  <c r="M63" i="71"/>
  <c r="P64" i="71"/>
  <c r="T65" i="71"/>
  <c r="M67" i="71"/>
  <c r="P68" i="71"/>
  <c r="T69" i="71"/>
  <c r="L82" i="71"/>
  <c r="L86" i="71"/>
  <c r="L90" i="71"/>
  <c r="L94" i="71"/>
  <c r="L98" i="71"/>
  <c r="L102" i="71"/>
  <c r="L106" i="71"/>
  <c r="O109" i="71"/>
  <c r="L121" i="71"/>
  <c r="L125" i="71"/>
  <c r="L127" i="71"/>
  <c r="L129" i="71"/>
  <c r="L133" i="71"/>
  <c r="L137" i="71"/>
  <c r="L139" i="71"/>
  <c r="L141" i="71"/>
  <c r="L47" i="71"/>
  <c r="S72" i="71"/>
  <c r="S109" i="71" s="1"/>
  <c r="T84" i="71"/>
  <c r="T88" i="71"/>
  <c r="T92" i="71"/>
  <c r="T96" i="71"/>
  <c r="T100" i="71"/>
  <c r="T104" i="71"/>
  <c r="P109" i="71"/>
  <c r="M82" i="16"/>
  <c r="U10" i="71"/>
  <c r="U47" i="71" s="1"/>
  <c r="U84" i="71" s="1"/>
  <c r="U13" i="71"/>
  <c r="U50" i="71" s="1"/>
  <c r="U87" i="71" s="1"/>
  <c r="U16" i="71"/>
  <c r="U53" i="71" s="1"/>
  <c r="U90" i="71" s="1"/>
  <c r="U19" i="71"/>
  <c r="U56" i="71" s="1"/>
  <c r="U93" i="71" s="1"/>
  <c r="U22" i="71"/>
  <c r="U59" i="71" s="1"/>
  <c r="U96" i="71" s="1"/>
  <c r="U25" i="71"/>
  <c r="U62" i="71" s="1"/>
  <c r="U99" i="71" s="1"/>
  <c r="U28" i="71"/>
  <c r="U65" i="71" s="1"/>
  <c r="U102" i="71" s="1"/>
  <c r="T72" i="71"/>
  <c r="O47" i="71"/>
  <c r="L50" i="71"/>
  <c r="O51" i="71"/>
  <c r="O55" i="71"/>
  <c r="L58" i="71"/>
  <c r="O59" i="71"/>
  <c r="L62" i="71"/>
  <c r="O63" i="71"/>
  <c r="O67" i="71"/>
  <c r="L72" i="71"/>
  <c r="Q109" i="71"/>
  <c r="M46" i="71"/>
  <c r="P47" i="71"/>
  <c r="T48" i="71"/>
  <c r="M50" i="71"/>
  <c r="P51" i="71"/>
  <c r="M54" i="71"/>
  <c r="P55" i="71"/>
  <c r="M58" i="71"/>
  <c r="P59" i="71"/>
  <c r="T60" i="71"/>
  <c r="M62" i="71"/>
  <c r="P63" i="71"/>
  <c r="M66" i="71"/>
  <c r="P67" i="71"/>
  <c r="M72" i="71"/>
  <c r="L85" i="71"/>
  <c r="L89" i="71"/>
  <c r="L93" i="71"/>
  <c r="L97" i="71"/>
  <c r="L101" i="71"/>
  <c r="L105" i="71"/>
  <c r="L38" i="71"/>
  <c r="N46" i="71"/>
  <c r="Q47" i="71"/>
  <c r="N50" i="71"/>
  <c r="Q51" i="71"/>
  <c r="N54" i="71"/>
  <c r="Q55" i="71"/>
  <c r="N58" i="71"/>
  <c r="Q59" i="71"/>
  <c r="N62" i="71"/>
  <c r="Q63" i="71"/>
  <c r="N66" i="71"/>
  <c r="Q67" i="71"/>
  <c r="N72" i="71"/>
  <c r="T83" i="71"/>
  <c r="T87" i="71"/>
  <c r="T91" i="71"/>
  <c r="T95" i="71"/>
  <c r="T99" i="71"/>
  <c r="T103" i="71"/>
  <c r="L59" i="71"/>
  <c r="O46" i="71"/>
  <c r="O50" i="71"/>
  <c r="O54" i="71"/>
  <c r="O58" i="71"/>
  <c r="O62" i="71"/>
  <c r="O66" i="71"/>
  <c r="O72" i="71"/>
  <c r="U8" i="71"/>
  <c r="U14" i="71"/>
  <c r="U51" i="71" s="1"/>
  <c r="U88" i="71" s="1"/>
  <c r="U17" i="71"/>
  <c r="U54" i="71" s="1"/>
  <c r="U91" i="71" s="1"/>
  <c r="U20" i="71"/>
  <c r="U57" i="71" s="1"/>
  <c r="U94" i="71" s="1"/>
  <c r="U26" i="71"/>
  <c r="U63" i="71" s="1"/>
  <c r="U100" i="71" s="1"/>
  <c r="U29" i="71"/>
  <c r="U66" i="71" s="1"/>
  <c r="U103" i="71" s="1"/>
  <c r="U32" i="71"/>
  <c r="U69" i="71" s="1"/>
  <c r="U106" i="71" s="1"/>
  <c r="M45" i="71"/>
  <c r="P46" i="71"/>
  <c r="M49" i="71"/>
  <c r="P50" i="71"/>
  <c r="M53" i="71"/>
  <c r="P54" i="71"/>
  <c r="M57" i="71"/>
  <c r="P58" i="71"/>
  <c r="M61" i="71"/>
  <c r="P62" i="71"/>
  <c r="M65" i="71"/>
  <c r="P66" i="71"/>
  <c r="M69" i="71"/>
  <c r="P72" i="71"/>
  <c r="L120" i="71"/>
  <c r="L124" i="71"/>
  <c r="L128" i="71"/>
  <c r="L130" i="71"/>
  <c r="L132" i="71"/>
  <c r="L136" i="71"/>
  <c r="L140" i="71"/>
  <c r="L142" i="71"/>
  <c r="L146" i="71"/>
  <c r="Q50" i="71"/>
  <c r="Q54" i="71"/>
  <c r="Q58" i="71"/>
  <c r="N61" i="71"/>
  <c r="Q62" i="71"/>
  <c r="N65" i="71"/>
  <c r="Q66" i="71"/>
  <c r="N69" i="71"/>
  <c r="O48" i="71"/>
  <c r="O56" i="71"/>
  <c r="O64" i="71"/>
  <c r="O68" i="71"/>
  <c r="N109" i="71"/>
  <c r="O45" i="71"/>
  <c r="O49" i="71"/>
  <c r="O53" i="71"/>
  <c r="O57" i="71"/>
  <c r="O61" i="71"/>
  <c r="O65" i="71"/>
  <c r="O69" i="71"/>
  <c r="N146" i="71"/>
  <c r="P45" i="71"/>
  <c r="M48" i="71"/>
  <c r="P49" i="71"/>
  <c r="M52" i="71"/>
  <c r="P53" i="71"/>
  <c r="M56" i="71"/>
  <c r="P57" i="71"/>
  <c r="M60" i="71"/>
  <c r="P61" i="71"/>
  <c r="M64" i="71"/>
  <c r="P65" i="71"/>
  <c r="P69" i="71"/>
  <c r="AB24" i="16"/>
  <c r="Y87" i="16"/>
  <c r="Z88" i="16"/>
  <c r="AA87" i="16"/>
  <c r="X81" i="16"/>
  <c r="AB82" i="16"/>
  <c r="AA48" i="16"/>
  <c r="AB79" i="16"/>
  <c r="Y44" i="16"/>
  <c r="X44" i="16"/>
  <c r="AD79" i="16"/>
  <c r="X47" i="16"/>
  <c r="AA53" i="16"/>
  <c r="Z44" i="16"/>
  <c r="X62" i="16"/>
  <c r="AB54" i="16"/>
  <c r="AE88" i="16" s="1"/>
  <c r="Y62" i="16"/>
  <c r="AA44" i="16"/>
  <c r="AB44" i="16"/>
  <c r="AE79" i="16" s="1"/>
  <c r="Z62" i="16"/>
  <c r="Y72" i="16"/>
  <c r="X24" i="16"/>
  <c r="AA62" i="16"/>
  <c r="Z71" i="16"/>
  <c r="Y24" i="16"/>
  <c r="Z24" i="16"/>
  <c r="AB62" i="16"/>
  <c r="AD4" i="16"/>
  <c r="AA24" i="16"/>
  <c r="Y79" i="16"/>
  <c r="P62" i="16"/>
  <c r="N88" i="16"/>
  <c r="O86" i="16"/>
  <c r="M86" i="16"/>
  <c r="P80" i="16"/>
  <c r="Q82" i="16"/>
  <c r="M72" i="16"/>
  <c r="O64" i="16"/>
  <c r="P66" i="16"/>
  <c r="Q79" i="16"/>
  <c r="M44" i="16"/>
  <c r="S79" i="16"/>
  <c r="Q52" i="16"/>
  <c r="T86" i="16" s="1"/>
  <c r="N44" i="16"/>
  <c r="O44" i="16"/>
  <c r="M62" i="16"/>
  <c r="O52" i="16"/>
  <c r="P44" i="16"/>
  <c r="N62" i="16"/>
  <c r="P46" i="16"/>
  <c r="Q44" i="16"/>
  <c r="T79" i="16" s="1"/>
  <c r="O62" i="16"/>
  <c r="M24" i="16"/>
  <c r="N24" i="16"/>
  <c r="Q62" i="16"/>
  <c r="N70" i="16"/>
  <c r="O24" i="16"/>
  <c r="N79" i="16"/>
  <c r="S86" i="16"/>
  <c r="Q24" i="16"/>
  <c r="AF35" i="71" l="1"/>
  <c r="AF72" i="71" s="1"/>
  <c r="AF109" i="71" s="1"/>
  <c r="U35" i="71"/>
  <c r="U72" i="71" s="1"/>
  <c r="U109" i="71" s="1"/>
  <c r="AD83" i="16"/>
  <c r="T26" i="16"/>
  <c r="T27" i="16"/>
  <c r="T32" i="16"/>
  <c r="T28" i="16"/>
  <c r="T34" i="16"/>
  <c r="T33" i="16"/>
  <c r="T30" i="16"/>
  <c r="AE109" i="71"/>
  <c r="AA49" i="16"/>
  <c r="X87" i="16"/>
  <c r="X71" i="16"/>
  <c r="AA47" i="16"/>
  <c r="X49" i="16"/>
  <c r="AA50" i="16"/>
  <c r="Z48" i="16"/>
  <c r="AA52" i="16"/>
  <c r="P51" i="16"/>
  <c r="AA81" i="16"/>
  <c r="M48" i="16"/>
  <c r="X48" i="16"/>
  <c r="X50" i="16"/>
  <c r="X46" i="16"/>
  <c r="Z52" i="16"/>
  <c r="Y53" i="16"/>
  <c r="Y49" i="16"/>
  <c r="S82" i="16"/>
  <c r="AB52" i="16"/>
  <c r="AE86" i="16" s="1"/>
  <c r="Z67" i="16"/>
  <c r="Z54" i="16"/>
  <c r="X54" i="16"/>
  <c r="AB46" i="16"/>
  <c r="AE80" i="16" s="1"/>
  <c r="AA88" i="16"/>
  <c r="Z46" i="16"/>
  <c r="Y51" i="16"/>
  <c r="N47" i="16"/>
  <c r="Z47" i="16"/>
  <c r="AD84" i="16"/>
  <c r="Y54" i="16"/>
  <c r="Z49" i="16"/>
  <c r="AD81" i="16"/>
  <c r="AB49" i="16"/>
  <c r="AE83" i="16" s="1"/>
  <c r="O49" i="16"/>
  <c r="AB47" i="16"/>
  <c r="AE81" i="16" s="1"/>
  <c r="AB53" i="16"/>
  <c r="AE87" i="16" s="1"/>
  <c r="AA51" i="16"/>
  <c r="AB51" i="16"/>
  <c r="AE85" i="16" s="1"/>
  <c r="M46" i="16"/>
  <c r="AA80" i="16"/>
  <c r="X52" i="16"/>
  <c r="N50" i="16"/>
  <c r="Y52" i="16"/>
  <c r="Y46" i="16"/>
  <c r="M53" i="16"/>
  <c r="Q54" i="16"/>
  <c r="T88" i="16" s="1"/>
  <c r="M51" i="16"/>
  <c r="S83" i="16"/>
  <c r="O50" i="16"/>
  <c r="M47" i="16"/>
  <c r="S80" i="16"/>
  <c r="Q53" i="16"/>
  <c r="T87" i="16" s="1"/>
  <c r="S22" i="16"/>
  <c r="N48" i="16"/>
  <c r="O46" i="16"/>
  <c r="Q46" i="16"/>
  <c r="T80" i="16" s="1"/>
  <c r="Q50" i="16"/>
  <c r="T84" i="16" s="1"/>
  <c r="M50" i="16"/>
  <c r="N49" i="16"/>
  <c r="P54" i="16"/>
  <c r="O53" i="16"/>
  <c r="P52" i="16"/>
  <c r="S81" i="16"/>
  <c r="O48" i="16"/>
  <c r="P53" i="16"/>
  <c r="P50" i="16"/>
  <c r="M54" i="16"/>
  <c r="N46" i="16"/>
  <c r="Q47" i="16"/>
  <c r="T81" i="16" s="1"/>
  <c r="O54" i="16"/>
  <c r="N53" i="16"/>
  <c r="Q51" i="16"/>
  <c r="T85" i="16" s="1"/>
  <c r="P49" i="16"/>
  <c r="N51" i="16"/>
  <c r="S87" i="16"/>
  <c r="S84" i="16"/>
  <c r="O47" i="16"/>
  <c r="AE48" i="109"/>
  <c r="AE30" i="109"/>
  <c r="Z48" i="109"/>
  <c r="Z45" i="109"/>
  <c r="AE45" i="109"/>
  <c r="AE27" i="109"/>
  <c r="AC49" i="109"/>
  <c r="X49" i="109"/>
  <c r="O38" i="108" s="1"/>
  <c r="X44" i="109"/>
  <c r="O33" i="108" s="1"/>
  <c r="AC29" i="109"/>
  <c r="AC44" i="109"/>
  <c r="S51" i="109"/>
  <c r="R45" i="109"/>
  <c r="AB45" i="109"/>
  <c r="R52" i="109"/>
  <c r="AB52" i="109"/>
  <c r="R34" i="109"/>
  <c r="R49" i="109"/>
  <c r="R31" i="109"/>
  <c r="AB49" i="109"/>
  <c r="AE50" i="109"/>
  <c r="AE32" i="109"/>
  <c r="Z50" i="109"/>
  <c r="AD48" i="109"/>
  <c r="AD30" i="109"/>
  <c r="Y48" i="109"/>
  <c r="N37" i="108" s="1"/>
  <c r="AE34" i="109"/>
  <c r="Z52" i="109"/>
  <c r="AE52" i="109"/>
  <c r="AC46" i="109"/>
  <c r="X46" i="109"/>
  <c r="O35" i="108" s="1"/>
  <c r="AE47" i="109"/>
  <c r="AE29" i="109"/>
  <c r="Z47" i="109"/>
  <c r="AC51" i="109"/>
  <c r="X51" i="109"/>
  <c r="O40" i="108" s="1"/>
  <c r="AC48" i="109"/>
  <c r="X48" i="109"/>
  <c r="O37" i="108" s="1"/>
  <c r="S44" i="109"/>
  <c r="S26" i="109"/>
  <c r="R47" i="109"/>
  <c r="AB47" i="109"/>
  <c r="S46" i="109"/>
  <c r="AE46" i="109"/>
  <c r="AE28" i="109"/>
  <c r="Z46" i="109"/>
  <c r="AB44" i="109"/>
  <c r="R44" i="109"/>
  <c r="R26" i="109"/>
  <c r="Y44" i="109"/>
  <c r="N33" i="108" s="1"/>
  <c r="AD26" i="109"/>
  <c r="AD44" i="109"/>
  <c r="AC50" i="109"/>
  <c r="X50" i="109"/>
  <c r="O39" i="108" s="1"/>
  <c r="AE51" i="109"/>
  <c r="AE33" i="109"/>
  <c r="Z51" i="109"/>
  <c r="AE49" i="109"/>
  <c r="AE31" i="109"/>
  <c r="Z49" i="109"/>
  <c r="S52" i="109"/>
  <c r="R46" i="109"/>
  <c r="AB46" i="109"/>
  <c r="X47" i="109"/>
  <c r="O36" i="108" s="1"/>
  <c r="AC47" i="109"/>
  <c r="X45" i="109"/>
  <c r="O34" i="108" s="1"/>
  <c r="AC45" i="109"/>
  <c r="R50" i="109"/>
  <c r="AB50" i="109"/>
  <c r="AE54" i="109"/>
  <c r="Z54" i="109"/>
  <c r="AE36" i="109"/>
  <c r="AC52" i="109"/>
  <c r="AB48" i="16"/>
  <c r="AE82" i="16" s="1"/>
  <c r="AB50" i="16"/>
  <c r="AE84" i="16" s="1"/>
  <c r="AA46" i="16"/>
  <c r="AE28" i="16"/>
  <c r="AE32" i="16"/>
  <c r="AE29" i="16"/>
  <c r="AE26" i="16"/>
  <c r="AE27" i="16"/>
  <c r="AE30" i="16"/>
  <c r="AE33" i="16"/>
  <c r="AA83" i="16"/>
  <c r="Y47" i="16"/>
  <c r="AD82" i="16"/>
  <c r="Y48" i="16"/>
  <c r="AD88" i="16"/>
  <c r="Z68" i="16"/>
  <c r="AD86" i="16"/>
  <c r="AA54" i="16"/>
  <c r="AD80" i="16"/>
  <c r="X51" i="16"/>
  <c r="Z50" i="16"/>
  <c r="Z51" i="16"/>
  <c r="AD87" i="16"/>
  <c r="Z53" i="16"/>
  <c r="Y50" i="16"/>
  <c r="AE31" i="16"/>
  <c r="AA18" i="16"/>
  <c r="AA32" i="16" s="1"/>
  <c r="P47" i="16"/>
  <c r="S88" i="16"/>
  <c r="N54" i="16"/>
  <c r="P18" i="16"/>
  <c r="P90" i="16" s="1"/>
  <c r="U45" i="71"/>
  <c r="U82" i="71" s="1"/>
  <c r="N52" i="16"/>
  <c r="S85" i="16"/>
  <c r="M52" i="16"/>
  <c r="Q48" i="16"/>
  <c r="T82" i="16" s="1"/>
  <c r="O51" i="16"/>
  <c r="Q49" i="16"/>
  <c r="T83" i="16" s="1"/>
  <c r="M49" i="16"/>
  <c r="T109" i="71"/>
  <c r="AA86" i="16"/>
  <c r="Z70" i="16"/>
  <c r="Y68" i="16"/>
  <c r="Z84" i="16"/>
  <c r="AB65" i="16"/>
  <c r="O4" i="107" s="1"/>
  <c r="AA65" i="16"/>
  <c r="AD9" i="16"/>
  <c r="AB81" i="16"/>
  <c r="Y82" i="16"/>
  <c r="X66" i="16"/>
  <c r="AB68" i="16"/>
  <c r="O7" i="107" s="1"/>
  <c r="AB84" i="16"/>
  <c r="AD12" i="16"/>
  <c r="AA68" i="16"/>
  <c r="AB80" i="16"/>
  <c r="AD8" i="16"/>
  <c r="AD26" i="16" s="1"/>
  <c r="AB18" i="16"/>
  <c r="AB31" i="16" s="1"/>
  <c r="AB64" i="16"/>
  <c r="O3" i="107" s="1"/>
  <c r="AA64" i="16"/>
  <c r="Z82" i="16"/>
  <c r="Y66" i="16"/>
  <c r="AA82" i="16"/>
  <c r="Z66" i="16"/>
  <c r="AB67" i="16"/>
  <c r="O6" i="107" s="1"/>
  <c r="AB83" i="16"/>
  <c r="AA67" i="16"/>
  <c r="AD11" i="16"/>
  <c r="AD29" i="16" s="1"/>
  <c r="AD42" i="16"/>
  <c r="AD22" i="16"/>
  <c r="Y70" i="16"/>
  <c r="Z86" i="16"/>
  <c r="X18" i="16"/>
  <c r="X26" i="16" s="1"/>
  <c r="X80" i="16"/>
  <c r="Z69" i="16"/>
  <c r="AA85" i="16"/>
  <c r="X88" i="16"/>
  <c r="Y85" i="16"/>
  <c r="X69" i="16"/>
  <c r="AD16" i="16"/>
  <c r="AB72" i="16"/>
  <c r="O11" i="107" s="1"/>
  <c r="AB88" i="16"/>
  <c r="AA72" i="16"/>
  <c r="AB71" i="16"/>
  <c r="O10" i="107" s="1"/>
  <c r="AA71" i="16"/>
  <c r="AB87" i="16"/>
  <c r="AD15" i="16"/>
  <c r="Y64" i="16"/>
  <c r="Z18" i="16"/>
  <c r="Z26" i="16" s="1"/>
  <c r="Z80" i="16"/>
  <c r="X68" i="16"/>
  <c r="Y84" i="16"/>
  <c r="X64" i="16"/>
  <c r="Y18" i="16"/>
  <c r="Y80" i="16"/>
  <c r="AD14" i="16"/>
  <c r="AB86" i="16"/>
  <c r="AB70" i="16"/>
  <c r="O9" i="107" s="1"/>
  <c r="AA70" i="16"/>
  <c r="Z83" i="16"/>
  <c r="Y67" i="16"/>
  <c r="AA66" i="16"/>
  <c r="AB69" i="16"/>
  <c r="O8" i="107" s="1"/>
  <c r="AA69" i="16"/>
  <c r="AD13" i="16"/>
  <c r="AD31" i="16" s="1"/>
  <c r="AB85" i="16"/>
  <c r="X70" i="16"/>
  <c r="Y86" i="16"/>
  <c r="Y65" i="16"/>
  <c r="Z81" i="16"/>
  <c r="X65" i="16"/>
  <c r="Y81" i="16"/>
  <c r="Z85" i="16"/>
  <c r="Y69" i="16"/>
  <c r="Z64" i="16"/>
  <c r="AB66" i="16"/>
  <c r="O5" i="107" s="1"/>
  <c r="Y71" i="16"/>
  <c r="Z87" i="16"/>
  <c r="Y88" i="16"/>
  <c r="X72" i="16"/>
  <c r="Y83" i="16"/>
  <c r="X67" i="16"/>
  <c r="AD10" i="16"/>
  <c r="Z65" i="16"/>
  <c r="Q18" i="16"/>
  <c r="Q32" i="16" s="1"/>
  <c r="Q80" i="16"/>
  <c r="S8" i="16"/>
  <c r="S26" i="16" s="1"/>
  <c r="Q64" i="16"/>
  <c r="P3" i="107" s="1"/>
  <c r="P64" i="16"/>
  <c r="M70" i="16"/>
  <c r="N86" i="16"/>
  <c r="O85" i="16"/>
  <c r="T31" i="16"/>
  <c r="N69" i="16"/>
  <c r="O88" i="16"/>
  <c r="N72" i="16"/>
  <c r="Q83" i="16"/>
  <c r="Q67" i="16"/>
  <c r="P6" i="107" s="1"/>
  <c r="P67" i="16"/>
  <c r="S11" i="16"/>
  <c r="U11" i="16" s="1"/>
  <c r="U29" i="16" s="1"/>
  <c r="P82" i="16"/>
  <c r="O66" i="16"/>
  <c r="N68" i="16"/>
  <c r="O84" i="16"/>
  <c r="Q71" i="16"/>
  <c r="P10" i="107" s="1"/>
  <c r="P71" i="16"/>
  <c r="Q87" i="16"/>
  <c r="S15" i="16"/>
  <c r="N65" i="16"/>
  <c r="O81" i="16"/>
  <c r="M84" i="16"/>
  <c r="N82" i="16"/>
  <c r="M66" i="16"/>
  <c r="O69" i="16"/>
  <c r="P85" i="16"/>
  <c r="N71" i="16"/>
  <c r="O87" i="16"/>
  <c r="M18" i="16"/>
  <c r="M30" i="16" s="1"/>
  <c r="M80" i="16"/>
  <c r="O83" i="16"/>
  <c r="N67" i="16"/>
  <c r="T29" i="16"/>
  <c r="M83" i="16"/>
  <c r="M65" i="16"/>
  <c r="N81" i="16"/>
  <c r="O71" i="16"/>
  <c r="P87" i="16"/>
  <c r="M68" i="16"/>
  <c r="N84" i="16"/>
  <c r="P88" i="16"/>
  <c r="O72" i="16"/>
  <c r="N83" i="16"/>
  <c r="M67" i="16"/>
  <c r="N85" i="16"/>
  <c r="M69" i="16"/>
  <c r="Q84" i="16"/>
  <c r="S12" i="16"/>
  <c r="Q68" i="16"/>
  <c r="P7" i="107" s="1"/>
  <c r="P68" i="16"/>
  <c r="O65" i="16"/>
  <c r="P81" i="16"/>
  <c r="M81" i="16"/>
  <c r="N64" i="16"/>
  <c r="O18" i="16"/>
  <c r="O27" i="16" s="1"/>
  <c r="O80" i="16"/>
  <c r="Q65" i="16"/>
  <c r="P4" i="107" s="1"/>
  <c r="P65" i="16"/>
  <c r="S9" i="16"/>
  <c r="Q81" i="16"/>
  <c r="P84" i="16"/>
  <c r="O68" i="16"/>
  <c r="S14" i="16"/>
  <c r="Q86" i="16"/>
  <c r="Q70" i="16"/>
  <c r="P9" i="107" s="1"/>
  <c r="P70" i="16"/>
  <c r="M88" i="16"/>
  <c r="M71" i="16"/>
  <c r="N87" i="16"/>
  <c r="O82" i="16"/>
  <c r="N66" i="16"/>
  <c r="S16" i="16"/>
  <c r="Q72" i="16"/>
  <c r="P11" i="107" s="1"/>
  <c r="Q88" i="16"/>
  <c r="P72" i="16"/>
  <c r="M87" i="16"/>
  <c r="Q69" i="16"/>
  <c r="P8" i="107" s="1"/>
  <c r="P69" i="16"/>
  <c r="S13" i="16"/>
  <c r="U13" i="16" s="1"/>
  <c r="U31" i="16" s="1"/>
  <c r="Q85" i="16"/>
  <c r="Q66" i="16"/>
  <c r="P5" i="107" s="1"/>
  <c r="M85" i="16"/>
  <c r="M64" i="16"/>
  <c r="N18" i="16"/>
  <c r="N27" i="16" s="1"/>
  <c r="N80" i="16"/>
  <c r="P86" i="16"/>
  <c r="O70" i="16"/>
  <c r="P83" i="16"/>
  <c r="O67" i="16"/>
  <c r="S10" i="16"/>
  <c r="T18" i="16" l="1"/>
  <c r="T36" i="16" s="1"/>
  <c r="U10" i="16"/>
  <c r="U28" i="16" s="1"/>
  <c r="U9" i="16"/>
  <c r="U27" i="16" s="1"/>
  <c r="U12" i="16"/>
  <c r="U30" i="16" s="1"/>
  <c r="AF9" i="16"/>
  <c r="AF27" i="16" s="1"/>
  <c r="U15" i="16"/>
  <c r="U33" i="16" s="1"/>
  <c r="U16" i="16"/>
  <c r="U34" i="16" s="1"/>
  <c r="Z31" i="16"/>
  <c r="AF14" i="16"/>
  <c r="AF32" i="16" s="1"/>
  <c r="AB32" i="16"/>
  <c r="AD27" i="16"/>
  <c r="Z33" i="16"/>
  <c r="AF15" i="16"/>
  <c r="AF33" i="16" s="1"/>
  <c r="AA28" i="16"/>
  <c r="AB29" i="16"/>
  <c r="AF12" i="16"/>
  <c r="AF30" i="16" s="1"/>
  <c r="Z27" i="16"/>
  <c r="Z28" i="16"/>
  <c r="AB30" i="16"/>
  <c r="AB33" i="16"/>
  <c r="Z29" i="16"/>
  <c r="X34" i="16"/>
  <c r="S29" i="16"/>
  <c r="Q34" i="16"/>
  <c r="S27" i="16"/>
  <c r="N28" i="16"/>
  <c r="S31" i="16"/>
  <c r="N26" i="16"/>
  <c r="N29" i="16"/>
  <c r="N32" i="16"/>
  <c r="AC28" i="109"/>
  <c r="R36" i="109"/>
  <c r="AB54" i="109"/>
  <c r="R54" i="109"/>
  <c r="R30" i="109"/>
  <c r="R33" i="109"/>
  <c r="S54" i="109"/>
  <c r="S36" i="109"/>
  <c r="S27" i="109"/>
  <c r="S30" i="109"/>
  <c r="S32" i="109"/>
  <c r="S29" i="109"/>
  <c r="S31" i="109"/>
  <c r="AC26" i="109"/>
  <c r="AC30" i="109"/>
  <c r="AC31" i="109"/>
  <c r="AC54" i="109"/>
  <c r="AC36" i="109"/>
  <c r="X54" i="109"/>
  <c r="O43" i="108" s="1"/>
  <c r="AC34" i="109"/>
  <c r="AC32" i="109"/>
  <c r="S28" i="109"/>
  <c r="AC33" i="109"/>
  <c r="R27" i="109"/>
  <c r="R28" i="109"/>
  <c r="S33" i="109"/>
  <c r="AC27" i="109"/>
  <c r="R32" i="109"/>
  <c r="S34" i="109"/>
  <c r="AD36" i="109"/>
  <c r="Y54" i="109"/>
  <c r="N43" i="108" s="1"/>
  <c r="AD29" i="109"/>
  <c r="AD54" i="109"/>
  <c r="AD32" i="109"/>
  <c r="AD27" i="109"/>
  <c r="AD28" i="109"/>
  <c r="AD33" i="109"/>
  <c r="AD34" i="109"/>
  <c r="AD31" i="109"/>
  <c r="R29" i="109"/>
  <c r="B31" i="109"/>
  <c r="B29" i="109"/>
  <c r="B33" i="109"/>
  <c r="B32" i="109"/>
  <c r="B27" i="109"/>
  <c r="B36" i="109"/>
  <c r="B34" i="109"/>
  <c r="B28" i="109"/>
  <c r="B30" i="109"/>
  <c r="Y28" i="16"/>
  <c r="X56" i="16"/>
  <c r="Y29" i="16"/>
  <c r="AA31" i="16"/>
  <c r="AF11" i="16"/>
  <c r="AF29" i="16" s="1"/>
  <c r="AF10" i="16"/>
  <c r="AF28" i="16" s="1"/>
  <c r="AD33" i="16"/>
  <c r="AA56" i="16"/>
  <c r="AB56" i="16"/>
  <c r="AE90" i="16" s="1"/>
  <c r="AB27" i="16"/>
  <c r="AE18" i="16"/>
  <c r="AE36" i="16" s="1"/>
  <c r="Y34" i="16"/>
  <c r="Z30" i="16"/>
  <c r="Y56" i="16"/>
  <c r="AD90" i="16"/>
  <c r="AF16" i="16"/>
  <c r="AF34" i="16" s="1"/>
  <c r="AD34" i="16"/>
  <c r="AD32" i="16"/>
  <c r="AF13" i="16"/>
  <c r="AF31" i="16" s="1"/>
  <c r="AB34" i="16"/>
  <c r="AB26" i="16"/>
  <c r="AA26" i="16"/>
  <c r="AA27" i="16"/>
  <c r="AA33" i="16"/>
  <c r="Z56" i="16"/>
  <c r="AA30" i="16"/>
  <c r="AA29" i="16"/>
  <c r="AA90" i="16"/>
  <c r="AA36" i="16"/>
  <c r="AA34" i="16"/>
  <c r="AD28" i="16"/>
  <c r="AD30" i="16"/>
  <c r="S90" i="16"/>
  <c r="N56" i="16"/>
  <c r="S28" i="16"/>
  <c r="P36" i="16"/>
  <c r="P30" i="16"/>
  <c r="O74" i="16"/>
  <c r="M26" i="16"/>
  <c r="O28" i="16"/>
  <c r="P32" i="16"/>
  <c r="O29" i="16"/>
  <c r="M33" i="16"/>
  <c r="P27" i="16"/>
  <c r="P26" i="16"/>
  <c r="O56" i="16"/>
  <c r="P33" i="16"/>
  <c r="P31" i="16"/>
  <c r="P56" i="16"/>
  <c r="Q56" i="16"/>
  <c r="T90" i="16" s="1"/>
  <c r="O34" i="16"/>
  <c r="N30" i="16"/>
  <c r="M56" i="16"/>
  <c r="M34" i="16"/>
  <c r="S33" i="16"/>
  <c r="S30" i="16"/>
  <c r="S34" i="16"/>
  <c r="M31" i="16"/>
  <c r="O26" i="16"/>
  <c r="P34" i="16"/>
  <c r="Q30" i="16"/>
  <c r="O33" i="16"/>
  <c r="O31" i="16"/>
  <c r="Q26" i="16"/>
  <c r="P29" i="16"/>
  <c r="U14" i="16"/>
  <c r="U32" i="16" s="1"/>
  <c r="S32" i="16"/>
  <c r="N31" i="16"/>
  <c r="P28" i="16"/>
  <c r="Y30" i="16"/>
  <c r="Y32" i="16"/>
  <c r="Z90" i="16"/>
  <c r="Z36" i="16"/>
  <c r="Y74" i="16"/>
  <c r="Z34" i="16"/>
  <c r="Z74" i="16"/>
  <c r="X90" i="16"/>
  <c r="X36" i="16"/>
  <c r="X27" i="16"/>
  <c r="X30" i="16"/>
  <c r="X33" i="16"/>
  <c r="X32" i="16"/>
  <c r="X29" i="16"/>
  <c r="X28" i="16"/>
  <c r="X31" i="16"/>
  <c r="Y36" i="16"/>
  <c r="Y90" i="16"/>
  <c r="X74" i="16"/>
  <c r="Y33" i="16"/>
  <c r="Y27" i="16"/>
  <c r="Z32" i="16"/>
  <c r="AB74" i="16"/>
  <c r="O13" i="107" s="1"/>
  <c r="AB90" i="16"/>
  <c r="AA74" i="16"/>
  <c r="AB36" i="16"/>
  <c r="AB28" i="16"/>
  <c r="Y26" i="16"/>
  <c r="Y31" i="16"/>
  <c r="AF8" i="16"/>
  <c r="AF26" i="16" s="1"/>
  <c r="AD18" i="16"/>
  <c r="Q90" i="16"/>
  <c r="Q74" i="16"/>
  <c r="P13" i="107" s="1"/>
  <c r="P74" i="16"/>
  <c r="Q36" i="16"/>
  <c r="Q28" i="16"/>
  <c r="Q31" i="16"/>
  <c r="Q33" i="16"/>
  <c r="O90" i="16"/>
  <c r="N74" i="16"/>
  <c r="O36" i="16"/>
  <c r="O32" i="16"/>
  <c r="U8" i="16"/>
  <c r="U26" i="16" s="1"/>
  <c r="S18" i="16"/>
  <c r="M90" i="16"/>
  <c r="M36" i="16"/>
  <c r="M32" i="16"/>
  <c r="M28" i="16"/>
  <c r="M29" i="16"/>
  <c r="O30" i="16"/>
  <c r="Q29" i="16"/>
  <c r="N90" i="16"/>
  <c r="M74" i="16"/>
  <c r="N36" i="16"/>
  <c r="N34" i="16"/>
  <c r="Q27" i="16"/>
  <c r="M27" i="16"/>
  <c r="N33" i="16"/>
  <c r="U18" i="16" l="1"/>
  <c r="U36" i="16" s="1"/>
  <c r="S36" i="16"/>
  <c r="AF18" i="16"/>
  <c r="AF36" i="16" s="1"/>
  <c r="AD36" i="16"/>
  <c r="O7" i="105"/>
  <c r="N7" i="105"/>
  <c r="A36" i="105"/>
  <c r="A10" i="105"/>
  <c r="A11" i="105"/>
  <c r="A12" i="105"/>
  <c r="A13" i="105"/>
  <c r="A14" i="105"/>
  <c r="A15" i="105"/>
  <c r="A16" i="105"/>
  <c r="A17" i="105"/>
  <c r="A18" i="105"/>
  <c r="A19" i="105"/>
  <c r="A20" i="105"/>
  <c r="A21" i="105"/>
  <c r="A22" i="105"/>
  <c r="A23" i="105"/>
  <c r="A24" i="105"/>
  <c r="A25" i="105"/>
  <c r="A26" i="105"/>
  <c r="A27" i="105"/>
  <c r="A28" i="105"/>
  <c r="A29" i="105"/>
  <c r="A30" i="105"/>
  <c r="A31" i="105"/>
  <c r="A32" i="105"/>
  <c r="A33" i="105"/>
  <c r="A9" i="105"/>
  <c r="A8" i="71"/>
  <c r="A153" i="71" s="1"/>
  <c r="L28" i="105"/>
  <c r="L33" i="105" l="1"/>
  <c r="H33" i="105"/>
  <c r="U33" i="105" s="1"/>
  <c r="D33" i="105"/>
  <c r="L32" i="105"/>
  <c r="H32" i="105"/>
  <c r="D32" i="105"/>
  <c r="T32" i="105" s="1"/>
  <c r="L31" i="105"/>
  <c r="H31" i="105"/>
  <c r="D31" i="105"/>
  <c r="L30" i="105"/>
  <c r="H30" i="105"/>
  <c r="D30" i="105"/>
  <c r="L29" i="105"/>
  <c r="H29" i="105"/>
  <c r="U29" i="105" s="1"/>
  <c r="D29" i="105"/>
  <c r="H28" i="105"/>
  <c r="U28" i="105" s="1"/>
  <c r="D28" i="105"/>
  <c r="L27" i="105"/>
  <c r="H27" i="105"/>
  <c r="D27" i="105"/>
  <c r="L26" i="105"/>
  <c r="H26" i="105"/>
  <c r="U26" i="105" s="1"/>
  <c r="D26" i="105"/>
  <c r="L25" i="105"/>
  <c r="H25" i="105"/>
  <c r="D25" i="105"/>
  <c r="T25" i="105" s="1"/>
  <c r="L24" i="105"/>
  <c r="H24" i="105"/>
  <c r="D24" i="105"/>
  <c r="L23" i="105"/>
  <c r="H23" i="105"/>
  <c r="D23" i="105"/>
  <c r="T23" i="105" s="1"/>
  <c r="L22" i="105"/>
  <c r="H22" i="105"/>
  <c r="U22" i="105" s="1"/>
  <c r="D22" i="105"/>
  <c r="L21" i="105"/>
  <c r="H21" i="105"/>
  <c r="D21" i="105"/>
  <c r="T21" i="105" s="1"/>
  <c r="L20" i="105"/>
  <c r="H20" i="105"/>
  <c r="U20" i="105" s="1"/>
  <c r="D20" i="105"/>
  <c r="L19" i="105"/>
  <c r="H19" i="105"/>
  <c r="D19" i="105"/>
  <c r="L18" i="105"/>
  <c r="H18" i="105"/>
  <c r="D18" i="105"/>
  <c r="L17" i="105"/>
  <c r="H17" i="105"/>
  <c r="D17" i="105"/>
  <c r="T17" i="105" s="1"/>
  <c r="L16" i="105"/>
  <c r="H16" i="105"/>
  <c r="D16" i="105"/>
  <c r="L15" i="105"/>
  <c r="H15" i="105"/>
  <c r="D15" i="105"/>
  <c r="T15" i="105" s="1"/>
  <c r="L14" i="105"/>
  <c r="H14" i="105"/>
  <c r="U14" i="105" s="1"/>
  <c r="D14" i="105"/>
  <c r="L13" i="105"/>
  <c r="H13" i="105"/>
  <c r="D13" i="105"/>
  <c r="T13" i="105" s="1"/>
  <c r="L12" i="105"/>
  <c r="H12" i="105"/>
  <c r="U12" i="105" s="1"/>
  <c r="D12" i="105"/>
  <c r="L11" i="105"/>
  <c r="H11" i="105"/>
  <c r="D11" i="105"/>
  <c r="L10" i="105"/>
  <c r="H10" i="105"/>
  <c r="U10" i="105" s="1"/>
  <c r="D10" i="105"/>
  <c r="L9" i="105"/>
  <c r="H9" i="105"/>
  <c r="D9" i="105"/>
  <c r="T9" i="105" s="1"/>
  <c r="U7" i="105"/>
  <c r="T7" i="105"/>
  <c r="R7" i="105"/>
  <c r="Q7" i="105"/>
  <c r="U30" i="105" l="1"/>
  <c r="T14" i="105"/>
  <c r="U31" i="105"/>
  <c r="U32" i="105"/>
  <c r="T22" i="105"/>
  <c r="T16" i="105"/>
  <c r="U18" i="105"/>
  <c r="U11" i="105"/>
  <c r="U19" i="105"/>
  <c r="U27" i="105"/>
  <c r="U13" i="105"/>
  <c r="U21" i="105"/>
  <c r="T24" i="105"/>
  <c r="T11" i="105"/>
  <c r="U16" i="105"/>
  <c r="T19" i="105"/>
  <c r="U24" i="105"/>
  <c r="T27" i="105"/>
  <c r="T30" i="105"/>
  <c r="T33" i="105"/>
  <c r="T10" i="105"/>
  <c r="U15" i="105"/>
  <c r="T18" i="105"/>
  <c r="U23" i="105"/>
  <c r="T26" i="105"/>
  <c r="T29" i="105"/>
  <c r="U9" i="105"/>
  <c r="T12" i="105"/>
  <c r="U17" i="105"/>
  <c r="T20" i="105"/>
  <c r="U25" i="105"/>
  <c r="T28" i="105"/>
  <c r="T31" i="105"/>
  <c r="H36" i="105"/>
  <c r="L36" i="105"/>
  <c r="D36" i="105"/>
  <c r="A18" i="104"/>
  <c r="A13" i="104"/>
  <c r="A8" i="104"/>
  <c r="A1" i="104" s="1"/>
  <c r="B8" i="49"/>
  <c r="C8" i="49"/>
  <c r="E8" i="49"/>
  <c r="B9" i="49"/>
  <c r="C9" i="49"/>
  <c r="E9" i="49"/>
  <c r="B10" i="49"/>
  <c r="C10" i="49"/>
  <c r="E10" i="49"/>
  <c r="B11" i="49"/>
  <c r="C11" i="49"/>
  <c r="E11" i="49"/>
  <c r="B12" i="49"/>
  <c r="C12" i="49"/>
  <c r="E12" i="49"/>
  <c r="B13" i="49"/>
  <c r="C13" i="49"/>
  <c r="E13" i="49"/>
  <c r="B14" i="49"/>
  <c r="C14" i="49"/>
  <c r="E14" i="49"/>
  <c r="B15" i="49"/>
  <c r="C15" i="49"/>
  <c r="E15" i="49"/>
  <c r="B16" i="49"/>
  <c r="C16" i="49"/>
  <c r="E16" i="49"/>
  <c r="B17" i="49"/>
  <c r="C17" i="49"/>
  <c r="E17" i="49"/>
  <c r="B18" i="49"/>
  <c r="C18" i="49"/>
  <c r="E18" i="49"/>
  <c r="B19" i="49"/>
  <c r="C19" i="49"/>
  <c r="E19" i="49"/>
  <c r="B20" i="49"/>
  <c r="C20" i="49"/>
  <c r="E20" i="49"/>
  <c r="B21" i="49"/>
  <c r="C21" i="49"/>
  <c r="E21" i="49"/>
  <c r="B22" i="49"/>
  <c r="C22" i="49"/>
  <c r="E22" i="49"/>
  <c r="B23" i="49"/>
  <c r="C23" i="49"/>
  <c r="E23" i="49"/>
  <c r="B24" i="49"/>
  <c r="C24" i="49"/>
  <c r="E24" i="49"/>
  <c r="B25" i="49"/>
  <c r="C25" i="49"/>
  <c r="E25" i="49"/>
  <c r="B26" i="49"/>
  <c r="C26" i="49"/>
  <c r="E26" i="49"/>
  <c r="B27" i="49"/>
  <c r="C27" i="49"/>
  <c r="E27" i="49"/>
  <c r="B28" i="49"/>
  <c r="C28" i="49"/>
  <c r="E28" i="49"/>
  <c r="B29" i="49"/>
  <c r="C29" i="49"/>
  <c r="E29" i="49"/>
  <c r="B30" i="49"/>
  <c r="C30" i="49"/>
  <c r="E30" i="49"/>
  <c r="B31" i="49"/>
  <c r="G31" i="49" s="1"/>
  <c r="E7" i="49"/>
  <c r="C7" i="49"/>
  <c r="B7" i="49"/>
  <c r="T36" i="105" l="1"/>
  <c r="K8" i="49" a="1"/>
  <c r="K12" i="49" s="1"/>
  <c r="M8" i="49" a="1"/>
  <c r="M14" i="49" s="1"/>
  <c r="U36" i="105"/>
  <c r="G7" i="49"/>
  <c r="J8" i="49" a="1"/>
  <c r="F330" i="104"/>
  <c r="F329" i="104"/>
  <c r="D330" i="104"/>
  <c r="D329" i="104"/>
  <c r="B330" i="104"/>
  <c r="B329" i="104"/>
  <c r="B35" i="104"/>
  <c r="K11" i="49" l="1"/>
  <c r="K15" i="49"/>
  <c r="K13" i="49"/>
  <c r="K14" i="49"/>
  <c r="K16" i="49"/>
  <c r="K10" i="49"/>
  <c r="K9" i="49"/>
  <c r="K8" i="49"/>
  <c r="M16" i="49"/>
  <c r="M13" i="49"/>
  <c r="M9" i="49"/>
  <c r="M8" i="49"/>
  <c r="M12" i="49"/>
  <c r="M15" i="49"/>
  <c r="M10" i="49"/>
  <c r="M11" i="49"/>
  <c r="J10" i="49"/>
  <c r="J9" i="49"/>
  <c r="J11" i="49"/>
  <c r="J16" i="49"/>
  <c r="J8" i="49"/>
  <c r="J15" i="49"/>
  <c r="J12" i="49"/>
  <c r="J14" i="49"/>
  <c r="J13" i="49"/>
  <c r="B30" i="104"/>
  <c r="X172" i="102" l="1"/>
  <c r="W172" i="102"/>
  <c r="V172" i="102"/>
  <c r="S172" i="102"/>
  <c r="R172" i="102"/>
  <c r="Q172" i="102"/>
  <c r="N172" i="102"/>
  <c r="M172" i="102"/>
  <c r="L172" i="102"/>
  <c r="I172" i="102"/>
  <c r="H172" i="102"/>
  <c r="G172" i="102"/>
  <c r="D172" i="102"/>
  <c r="C172" i="102"/>
  <c r="B172" i="102"/>
  <c r="Y171" i="102"/>
  <c r="T171" i="102"/>
  <c r="O171" i="102"/>
  <c r="J171" i="102"/>
  <c r="E171" i="102"/>
  <c r="Y170" i="102"/>
  <c r="T170" i="102"/>
  <c r="O170" i="102"/>
  <c r="J170" i="102"/>
  <c r="E170" i="102"/>
  <c r="X163" i="102"/>
  <c r="W163" i="102"/>
  <c r="V163" i="102"/>
  <c r="S163" i="102"/>
  <c r="R163" i="102"/>
  <c r="Q163" i="102"/>
  <c r="N163" i="102"/>
  <c r="M163" i="102"/>
  <c r="L163" i="102"/>
  <c r="I163" i="102"/>
  <c r="H163" i="102"/>
  <c r="G163" i="102"/>
  <c r="D163" i="102"/>
  <c r="C163" i="102"/>
  <c r="B163" i="102"/>
  <c r="Y162" i="102"/>
  <c r="T162" i="102"/>
  <c r="O162" i="102"/>
  <c r="J162" i="102"/>
  <c r="E162" i="102"/>
  <c r="Y161" i="102"/>
  <c r="T161" i="102"/>
  <c r="O161" i="102"/>
  <c r="J161" i="102"/>
  <c r="E161" i="102"/>
  <c r="E134" i="102"/>
  <c r="X136" i="102"/>
  <c r="W136" i="102"/>
  <c r="V136" i="102"/>
  <c r="S136" i="102"/>
  <c r="R136" i="102"/>
  <c r="Q136" i="102"/>
  <c r="N136" i="102"/>
  <c r="M136" i="102"/>
  <c r="L136" i="102"/>
  <c r="I136" i="102"/>
  <c r="H136" i="102"/>
  <c r="G136" i="102"/>
  <c r="D136" i="102"/>
  <c r="C136" i="102"/>
  <c r="B136" i="102"/>
  <c r="Y135" i="102"/>
  <c r="T135" i="102"/>
  <c r="O135" i="102"/>
  <c r="J135" i="102"/>
  <c r="E135" i="102"/>
  <c r="Y134" i="102"/>
  <c r="T134" i="102"/>
  <c r="O134" i="102"/>
  <c r="J134" i="102"/>
  <c r="B313" i="104"/>
  <c r="X55" i="102"/>
  <c r="W55" i="102"/>
  <c r="V55" i="102"/>
  <c r="S55" i="102"/>
  <c r="R55" i="102"/>
  <c r="Q55" i="102"/>
  <c r="N55" i="102"/>
  <c r="M55" i="102"/>
  <c r="L55" i="102"/>
  <c r="I55" i="102"/>
  <c r="H55" i="102"/>
  <c r="G55" i="102"/>
  <c r="D55" i="102"/>
  <c r="C55" i="102"/>
  <c r="B55" i="102"/>
  <c r="Y54" i="102"/>
  <c r="T54" i="102"/>
  <c r="O54" i="102"/>
  <c r="J54" i="102"/>
  <c r="E54" i="102"/>
  <c r="Y53" i="102"/>
  <c r="T53" i="102"/>
  <c r="O53" i="102"/>
  <c r="J53" i="102"/>
  <c r="E53" i="102"/>
  <c r="X19" i="102"/>
  <c r="W19" i="102"/>
  <c r="V19" i="102"/>
  <c r="S19" i="102"/>
  <c r="R19" i="102"/>
  <c r="Q19" i="102"/>
  <c r="N19" i="102"/>
  <c r="M19" i="102"/>
  <c r="L19" i="102"/>
  <c r="I19" i="102"/>
  <c r="H19" i="102"/>
  <c r="G19" i="102"/>
  <c r="D19" i="102"/>
  <c r="C19" i="102"/>
  <c r="B19" i="102"/>
  <c r="Y18" i="102"/>
  <c r="T18" i="102"/>
  <c r="O18" i="102"/>
  <c r="J18" i="102"/>
  <c r="E18" i="102"/>
  <c r="Y17" i="102"/>
  <c r="T17" i="102"/>
  <c r="O17" i="102"/>
  <c r="J17" i="102"/>
  <c r="E17" i="102"/>
  <c r="X10" i="102"/>
  <c r="W10" i="102"/>
  <c r="V10" i="102"/>
  <c r="Y9" i="102"/>
  <c r="Y8" i="102"/>
  <c r="S10" i="102"/>
  <c r="R10" i="102"/>
  <c r="Q10" i="102"/>
  <c r="T9" i="102"/>
  <c r="T8" i="102"/>
  <c r="N10" i="102"/>
  <c r="M10" i="102"/>
  <c r="L10" i="102"/>
  <c r="O9" i="102"/>
  <c r="O8" i="102"/>
  <c r="I10" i="102"/>
  <c r="H10" i="102"/>
  <c r="G10" i="102"/>
  <c r="J9" i="102"/>
  <c r="J8" i="102"/>
  <c r="C10" i="102"/>
  <c r="D10" i="102"/>
  <c r="B10" i="102"/>
  <c r="E9" i="102"/>
  <c r="E8" i="102"/>
  <c r="O144" i="102" l="1"/>
  <c r="Y144" i="102"/>
  <c r="X145" i="102"/>
  <c r="H37" i="102"/>
  <c r="G91" i="102"/>
  <c r="S28" i="102"/>
  <c r="E188" i="102"/>
  <c r="T26" i="102"/>
  <c r="V109" i="102"/>
  <c r="X46" i="102"/>
  <c r="Y45" i="102"/>
  <c r="J63" i="102"/>
  <c r="E89" i="102"/>
  <c r="H82" i="102"/>
  <c r="N91" i="102"/>
  <c r="S199" i="102"/>
  <c r="N199" i="102"/>
  <c r="D28" i="102"/>
  <c r="W28" i="102"/>
  <c r="C37" i="102"/>
  <c r="Q46" i="102"/>
  <c r="T198" i="102"/>
  <c r="T136" i="102"/>
  <c r="C28" i="102"/>
  <c r="X28" i="102"/>
  <c r="E71" i="102"/>
  <c r="T72" i="102"/>
  <c r="C91" i="102"/>
  <c r="Q28" i="102"/>
  <c r="B46" i="102"/>
  <c r="W100" i="102"/>
  <c r="H109" i="102"/>
  <c r="I199" i="102"/>
  <c r="D46" i="102"/>
  <c r="T55" i="102"/>
  <c r="V82" i="102"/>
  <c r="C100" i="102"/>
  <c r="I109" i="102"/>
  <c r="N190" i="102"/>
  <c r="Y99" i="102"/>
  <c r="M91" i="102"/>
  <c r="T10" i="102"/>
  <c r="Q100" i="102"/>
  <c r="T144" i="102"/>
  <c r="L181" i="102"/>
  <c r="M28" i="102"/>
  <c r="S37" i="102"/>
  <c r="H91" i="102"/>
  <c r="N154" i="102"/>
  <c r="Y189" i="102"/>
  <c r="M190" i="102"/>
  <c r="O26" i="102"/>
  <c r="E153" i="102"/>
  <c r="L100" i="102"/>
  <c r="B181" i="102"/>
  <c r="G154" i="102"/>
  <c r="R190" i="102"/>
  <c r="T153" i="102"/>
  <c r="J10" i="102"/>
  <c r="Y19" i="102"/>
  <c r="E26" i="102"/>
  <c r="I28" i="102"/>
  <c r="V28" i="102"/>
  <c r="M46" i="102"/>
  <c r="M64" i="102"/>
  <c r="E63" i="102"/>
  <c r="I73" i="102"/>
  <c r="W73" i="102"/>
  <c r="O72" i="102"/>
  <c r="E81" i="102"/>
  <c r="E98" i="102"/>
  <c r="Y98" i="102"/>
  <c r="E108" i="102"/>
  <c r="L118" i="102"/>
  <c r="X118" i="102"/>
  <c r="I127" i="102"/>
  <c r="W127" i="102"/>
  <c r="H181" i="102"/>
  <c r="H199" i="102"/>
  <c r="W199" i="102"/>
  <c r="C145" i="102"/>
  <c r="X190" i="102"/>
  <c r="B154" i="102"/>
  <c r="Y35" i="102"/>
  <c r="T62" i="102"/>
  <c r="E72" i="102"/>
  <c r="T80" i="102"/>
  <c r="B127" i="102"/>
  <c r="E198" i="102"/>
  <c r="E136" i="102"/>
  <c r="J143" i="102"/>
  <c r="N145" i="102"/>
  <c r="G28" i="102"/>
  <c r="R100" i="102"/>
  <c r="H145" i="102"/>
  <c r="X37" i="102"/>
  <c r="Y55" i="102"/>
  <c r="Y90" i="102"/>
  <c r="I145" i="102"/>
  <c r="Y143" i="102"/>
  <c r="E36" i="102"/>
  <c r="Y36" i="102"/>
  <c r="Y62" i="102"/>
  <c r="J72" i="102"/>
  <c r="E90" i="102"/>
  <c r="T99" i="102"/>
  <c r="Y117" i="102"/>
  <c r="D145" i="102"/>
  <c r="J144" i="102"/>
  <c r="X127" i="102"/>
  <c r="E10" i="102"/>
  <c r="C64" i="102"/>
  <c r="C109" i="102"/>
  <c r="E45" i="102"/>
  <c r="M199" i="102"/>
  <c r="Y10" i="102"/>
  <c r="J19" i="102"/>
  <c r="Y26" i="102"/>
  <c r="J62" i="102"/>
  <c r="Y63" i="102"/>
  <c r="G82" i="102"/>
  <c r="S82" i="102"/>
  <c r="Y89" i="102"/>
  <c r="D118" i="102"/>
  <c r="R118" i="102"/>
  <c r="C127" i="102"/>
  <c r="Q127" i="102"/>
  <c r="E179" i="102"/>
  <c r="T180" i="102"/>
  <c r="E197" i="102"/>
  <c r="J153" i="102"/>
  <c r="X154" i="102"/>
  <c r="E172" i="102"/>
  <c r="T172" i="102"/>
  <c r="O188" i="102"/>
  <c r="S190" i="102"/>
  <c r="N109" i="102"/>
  <c r="W181" i="102"/>
  <c r="N118" i="102"/>
  <c r="D82" i="102"/>
  <c r="L91" i="102"/>
  <c r="I100" i="102"/>
  <c r="M181" i="102"/>
  <c r="D190" i="102"/>
  <c r="M37" i="102"/>
  <c r="G46" i="102"/>
  <c r="N46" i="102"/>
  <c r="W91" i="102"/>
  <c r="M100" i="102"/>
  <c r="J126" i="102"/>
  <c r="T179" i="102"/>
  <c r="D154" i="102"/>
  <c r="R154" i="102"/>
  <c r="Y153" i="102"/>
  <c r="J163" i="102"/>
  <c r="I181" i="102"/>
  <c r="M73" i="102"/>
  <c r="M127" i="102"/>
  <c r="D109" i="102"/>
  <c r="E27" i="102"/>
  <c r="J36" i="102"/>
  <c r="W37" i="102"/>
  <c r="H46" i="102"/>
  <c r="O45" i="102"/>
  <c r="T45" i="102"/>
  <c r="I64" i="102"/>
  <c r="S73" i="102"/>
  <c r="G100" i="102"/>
  <c r="N100" i="102"/>
  <c r="O108" i="102"/>
  <c r="Y126" i="102"/>
  <c r="W145" i="102"/>
  <c r="O152" i="102"/>
  <c r="S154" i="102"/>
  <c r="Y163" i="102"/>
  <c r="J172" i="102"/>
  <c r="G190" i="102"/>
  <c r="B118" i="102"/>
  <c r="R82" i="102"/>
  <c r="R109" i="102"/>
  <c r="T35" i="102"/>
  <c r="V46" i="102"/>
  <c r="E55" i="102"/>
  <c r="X64" i="102"/>
  <c r="H73" i="102"/>
  <c r="L82" i="102"/>
  <c r="X82" i="102"/>
  <c r="D91" i="102"/>
  <c r="H100" i="102"/>
  <c r="O107" i="102"/>
  <c r="O117" i="102"/>
  <c r="G181" i="102"/>
  <c r="S181" i="102"/>
  <c r="T189" i="102"/>
  <c r="I190" i="102"/>
  <c r="E19" i="102"/>
  <c r="T27" i="102"/>
  <c r="E35" i="102"/>
  <c r="T90" i="102"/>
  <c r="D100" i="102"/>
  <c r="J99" i="102"/>
  <c r="O143" i="102"/>
  <c r="S145" i="102"/>
  <c r="N28" i="102"/>
  <c r="R28" i="102"/>
  <c r="E62" i="102"/>
  <c r="O198" i="102"/>
  <c r="O136" i="102"/>
  <c r="C190" i="102"/>
  <c r="J189" i="102"/>
  <c r="T188" i="102"/>
  <c r="O27" i="102"/>
  <c r="S46" i="102"/>
  <c r="B82" i="102"/>
  <c r="N82" i="102"/>
  <c r="R91" i="102"/>
  <c r="E99" i="102"/>
  <c r="N181" i="102"/>
  <c r="B145" i="102"/>
  <c r="E143" i="102"/>
  <c r="E189" i="102"/>
  <c r="O44" i="102"/>
  <c r="L46" i="102"/>
  <c r="G37" i="102"/>
  <c r="N37" i="102"/>
  <c r="D64" i="102"/>
  <c r="R64" i="102"/>
  <c r="N73" i="102"/>
  <c r="O89" i="102"/>
  <c r="Y107" i="102"/>
  <c r="G118" i="102"/>
  <c r="S118" i="102"/>
  <c r="J117" i="102"/>
  <c r="D127" i="102"/>
  <c r="R127" i="102"/>
  <c r="C181" i="102"/>
  <c r="C199" i="102"/>
  <c r="Q199" i="102"/>
  <c r="E152" i="102"/>
  <c r="I154" i="102"/>
  <c r="Y152" i="102"/>
  <c r="E163" i="102"/>
  <c r="O10" i="102"/>
  <c r="O80" i="102"/>
  <c r="O19" i="102"/>
  <c r="J27" i="102"/>
  <c r="Y27" i="102"/>
  <c r="O55" i="102"/>
  <c r="S64" i="102"/>
  <c r="C73" i="102"/>
  <c r="Q73" i="102"/>
  <c r="S91" i="102"/>
  <c r="X109" i="102"/>
  <c r="H118" i="102"/>
  <c r="V118" i="102"/>
  <c r="G127" i="102"/>
  <c r="S127" i="102"/>
  <c r="Y188" i="102"/>
  <c r="T19" i="102"/>
  <c r="L28" i="102"/>
  <c r="O36" i="102"/>
  <c r="N64" i="102"/>
  <c r="T63" i="102"/>
  <c r="O71" i="102"/>
  <c r="X73" i="102"/>
  <c r="I82" i="102"/>
  <c r="Y80" i="102"/>
  <c r="O81" i="102"/>
  <c r="S100" i="102"/>
  <c r="G109" i="102"/>
  <c r="S109" i="102"/>
  <c r="J108" i="102"/>
  <c r="Y108" i="102"/>
  <c r="E116" i="102"/>
  <c r="T116" i="102"/>
  <c r="T117" i="102"/>
  <c r="E125" i="102"/>
  <c r="N127" i="102"/>
  <c r="T126" i="102"/>
  <c r="O179" i="102"/>
  <c r="X181" i="102"/>
  <c r="O197" i="102"/>
  <c r="X199" i="102"/>
  <c r="M145" i="102"/>
  <c r="T163" i="102"/>
  <c r="W190" i="102"/>
  <c r="I37" i="102"/>
  <c r="R37" i="102"/>
  <c r="W46" i="102"/>
  <c r="H64" i="102"/>
  <c r="D73" i="102"/>
  <c r="R73" i="102"/>
  <c r="E80" i="102"/>
  <c r="T81" i="102"/>
  <c r="I91" i="102"/>
  <c r="M109" i="102"/>
  <c r="I118" i="102"/>
  <c r="Y116" i="102"/>
  <c r="H127" i="102"/>
  <c r="Y125" i="102"/>
  <c r="D181" i="102"/>
  <c r="R181" i="102"/>
  <c r="J180" i="102"/>
  <c r="D199" i="102"/>
  <c r="R199" i="102"/>
  <c r="J198" i="102"/>
  <c r="J136" i="102"/>
  <c r="Y172" i="102"/>
  <c r="O35" i="102"/>
  <c r="E44" i="102"/>
  <c r="W64" i="102"/>
  <c r="O63" i="102"/>
  <c r="J71" i="102"/>
  <c r="Y72" i="102"/>
  <c r="J90" i="102"/>
  <c r="E107" i="102"/>
  <c r="L127" i="102"/>
  <c r="Y180" i="102"/>
  <c r="J197" i="102"/>
  <c r="Y198" i="102"/>
  <c r="Y136" i="102"/>
  <c r="T143" i="102"/>
  <c r="O163" i="102"/>
  <c r="H28" i="102"/>
  <c r="T36" i="102"/>
  <c r="I46" i="102"/>
  <c r="R46" i="102"/>
  <c r="J55" i="102"/>
  <c r="O62" i="102"/>
  <c r="Y71" i="102"/>
  <c r="J81" i="102"/>
  <c r="Y81" i="102"/>
  <c r="Q91" i="102"/>
  <c r="X91" i="102"/>
  <c r="X100" i="102"/>
  <c r="T107" i="102"/>
  <c r="T108" i="102"/>
  <c r="O116" i="102"/>
  <c r="E117" i="102"/>
  <c r="O125" i="102"/>
  <c r="Y179" i="102"/>
  <c r="Y197" i="102"/>
  <c r="R145" i="102"/>
  <c r="H154" i="102"/>
  <c r="O153" i="102"/>
  <c r="O172" i="102"/>
  <c r="H190" i="102"/>
  <c r="O189" i="102"/>
  <c r="Q190" i="102"/>
  <c r="J188" i="102"/>
  <c r="B190" i="102"/>
  <c r="V190" i="102"/>
  <c r="L190" i="102"/>
  <c r="V154" i="102"/>
  <c r="T152" i="102"/>
  <c r="L154" i="102"/>
  <c r="Q154" i="102"/>
  <c r="J152" i="102"/>
  <c r="C154" i="102"/>
  <c r="M154" i="102"/>
  <c r="W154" i="102"/>
  <c r="G145" i="102"/>
  <c r="E144" i="102"/>
  <c r="V145" i="102"/>
  <c r="Q145" i="102"/>
  <c r="L145" i="102"/>
  <c r="G199" i="102"/>
  <c r="T197" i="102"/>
  <c r="B199" i="102"/>
  <c r="L199" i="102"/>
  <c r="V199" i="102"/>
  <c r="J179" i="102"/>
  <c r="O180" i="102"/>
  <c r="V181" i="102"/>
  <c r="Q181" i="102"/>
  <c r="E180" i="102"/>
  <c r="J125" i="102"/>
  <c r="T125" i="102"/>
  <c r="E126" i="102"/>
  <c r="O126" i="102"/>
  <c r="V127" i="102"/>
  <c r="Q118" i="102"/>
  <c r="J116" i="102"/>
  <c r="C118" i="102"/>
  <c r="M118" i="102"/>
  <c r="W118" i="102"/>
  <c r="Q109" i="102"/>
  <c r="J107" i="102"/>
  <c r="B109" i="102"/>
  <c r="L109" i="102"/>
  <c r="W109" i="102"/>
  <c r="O98" i="102"/>
  <c r="J98" i="102"/>
  <c r="T98" i="102"/>
  <c r="O99" i="102"/>
  <c r="V100" i="102"/>
  <c r="B100" i="102"/>
  <c r="J89" i="102"/>
  <c r="T89" i="102"/>
  <c r="O90" i="102"/>
  <c r="V91" i="102"/>
  <c r="B91" i="102"/>
  <c r="Q82" i="102"/>
  <c r="J80" i="102"/>
  <c r="M82" i="102"/>
  <c r="C82" i="102"/>
  <c r="W82" i="102"/>
  <c r="G73" i="102"/>
  <c r="T71" i="102"/>
  <c r="B73" i="102"/>
  <c r="L73" i="102"/>
  <c r="V73" i="102"/>
  <c r="G64" i="102"/>
  <c r="B64" i="102"/>
  <c r="L64" i="102"/>
  <c r="Q64" i="102"/>
  <c r="V64" i="102"/>
  <c r="Y44" i="102"/>
  <c r="J45" i="102"/>
  <c r="C46" i="102"/>
  <c r="J44" i="102"/>
  <c r="T44" i="102"/>
  <c r="D37" i="102"/>
  <c r="J35" i="102"/>
  <c r="B37" i="102"/>
  <c r="V37" i="102"/>
  <c r="L37" i="102"/>
  <c r="Q37" i="102"/>
  <c r="J26" i="102"/>
  <c r="B28" i="102"/>
  <c r="N393" i="103"/>
  <c r="M393" i="103"/>
  <c r="L393" i="103"/>
  <c r="I393" i="103"/>
  <c r="H393" i="103"/>
  <c r="G393" i="103"/>
  <c r="D393" i="103"/>
  <c r="C393" i="103"/>
  <c r="B393" i="103"/>
  <c r="O391" i="103"/>
  <c r="J391" i="103"/>
  <c r="E391" i="103"/>
  <c r="O390" i="103"/>
  <c r="J390" i="103"/>
  <c r="E390" i="103"/>
  <c r="O389" i="103"/>
  <c r="J389" i="103"/>
  <c r="E389" i="103"/>
  <c r="O388" i="103"/>
  <c r="J388" i="103"/>
  <c r="E388" i="103"/>
  <c r="O387" i="103"/>
  <c r="J387" i="103"/>
  <c r="E387" i="103"/>
  <c r="O386" i="103"/>
  <c r="J386" i="103"/>
  <c r="E386" i="103"/>
  <c r="O385" i="103"/>
  <c r="J385" i="103"/>
  <c r="E385" i="103"/>
  <c r="O384" i="103"/>
  <c r="J384" i="103"/>
  <c r="E384" i="103"/>
  <c r="O383" i="103"/>
  <c r="J383" i="103"/>
  <c r="E383" i="103"/>
  <c r="O381" i="103"/>
  <c r="J381" i="103"/>
  <c r="E381" i="103"/>
  <c r="L380" i="103"/>
  <c r="G380" i="103"/>
  <c r="B380" i="103"/>
  <c r="N376" i="103"/>
  <c r="M376" i="103"/>
  <c r="L376" i="103"/>
  <c r="I376" i="103"/>
  <c r="H376" i="103"/>
  <c r="G376" i="103"/>
  <c r="D376" i="103"/>
  <c r="C376" i="103"/>
  <c r="B376" i="103"/>
  <c r="O374" i="103"/>
  <c r="J374" i="103"/>
  <c r="E374" i="103"/>
  <c r="O373" i="103"/>
  <c r="J373" i="103"/>
  <c r="E373" i="103"/>
  <c r="O372" i="103"/>
  <c r="J372" i="103"/>
  <c r="E372" i="103"/>
  <c r="O371" i="103"/>
  <c r="J371" i="103"/>
  <c r="E371" i="103"/>
  <c r="O370" i="103"/>
  <c r="J370" i="103"/>
  <c r="E370" i="103"/>
  <c r="O369" i="103"/>
  <c r="J369" i="103"/>
  <c r="E369" i="103"/>
  <c r="O368" i="103"/>
  <c r="J368" i="103"/>
  <c r="E368" i="103"/>
  <c r="O367" i="103"/>
  <c r="J367" i="103"/>
  <c r="E367" i="103"/>
  <c r="O366" i="103"/>
  <c r="J366" i="103"/>
  <c r="E366" i="103"/>
  <c r="O364" i="103"/>
  <c r="J364" i="103"/>
  <c r="E364" i="103"/>
  <c r="L363" i="103"/>
  <c r="G363" i="103"/>
  <c r="B363" i="103"/>
  <c r="N359" i="103"/>
  <c r="M359" i="103"/>
  <c r="L359" i="103"/>
  <c r="I359" i="103"/>
  <c r="H359" i="103"/>
  <c r="G359" i="103"/>
  <c r="D359" i="103"/>
  <c r="C359" i="103"/>
  <c r="B359" i="103"/>
  <c r="O357" i="103"/>
  <c r="J357" i="103"/>
  <c r="E357" i="103"/>
  <c r="O356" i="103"/>
  <c r="J356" i="103"/>
  <c r="E356" i="103"/>
  <c r="O355" i="103"/>
  <c r="J355" i="103"/>
  <c r="E355" i="103"/>
  <c r="O354" i="103"/>
  <c r="J354" i="103"/>
  <c r="E354" i="103"/>
  <c r="O353" i="103"/>
  <c r="J353" i="103"/>
  <c r="E353" i="103"/>
  <c r="O352" i="103"/>
  <c r="J352" i="103"/>
  <c r="E352" i="103"/>
  <c r="O351" i="103"/>
  <c r="J351" i="103"/>
  <c r="E351" i="103"/>
  <c r="O350" i="103"/>
  <c r="J350" i="103"/>
  <c r="E350" i="103"/>
  <c r="O349" i="103"/>
  <c r="J349" i="103"/>
  <c r="E349" i="103"/>
  <c r="O347" i="103"/>
  <c r="J347" i="103"/>
  <c r="E347" i="103"/>
  <c r="L346" i="103"/>
  <c r="G346" i="103"/>
  <c r="B346" i="103"/>
  <c r="N342" i="103"/>
  <c r="M342" i="103"/>
  <c r="L342" i="103"/>
  <c r="I342" i="103"/>
  <c r="H342" i="103"/>
  <c r="G342" i="103"/>
  <c r="D342" i="103"/>
  <c r="C342" i="103"/>
  <c r="B342" i="103"/>
  <c r="O340" i="103"/>
  <c r="J340" i="103"/>
  <c r="E340" i="103"/>
  <c r="O339" i="103"/>
  <c r="J339" i="103"/>
  <c r="E339" i="103"/>
  <c r="O338" i="103"/>
  <c r="J338" i="103"/>
  <c r="E338" i="103"/>
  <c r="O337" i="103"/>
  <c r="J337" i="103"/>
  <c r="E337" i="103"/>
  <c r="O336" i="103"/>
  <c r="J336" i="103"/>
  <c r="E336" i="103"/>
  <c r="O335" i="103"/>
  <c r="J335" i="103"/>
  <c r="E335" i="103"/>
  <c r="O334" i="103"/>
  <c r="J334" i="103"/>
  <c r="E334" i="103"/>
  <c r="O333" i="103"/>
  <c r="J333" i="103"/>
  <c r="E333" i="103"/>
  <c r="O332" i="103"/>
  <c r="J332" i="103"/>
  <c r="E332" i="103"/>
  <c r="O330" i="103"/>
  <c r="J330" i="103"/>
  <c r="E330" i="103"/>
  <c r="L329" i="103"/>
  <c r="G329" i="103"/>
  <c r="B329" i="103"/>
  <c r="N325" i="103"/>
  <c r="M325" i="103"/>
  <c r="L325" i="103"/>
  <c r="I325" i="103"/>
  <c r="H325" i="103"/>
  <c r="G325" i="103"/>
  <c r="D325" i="103"/>
  <c r="C325" i="103"/>
  <c r="B325" i="103"/>
  <c r="O323" i="103"/>
  <c r="J323" i="103"/>
  <c r="E323" i="103"/>
  <c r="O322" i="103"/>
  <c r="J322" i="103"/>
  <c r="E322" i="103"/>
  <c r="O321" i="103"/>
  <c r="J321" i="103"/>
  <c r="E321" i="103"/>
  <c r="O320" i="103"/>
  <c r="J320" i="103"/>
  <c r="E320" i="103"/>
  <c r="O319" i="103"/>
  <c r="J319" i="103"/>
  <c r="E319" i="103"/>
  <c r="O318" i="103"/>
  <c r="J318" i="103"/>
  <c r="E318" i="103"/>
  <c r="O317" i="103"/>
  <c r="J317" i="103"/>
  <c r="E317" i="103"/>
  <c r="O316" i="103"/>
  <c r="J316" i="103"/>
  <c r="E316" i="103"/>
  <c r="O315" i="103"/>
  <c r="J315" i="103"/>
  <c r="E315" i="103"/>
  <c r="O313" i="103"/>
  <c r="J313" i="103"/>
  <c r="E313" i="103"/>
  <c r="L312" i="103"/>
  <c r="G312" i="103"/>
  <c r="B312" i="103"/>
  <c r="N308" i="103"/>
  <c r="M308" i="103"/>
  <c r="L308" i="103"/>
  <c r="I308" i="103"/>
  <c r="H308" i="103"/>
  <c r="G308" i="103"/>
  <c r="D308" i="103"/>
  <c r="C308" i="103"/>
  <c r="B308" i="103"/>
  <c r="O306" i="103"/>
  <c r="J306" i="103"/>
  <c r="E306" i="103"/>
  <c r="O305" i="103"/>
  <c r="J305" i="103"/>
  <c r="E305" i="103"/>
  <c r="O304" i="103"/>
  <c r="J304" i="103"/>
  <c r="E304" i="103"/>
  <c r="O303" i="103"/>
  <c r="J303" i="103"/>
  <c r="E303" i="103"/>
  <c r="O302" i="103"/>
  <c r="J302" i="103"/>
  <c r="E302" i="103"/>
  <c r="O301" i="103"/>
  <c r="J301" i="103"/>
  <c r="E301" i="103"/>
  <c r="O300" i="103"/>
  <c r="J300" i="103"/>
  <c r="E300" i="103"/>
  <c r="O299" i="103"/>
  <c r="J299" i="103"/>
  <c r="E299" i="103"/>
  <c r="O298" i="103"/>
  <c r="J298" i="103"/>
  <c r="E298" i="103"/>
  <c r="O296" i="103"/>
  <c r="J296" i="103"/>
  <c r="E296" i="103"/>
  <c r="L295" i="103"/>
  <c r="G295" i="103"/>
  <c r="B295" i="103"/>
  <c r="N291" i="103"/>
  <c r="M291" i="103"/>
  <c r="L291" i="103"/>
  <c r="I291" i="103"/>
  <c r="H291" i="103"/>
  <c r="G291" i="103"/>
  <c r="D291" i="103"/>
  <c r="C291" i="103"/>
  <c r="B291" i="103"/>
  <c r="O289" i="103"/>
  <c r="J289" i="103"/>
  <c r="E289" i="103"/>
  <c r="O288" i="103"/>
  <c r="J288" i="103"/>
  <c r="E288" i="103"/>
  <c r="O287" i="103"/>
  <c r="J287" i="103"/>
  <c r="E287" i="103"/>
  <c r="O286" i="103"/>
  <c r="J286" i="103"/>
  <c r="E286" i="103"/>
  <c r="O285" i="103"/>
  <c r="J285" i="103"/>
  <c r="E285" i="103"/>
  <c r="O284" i="103"/>
  <c r="J284" i="103"/>
  <c r="E284" i="103"/>
  <c r="O283" i="103"/>
  <c r="J283" i="103"/>
  <c r="E283" i="103"/>
  <c r="O282" i="103"/>
  <c r="J282" i="103"/>
  <c r="E282" i="103"/>
  <c r="O281" i="103"/>
  <c r="J281" i="103"/>
  <c r="E281" i="103"/>
  <c r="O279" i="103"/>
  <c r="J279" i="103"/>
  <c r="E279" i="103"/>
  <c r="L278" i="103"/>
  <c r="G278" i="103"/>
  <c r="B278" i="103"/>
  <c r="N274" i="103"/>
  <c r="M274" i="103"/>
  <c r="L274" i="103"/>
  <c r="I274" i="103"/>
  <c r="H274" i="103"/>
  <c r="G274" i="103"/>
  <c r="D274" i="103"/>
  <c r="C274" i="103"/>
  <c r="B274" i="103"/>
  <c r="O272" i="103"/>
  <c r="J272" i="103"/>
  <c r="E272" i="103"/>
  <c r="O271" i="103"/>
  <c r="J271" i="103"/>
  <c r="E271" i="103"/>
  <c r="O270" i="103"/>
  <c r="J270" i="103"/>
  <c r="E270" i="103"/>
  <c r="O269" i="103"/>
  <c r="J269" i="103"/>
  <c r="E269" i="103"/>
  <c r="O268" i="103"/>
  <c r="J268" i="103"/>
  <c r="E268" i="103"/>
  <c r="O267" i="103"/>
  <c r="J267" i="103"/>
  <c r="E267" i="103"/>
  <c r="O266" i="103"/>
  <c r="J266" i="103"/>
  <c r="E266" i="103"/>
  <c r="O265" i="103"/>
  <c r="J265" i="103"/>
  <c r="E265" i="103"/>
  <c r="O264" i="103"/>
  <c r="J264" i="103"/>
  <c r="E264" i="103"/>
  <c r="O262" i="103"/>
  <c r="J262" i="103"/>
  <c r="E262" i="103"/>
  <c r="L261" i="103"/>
  <c r="G261" i="103"/>
  <c r="B261" i="103"/>
  <c r="N257" i="103"/>
  <c r="M257" i="103"/>
  <c r="L257" i="103"/>
  <c r="I257" i="103"/>
  <c r="H257" i="103"/>
  <c r="G257" i="103"/>
  <c r="D257" i="103"/>
  <c r="C257" i="103"/>
  <c r="B257" i="103"/>
  <c r="O255" i="103"/>
  <c r="J255" i="103"/>
  <c r="E255" i="103"/>
  <c r="O254" i="103"/>
  <c r="J254" i="103"/>
  <c r="E254" i="103"/>
  <c r="O253" i="103"/>
  <c r="J253" i="103"/>
  <c r="E253" i="103"/>
  <c r="O252" i="103"/>
  <c r="J252" i="103"/>
  <c r="E252" i="103"/>
  <c r="O251" i="103"/>
  <c r="J251" i="103"/>
  <c r="E251" i="103"/>
  <c r="O250" i="103"/>
  <c r="J250" i="103"/>
  <c r="E250" i="103"/>
  <c r="O249" i="103"/>
  <c r="J249" i="103"/>
  <c r="E249" i="103"/>
  <c r="O248" i="103"/>
  <c r="J248" i="103"/>
  <c r="E248" i="103"/>
  <c r="O247" i="103"/>
  <c r="J247" i="103"/>
  <c r="E247" i="103"/>
  <c r="O245" i="103"/>
  <c r="J245" i="103"/>
  <c r="E245" i="103"/>
  <c r="L244" i="103"/>
  <c r="G244" i="103"/>
  <c r="B244" i="103"/>
  <c r="N240" i="103"/>
  <c r="M240" i="103"/>
  <c r="L240" i="103"/>
  <c r="I240" i="103"/>
  <c r="H240" i="103"/>
  <c r="G240" i="103"/>
  <c r="D240" i="103"/>
  <c r="C240" i="103"/>
  <c r="B240" i="103"/>
  <c r="O238" i="103"/>
  <c r="J238" i="103"/>
  <c r="E238" i="103"/>
  <c r="O237" i="103"/>
  <c r="J237" i="103"/>
  <c r="E237" i="103"/>
  <c r="O236" i="103"/>
  <c r="J236" i="103"/>
  <c r="E236" i="103"/>
  <c r="O235" i="103"/>
  <c r="J235" i="103"/>
  <c r="E235" i="103"/>
  <c r="O234" i="103"/>
  <c r="J234" i="103"/>
  <c r="E234" i="103"/>
  <c r="O233" i="103"/>
  <c r="J233" i="103"/>
  <c r="E233" i="103"/>
  <c r="O232" i="103"/>
  <c r="J232" i="103"/>
  <c r="E232" i="103"/>
  <c r="O231" i="103"/>
  <c r="J231" i="103"/>
  <c r="E231" i="103"/>
  <c r="O230" i="103"/>
  <c r="J230" i="103"/>
  <c r="E230" i="103"/>
  <c r="O228" i="103"/>
  <c r="J228" i="103"/>
  <c r="E228" i="103"/>
  <c r="L227" i="103"/>
  <c r="G227" i="103"/>
  <c r="B227" i="103"/>
  <c r="N223" i="103"/>
  <c r="M223" i="103"/>
  <c r="L223" i="103"/>
  <c r="I223" i="103"/>
  <c r="H223" i="103"/>
  <c r="G223" i="103"/>
  <c r="D223" i="103"/>
  <c r="C223" i="103"/>
  <c r="B223" i="103"/>
  <c r="O221" i="103"/>
  <c r="J221" i="103"/>
  <c r="E221" i="103"/>
  <c r="O220" i="103"/>
  <c r="J220" i="103"/>
  <c r="E220" i="103"/>
  <c r="O219" i="103"/>
  <c r="J219" i="103"/>
  <c r="E219" i="103"/>
  <c r="O218" i="103"/>
  <c r="J218" i="103"/>
  <c r="E218" i="103"/>
  <c r="O217" i="103"/>
  <c r="J217" i="103"/>
  <c r="E217" i="103"/>
  <c r="O216" i="103"/>
  <c r="J216" i="103"/>
  <c r="E216" i="103"/>
  <c r="O215" i="103"/>
  <c r="J215" i="103"/>
  <c r="E215" i="103"/>
  <c r="O214" i="103"/>
  <c r="J214" i="103"/>
  <c r="E214" i="103"/>
  <c r="O213" i="103"/>
  <c r="J213" i="103"/>
  <c r="E213" i="103"/>
  <c r="O211" i="103"/>
  <c r="J211" i="103"/>
  <c r="E211" i="103"/>
  <c r="L210" i="103"/>
  <c r="G210" i="103"/>
  <c r="B210" i="103"/>
  <c r="N206" i="103"/>
  <c r="M206" i="103"/>
  <c r="L206" i="103"/>
  <c r="I206" i="103"/>
  <c r="H206" i="103"/>
  <c r="G206" i="103"/>
  <c r="D206" i="103"/>
  <c r="C206" i="103"/>
  <c r="B206" i="103"/>
  <c r="O204" i="103"/>
  <c r="J204" i="103"/>
  <c r="E204" i="103"/>
  <c r="O203" i="103"/>
  <c r="J203" i="103"/>
  <c r="E203" i="103"/>
  <c r="O202" i="103"/>
  <c r="J202" i="103"/>
  <c r="E202" i="103"/>
  <c r="O201" i="103"/>
  <c r="J201" i="103"/>
  <c r="E201" i="103"/>
  <c r="O200" i="103"/>
  <c r="J200" i="103"/>
  <c r="E200" i="103"/>
  <c r="O199" i="103"/>
  <c r="J199" i="103"/>
  <c r="E199" i="103"/>
  <c r="O198" i="103"/>
  <c r="J198" i="103"/>
  <c r="E198" i="103"/>
  <c r="O197" i="103"/>
  <c r="J197" i="103"/>
  <c r="E197" i="103"/>
  <c r="O196" i="103"/>
  <c r="J196" i="103"/>
  <c r="E196" i="103"/>
  <c r="O194" i="103"/>
  <c r="J194" i="103"/>
  <c r="E194" i="103"/>
  <c r="L193" i="103"/>
  <c r="G193" i="103"/>
  <c r="B193" i="103"/>
  <c r="N189" i="103"/>
  <c r="M189" i="103"/>
  <c r="L189" i="103"/>
  <c r="I189" i="103"/>
  <c r="H189" i="103"/>
  <c r="G189" i="103"/>
  <c r="D189" i="103"/>
  <c r="C189" i="103"/>
  <c r="B189" i="103"/>
  <c r="O187" i="103"/>
  <c r="J187" i="103"/>
  <c r="E187" i="103"/>
  <c r="O186" i="103"/>
  <c r="J186" i="103"/>
  <c r="E186" i="103"/>
  <c r="O185" i="103"/>
  <c r="J185" i="103"/>
  <c r="E185" i="103"/>
  <c r="O184" i="103"/>
  <c r="J184" i="103"/>
  <c r="E184" i="103"/>
  <c r="O183" i="103"/>
  <c r="J183" i="103"/>
  <c r="E183" i="103"/>
  <c r="O182" i="103"/>
  <c r="J182" i="103"/>
  <c r="E182" i="103"/>
  <c r="O181" i="103"/>
  <c r="J181" i="103"/>
  <c r="E181" i="103"/>
  <c r="O180" i="103"/>
  <c r="J180" i="103"/>
  <c r="E180" i="103"/>
  <c r="O179" i="103"/>
  <c r="J179" i="103"/>
  <c r="E179" i="103"/>
  <c r="O177" i="103"/>
  <c r="J177" i="103"/>
  <c r="E177" i="103"/>
  <c r="L176" i="103"/>
  <c r="G176" i="103"/>
  <c r="B176" i="103"/>
  <c r="N172" i="103"/>
  <c r="M172" i="103"/>
  <c r="L172" i="103"/>
  <c r="I172" i="103"/>
  <c r="H172" i="103"/>
  <c r="G172" i="103"/>
  <c r="D172" i="103"/>
  <c r="C172" i="103"/>
  <c r="B172" i="103"/>
  <c r="O170" i="103"/>
  <c r="J170" i="103"/>
  <c r="E170" i="103"/>
  <c r="O169" i="103"/>
  <c r="J169" i="103"/>
  <c r="E169" i="103"/>
  <c r="O168" i="103"/>
  <c r="J168" i="103"/>
  <c r="E168" i="103"/>
  <c r="O167" i="103"/>
  <c r="J167" i="103"/>
  <c r="E167" i="103"/>
  <c r="O166" i="103"/>
  <c r="J166" i="103"/>
  <c r="E166" i="103"/>
  <c r="O165" i="103"/>
  <c r="J165" i="103"/>
  <c r="E165" i="103"/>
  <c r="O164" i="103"/>
  <c r="J164" i="103"/>
  <c r="E164" i="103"/>
  <c r="O163" i="103"/>
  <c r="J163" i="103"/>
  <c r="E163" i="103"/>
  <c r="O162" i="103"/>
  <c r="J162" i="103"/>
  <c r="E162" i="103"/>
  <c r="O160" i="103"/>
  <c r="J160" i="103"/>
  <c r="E160" i="103"/>
  <c r="L159" i="103"/>
  <c r="G159" i="103"/>
  <c r="B159" i="103"/>
  <c r="N155" i="103"/>
  <c r="M155" i="103"/>
  <c r="L155" i="103"/>
  <c r="I155" i="103"/>
  <c r="H155" i="103"/>
  <c r="G155" i="103"/>
  <c r="D155" i="103"/>
  <c r="C155" i="103"/>
  <c r="B155" i="103"/>
  <c r="O153" i="103"/>
  <c r="J153" i="103"/>
  <c r="E153" i="103"/>
  <c r="O152" i="103"/>
  <c r="J152" i="103"/>
  <c r="E152" i="103"/>
  <c r="O151" i="103"/>
  <c r="J151" i="103"/>
  <c r="E151" i="103"/>
  <c r="O150" i="103"/>
  <c r="J150" i="103"/>
  <c r="E150" i="103"/>
  <c r="O149" i="103"/>
  <c r="J149" i="103"/>
  <c r="E149" i="103"/>
  <c r="O148" i="103"/>
  <c r="J148" i="103"/>
  <c r="E148" i="103"/>
  <c r="O147" i="103"/>
  <c r="J147" i="103"/>
  <c r="E147" i="103"/>
  <c r="O146" i="103"/>
  <c r="J146" i="103"/>
  <c r="E146" i="103"/>
  <c r="O145" i="103"/>
  <c r="J145" i="103"/>
  <c r="E145" i="103"/>
  <c r="O143" i="103"/>
  <c r="J143" i="103"/>
  <c r="E143" i="103"/>
  <c r="L142" i="103"/>
  <c r="G142" i="103"/>
  <c r="B142" i="103"/>
  <c r="N138" i="103"/>
  <c r="M138" i="103"/>
  <c r="L138" i="103"/>
  <c r="I138" i="103"/>
  <c r="H138" i="103"/>
  <c r="G138" i="103"/>
  <c r="D138" i="103"/>
  <c r="C138" i="103"/>
  <c r="B138" i="103"/>
  <c r="O136" i="103"/>
  <c r="J136" i="103"/>
  <c r="E136" i="103"/>
  <c r="O135" i="103"/>
  <c r="J135" i="103"/>
  <c r="E135" i="103"/>
  <c r="O134" i="103"/>
  <c r="J134" i="103"/>
  <c r="E134" i="103"/>
  <c r="O133" i="103"/>
  <c r="J133" i="103"/>
  <c r="E133" i="103"/>
  <c r="O132" i="103"/>
  <c r="J132" i="103"/>
  <c r="E132" i="103"/>
  <c r="O131" i="103"/>
  <c r="J131" i="103"/>
  <c r="E131" i="103"/>
  <c r="O130" i="103"/>
  <c r="J130" i="103"/>
  <c r="E130" i="103"/>
  <c r="O129" i="103"/>
  <c r="J129" i="103"/>
  <c r="E129" i="103"/>
  <c r="O128" i="103"/>
  <c r="J128" i="103"/>
  <c r="E128" i="103"/>
  <c r="O126" i="103"/>
  <c r="J126" i="103"/>
  <c r="E126" i="103"/>
  <c r="L125" i="103"/>
  <c r="G125" i="103"/>
  <c r="B125" i="103"/>
  <c r="N121" i="103"/>
  <c r="M121" i="103"/>
  <c r="L121" i="103"/>
  <c r="I121" i="103"/>
  <c r="H121" i="103"/>
  <c r="G121" i="103"/>
  <c r="D121" i="103"/>
  <c r="C121" i="103"/>
  <c r="B121" i="103"/>
  <c r="O119" i="103"/>
  <c r="J119" i="103"/>
  <c r="E119" i="103"/>
  <c r="O118" i="103"/>
  <c r="J118" i="103"/>
  <c r="E118" i="103"/>
  <c r="O117" i="103"/>
  <c r="J117" i="103"/>
  <c r="E117" i="103"/>
  <c r="O116" i="103"/>
  <c r="J116" i="103"/>
  <c r="E116" i="103"/>
  <c r="O115" i="103"/>
  <c r="J115" i="103"/>
  <c r="E115" i="103"/>
  <c r="O114" i="103"/>
  <c r="J114" i="103"/>
  <c r="E114" i="103"/>
  <c r="O113" i="103"/>
  <c r="J113" i="103"/>
  <c r="E113" i="103"/>
  <c r="O112" i="103"/>
  <c r="J112" i="103"/>
  <c r="E112" i="103"/>
  <c r="O111" i="103"/>
  <c r="J111" i="103"/>
  <c r="E111" i="103"/>
  <c r="O109" i="103"/>
  <c r="J109" i="103"/>
  <c r="E109" i="103"/>
  <c r="L108" i="103"/>
  <c r="G108" i="103"/>
  <c r="B108" i="103"/>
  <c r="N104" i="103"/>
  <c r="M104" i="103"/>
  <c r="L104" i="103"/>
  <c r="I104" i="103"/>
  <c r="H104" i="103"/>
  <c r="G104" i="103"/>
  <c r="D104" i="103"/>
  <c r="C104" i="103"/>
  <c r="B104" i="103"/>
  <c r="O102" i="103"/>
  <c r="J102" i="103"/>
  <c r="E102" i="103"/>
  <c r="O101" i="103"/>
  <c r="J101" i="103"/>
  <c r="E101" i="103"/>
  <c r="O100" i="103"/>
  <c r="J100" i="103"/>
  <c r="E100" i="103"/>
  <c r="O99" i="103"/>
  <c r="J99" i="103"/>
  <c r="E99" i="103"/>
  <c r="O98" i="103"/>
  <c r="J98" i="103"/>
  <c r="E98" i="103"/>
  <c r="O97" i="103"/>
  <c r="J97" i="103"/>
  <c r="E97" i="103"/>
  <c r="O96" i="103"/>
  <c r="J96" i="103"/>
  <c r="E96" i="103"/>
  <c r="O95" i="103"/>
  <c r="J95" i="103"/>
  <c r="E95" i="103"/>
  <c r="O94" i="103"/>
  <c r="J94" i="103"/>
  <c r="E94" i="103"/>
  <c r="O92" i="103"/>
  <c r="J92" i="103"/>
  <c r="E92" i="103"/>
  <c r="L91" i="103"/>
  <c r="G91" i="103"/>
  <c r="B91" i="103"/>
  <c r="N87" i="103"/>
  <c r="M87" i="103"/>
  <c r="L87" i="103"/>
  <c r="I87" i="103"/>
  <c r="H87" i="103"/>
  <c r="G87" i="103"/>
  <c r="D87" i="103"/>
  <c r="C87" i="103"/>
  <c r="B87" i="103"/>
  <c r="O85" i="103"/>
  <c r="J85" i="103"/>
  <c r="E85" i="103"/>
  <c r="O84" i="103"/>
  <c r="J84" i="103"/>
  <c r="E84" i="103"/>
  <c r="O83" i="103"/>
  <c r="J83" i="103"/>
  <c r="E83" i="103"/>
  <c r="O82" i="103"/>
  <c r="J82" i="103"/>
  <c r="E82" i="103"/>
  <c r="O81" i="103"/>
  <c r="J81" i="103"/>
  <c r="E81" i="103"/>
  <c r="O80" i="103"/>
  <c r="J80" i="103"/>
  <c r="E80" i="103"/>
  <c r="O79" i="103"/>
  <c r="J79" i="103"/>
  <c r="E79" i="103"/>
  <c r="O78" i="103"/>
  <c r="J78" i="103"/>
  <c r="E78" i="103"/>
  <c r="O77" i="103"/>
  <c r="J77" i="103"/>
  <c r="E77" i="103"/>
  <c r="O75" i="103"/>
  <c r="J75" i="103"/>
  <c r="E75" i="103"/>
  <c r="L74" i="103"/>
  <c r="G74" i="103"/>
  <c r="B74" i="103"/>
  <c r="N70" i="103"/>
  <c r="M70" i="103"/>
  <c r="L70" i="103"/>
  <c r="I70" i="103"/>
  <c r="H70" i="103"/>
  <c r="G70" i="103"/>
  <c r="D70" i="103"/>
  <c r="C70" i="103"/>
  <c r="B70" i="103"/>
  <c r="O68" i="103"/>
  <c r="J68" i="103"/>
  <c r="E68" i="103"/>
  <c r="O67" i="103"/>
  <c r="J67" i="103"/>
  <c r="E67" i="103"/>
  <c r="O66" i="103"/>
  <c r="J66" i="103"/>
  <c r="E66" i="103"/>
  <c r="O65" i="103"/>
  <c r="J65" i="103"/>
  <c r="E65" i="103"/>
  <c r="O64" i="103"/>
  <c r="J64" i="103"/>
  <c r="E64" i="103"/>
  <c r="O63" i="103"/>
  <c r="J63" i="103"/>
  <c r="E63" i="103"/>
  <c r="O62" i="103"/>
  <c r="J62" i="103"/>
  <c r="E62" i="103"/>
  <c r="O61" i="103"/>
  <c r="J61" i="103"/>
  <c r="E61" i="103"/>
  <c r="O60" i="103"/>
  <c r="J60" i="103"/>
  <c r="E60" i="103"/>
  <c r="O58" i="103"/>
  <c r="J58" i="103"/>
  <c r="E58" i="103"/>
  <c r="L57" i="103"/>
  <c r="G57" i="103"/>
  <c r="B57" i="103"/>
  <c r="N53" i="103"/>
  <c r="M53" i="103"/>
  <c r="L53" i="103"/>
  <c r="I53" i="103"/>
  <c r="H53" i="103"/>
  <c r="G53" i="103"/>
  <c r="D53" i="103"/>
  <c r="C53" i="103"/>
  <c r="B53" i="103"/>
  <c r="O51" i="103"/>
  <c r="J51" i="103"/>
  <c r="E51" i="103"/>
  <c r="O50" i="103"/>
  <c r="J50" i="103"/>
  <c r="E50" i="103"/>
  <c r="O49" i="103"/>
  <c r="J49" i="103"/>
  <c r="E49" i="103"/>
  <c r="O48" i="103"/>
  <c r="J48" i="103"/>
  <c r="E48" i="103"/>
  <c r="O47" i="103"/>
  <c r="J47" i="103"/>
  <c r="E47" i="103"/>
  <c r="O46" i="103"/>
  <c r="J46" i="103"/>
  <c r="E46" i="103"/>
  <c r="O45" i="103"/>
  <c r="J45" i="103"/>
  <c r="E45" i="103"/>
  <c r="O44" i="103"/>
  <c r="J44" i="103"/>
  <c r="E44" i="103"/>
  <c r="O43" i="103"/>
  <c r="J43" i="103"/>
  <c r="E43" i="103"/>
  <c r="O41" i="103"/>
  <c r="J41" i="103"/>
  <c r="E41" i="103"/>
  <c r="L40" i="103"/>
  <c r="G40" i="103"/>
  <c r="B40" i="103"/>
  <c r="J30" i="103"/>
  <c r="C36" i="103"/>
  <c r="D36" i="103"/>
  <c r="G36" i="103"/>
  <c r="H36" i="103"/>
  <c r="I36" i="103"/>
  <c r="L36" i="103"/>
  <c r="M36" i="103"/>
  <c r="N36" i="103"/>
  <c r="J199" i="102" l="1"/>
  <c r="E91" i="102"/>
  <c r="Y46" i="102"/>
  <c r="E28" i="102"/>
  <c r="E109" i="102"/>
  <c r="E82" i="102"/>
  <c r="J154" i="102"/>
  <c r="T46" i="102"/>
  <c r="J109" i="102"/>
  <c r="E100" i="102"/>
  <c r="Y28" i="102"/>
  <c r="E46" i="102"/>
  <c r="T73" i="102"/>
  <c r="O190" i="102"/>
  <c r="J37" i="102"/>
  <c r="E145" i="102"/>
  <c r="T109" i="102"/>
  <c r="J145" i="102"/>
  <c r="J91" i="102"/>
  <c r="E181" i="102"/>
  <c r="T127" i="102"/>
  <c r="J181" i="102"/>
  <c r="T28" i="102"/>
  <c r="O91" i="102"/>
  <c r="J46" i="102"/>
  <c r="J28" i="102"/>
  <c r="J73" i="102"/>
  <c r="O181" i="102"/>
  <c r="T100" i="102"/>
  <c r="O46" i="102"/>
  <c r="J190" i="102"/>
  <c r="Y64" i="102"/>
  <c r="Y91" i="102"/>
  <c r="O199" i="102"/>
  <c r="J100" i="102"/>
  <c r="O100" i="102"/>
  <c r="E118" i="102"/>
  <c r="E127" i="102"/>
  <c r="O64" i="102"/>
  <c r="O28" i="102"/>
  <c r="O145" i="102"/>
  <c r="J82" i="102"/>
  <c r="O127" i="102"/>
  <c r="Y127" i="102"/>
  <c r="T82" i="102"/>
  <c r="Y100" i="102"/>
  <c r="O109" i="102"/>
  <c r="T118" i="102"/>
  <c r="T181" i="102"/>
  <c r="E199" i="102"/>
  <c r="E154" i="102"/>
  <c r="Y37" i="102"/>
  <c r="E64" i="102"/>
  <c r="Y82" i="102"/>
  <c r="T145" i="102"/>
  <c r="Y118" i="102"/>
  <c r="E37" i="102"/>
  <c r="O118" i="102"/>
  <c r="Y145" i="102"/>
  <c r="T154" i="102"/>
  <c r="T190" i="102"/>
  <c r="J118" i="102"/>
  <c r="O37" i="102"/>
  <c r="Y73" i="102"/>
  <c r="Y199" i="102"/>
  <c r="T91" i="102"/>
  <c r="J127" i="102"/>
  <c r="T37" i="102"/>
  <c r="T64" i="102"/>
  <c r="Y109" i="102"/>
  <c r="O82" i="102"/>
  <c r="Y181" i="102"/>
  <c r="Y154" i="102"/>
  <c r="O73" i="102"/>
  <c r="O154" i="102"/>
  <c r="Y190" i="102"/>
  <c r="T199" i="102"/>
  <c r="J64" i="102"/>
  <c r="E73" i="102"/>
  <c r="E190" i="102"/>
  <c r="E53" i="103"/>
  <c r="O70" i="103"/>
  <c r="O359" i="103"/>
  <c r="O87" i="103"/>
  <c r="J138" i="103"/>
  <c r="E189" i="103"/>
  <c r="E325" i="103"/>
  <c r="E240" i="103"/>
  <c r="E376" i="103"/>
  <c r="O53" i="103"/>
  <c r="J376" i="103"/>
  <c r="J240" i="103"/>
  <c r="J291" i="103"/>
  <c r="J70" i="103"/>
  <c r="E121" i="103"/>
  <c r="J206" i="103"/>
  <c r="E257" i="103"/>
  <c r="O291" i="103"/>
  <c r="J342" i="103"/>
  <c r="E393" i="103"/>
  <c r="J53" i="103"/>
  <c r="E70" i="103"/>
  <c r="J325" i="103"/>
  <c r="E155" i="103"/>
  <c r="E291" i="103"/>
  <c r="E206" i="103"/>
  <c r="O240" i="103"/>
  <c r="O376" i="103"/>
  <c r="J121" i="103"/>
  <c r="E172" i="103"/>
  <c r="O206" i="103"/>
  <c r="J257" i="103"/>
  <c r="E308" i="103"/>
  <c r="O342" i="103"/>
  <c r="J393" i="103"/>
  <c r="O138" i="103"/>
  <c r="O274" i="103"/>
  <c r="O121" i="103"/>
  <c r="J172" i="103"/>
  <c r="E223" i="103"/>
  <c r="O223" i="103"/>
  <c r="J274" i="103"/>
  <c r="J308" i="103"/>
  <c r="E359" i="103"/>
  <c r="J189" i="103"/>
  <c r="O257" i="103"/>
  <c r="O393" i="103"/>
  <c r="J104" i="103"/>
  <c r="O189" i="103"/>
  <c r="O325" i="103"/>
  <c r="J155" i="103"/>
  <c r="E342" i="103"/>
  <c r="E87" i="103"/>
  <c r="J87" i="103"/>
  <c r="E104" i="103"/>
  <c r="O104" i="103"/>
  <c r="E138" i="103"/>
  <c r="O155" i="103"/>
  <c r="O172" i="103"/>
  <c r="J223" i="103"/>
  <c r="E274" i="103"/>
  <c r="O308" i="103"/>
  <c r="J359" i="103"/>
  <c r="D134" i="101"/>
  <c r="H47" i="101" l="1"/>
  <c r="K393" i="101"/>
  <c r="J393" i="101"/>
  <c r="G393" i="101"/>
  <c r="F393" i="101"/>
  <c r="C393" i="101"/>
  <c r="B393" i="101"/>
  <c r="L391" i="101"/>
  <c r="H391" i="101"/>
  <c r="D391" i="101"/>
  <c r="L390" i="101"/>
  <c r="H390" i="101"/>
  <c r="D390" i="101"/>
  <c r="L389" i="101"/>
  <c r="H389" i="101"/>
  <c r="D389" i="101"/>
  <c r="L388" i="101"/>
  <c r="H388" i="101"/>
  <c r="D388" i="101"/>
  <c r="L387" i="101"/>
  <c r="H387" i="101"/>
  <c r="D387" i="101"/>
  <c r="L386" i="101"/>
  <c r="H386" i="101"/>
  <c r="D386" i="101"/>
  <c r="L385" i="101"/>
  <c r="H385" i="101"/>
  <c r="D385" i="101"/>
  <c r="L384" i="101"/>
  <c r="H384" i="101"/>
  <c r="D384" i="101"/>
  <c r="L383" i="101"/>
  <c r="H383" i="101"/>
  <c r="D383" i="101"/>
  <c r="K376" i="101"/>
  <c r="J376" i="101"/>
  <c r="G376" i="101"/>
  <c r="F376" i="101"/>
  <c r="C376" i="101"/>
  <c r="B376" i="101"/>
  <c r="L374" i="101"/>
  <c r="H374" i="101"/>
  <c r="D374" i="101"/>
  <c r="L373" i="101"/>
  <c r="H373" i="101"/>
  <c r="D373" i="101"/>
  <c r="L372" i="101"/>
  <c r="H372" i="101"/>
  <c r="D372" i="101"/>
  <c r="L371" i="101"/>
  <c r="H371" i="101"/>
  <c r="D371" i="101"/>
  <c r="L370" i="101"/>
  <c r="H370" i="101"/>
  <c r="D370" i="101"/>
  <c r="L369" i="101"/>
  <c r="H369" i="101"/>
  <c r="D369" i="101"/>
  <c r="L368" i="101"/>
  <c r="H368" i="101"/>
  <c r="D368" i="101"/>
  <c r="L367" i="101"/>
  <c r="H367" i="101"/>
  <c r="D367" i="101"/>
  <c r="L366" i="101"/>
  <c r="H366" i="101"/>
  <c r="D366" i="101"/>
  <c r="K359" i="101"/>
  <c r="J359" i="101"/>
  <c r="G359" i="101"/>
  <c r="F359" i="101"/>
  <c r="C359" i="101"/>
  <c r="B359" i="101"/>
  <c r="L357" i="101"/>
  <c r="H357" i="101"/>
  <c r="D357" i="101"/>
  <c r="L356" i="101"/>
  <c r="H356" i="101"/>
  <c r="D356" i="101"/>
  <c r="L355" i="101"/>
  <c r="H355" i="101"/>
  <c r="D355" i="101"/>
  <c r="L354" i="101"/>
  <c r="H354" i="101"/>
  <c r="D354" i="101"/>
  <c r="L353" i="101"/>
  <c r="H353" i="101"/>
  <c r="D353" i="101"/>
  <c r="L352" i="101"/>
  <c r="H352" i="101"/>
  <c r="D352" i="101"/>
  <c r="L351" i="101"/>
  <c r="H351" i="101"/>
  <c r="D351" i="101"/>
  <c r="L350" i="101"/>
  <c r="H350" i="101"/>
  <c r="D350" i="101"/>
  <c r="L349" i="101"/>
  <c r="H349" i="101"/>
  <c r="D349" i="101"/>
  <c r="K342" i="101"/>
  <c r="J342" i="101"/>
  <c r="G342" i="101"/>
  <c r="F342" i="101"/>
  <c r="C342" i="101"/>
  <c r="B342" i="101"/>
  <c r="L340" i="101"/>
  <c r="H340" i="101"/>
  <c r="D340" i="101"/>
  <c r="L339" i="101"/>
  <c r="H339" i="101"/>
  <c r="D339" i="101"/>
  <c r="L338" i="101"/>
  <c r="H338" i="101"/>
  <c r="D338" i="101"/>
  <c r="L337" i="101"/>
  <c r="H337" i="101"/>
  <c r="D337" i="101"/>
  <c r="L336" i="101"/>
  <c r="H336" i="101"/>
  <c r="D336" i="101"/>
  <c r="L335" i="101"/>
  <c r="H335" i="101"/>
  <c r="D335" i="101"/>
  <c r="L334" i="101"/>
  <c r="H334" i="101"/>
  <c r="D334" i="101"/>
  <c r="L333" i="101"/>
  <c r="H333" i="101"/>
  <c r="D333" i="101"/>
  <c r="L332" i="101"/>
  <c r="H332" i="101"/>
  <c r="D332" i="101"/>
  <c r="K325" i="101"/>
  <c r="J325" i="101"/>
  <c r="G325" i="101"/>
  <c r="F325" i="101"/>
  <c r="C325" i="101"/>
  <c r="B325" i="101"/>
  <c r="L323" i="101"/>
  <c r="H323" i="101"/>
  <c r="D323" i="101"/>
  <c r="L322" i="101"/>
  <c r="H322" i="101"/>
  <c r="D322" i="101"/>
  <c r="L321" i="101"/>
  <c r="H321" i="101"/>
  <c r="D321" i="101"/>
  <c r="L320" i="101"/>
  <c r="H320" i="101"/>
  <c r="D320" i="101"/>
  <c r="L319" i="101"/>
  <c r="H319" i="101"/>
  <c r="D319" i="101"/>
  <c r="L318" i="101"/>
  <c r="H318" i="101"/>
  <c r="D318" i="101"/>
  <c r="L317" i="101"/>
  <c r="H317" i="101"/>
  <c r="D317" i="101"/>
  <c r="L316" i="101"/>
  <c r="H316" i="101"/>
  <c r="D316" i="101"/>
  <c r="L315" i="101"/>
  <c r="H315" i="101"/>
  <c r="D315" i="101"/>
  <c r="K308" i="101"/>
  <c r="J308" i="101"/>
  <c r="G308" i="101"/>
  <c r="F308" i="101"/>
  <c r="C308" i="101"/>
  <c r="B308" i="101"/>
  <c r="L306" i="101"/>
  <c r="H306" i="101"/>
  <c r="D306" i="101"/>
  <c r="L305" i="101"/>
  <c r="H305" i="101"/>
  <c r="D305" i="101"/>
  <c r="L304" i="101"/>
  <c r="H304" i="101"/>
  <c r="D304" i="101"/>
  <c r="L303" i="101"/>
  <c r="H303" i="101"/>
  <c r="D303" i="101"/>
  <c r="L302" i="101"/>
  <c r="H302" i="101"/>
  <c r="D302" i="101"/>
  <c r="L301" i="101"/>
  <c r="H301" i="101"/>
  <c r="D301" i="101"/>
  <c r="L300" i="101"/>
  <c r="H300" i="101"/>
  <c r="D300" i="101"/>
  <c r="L299" i="101"/>
  <c r="H299" i="101"/>
  <c r="D299" i="101"/>
  <c r="L298" i="101"/>
  <c r="H298" i="101"/>
  <c r="D298" i="101"/>
  <c r="K291" i="101"/>
  <c r="J291" i="101"/>
  <c r="G291" i="101"/>
  <c r="F291" i="101"/>
  <c r="C291" i="101"/>
  <c r="B291" i="101"/>
  <c r="L289" i="101"/>
  <c r="H289" i="101"/>
  <c r="D289" i="101"/>
  <c r="L288" i="101"/>
  <c r="H288" i="101"/>
  <c r="D288" i="101"/>
  <c r="L287" i="101"/>
  <c r="H287" i="101"/>
  <c r="D287" i="101"/>
  <c r="L286" i="101"/>
  <c r="H286" i="101"/>
  <c r="D286" i="101"/>
  <c r="L285" i="101"/>
  <c r="H285" i="101"/>
  <c r="D285" i="101"/>
  <c r="L284" i="101"/>
  <c r="H284" i="101"/>
  <c r="D284" i="101"/>
  <c r="L283" i="101"/>
  <c r="H283" i="101"/>
  <c r="D283" i="101"/>
  <c r="L282" i="101"/>
  <c r="H282" i="101"/>
  <c r="D282" i="101"/>
  <c r="L281" i="101"/>
  <c r="H281" i="101"/>
  <c r="D281" i="101"/>
  <c r="K274" i="101"/>
  <c r="J274" i="101"/>
  <c r="G274" i="101"/>
  <c r="F274" i="101"/>
  <c r="C274" i="101"/>
  <c r="B274" i="101"/>
  <c r="L272" i="101"/>
  <c r="H272" i="101"/>
  <c r="D272" i="101"/>
  <c r="L271" i="101"/>
  <c r="H271" i="101"/>
  <c r="D271" i="101"/>
  <c r="L270" i="101"/>
  <c r="H270" i="101"/>
  <c r="D270" i="101"/>
  <c r="L269" i="101"/>
  <c r="H269" i="101"/>
  <c r="D269" i="101"/>
  <c r="L268" i="101"/>
  <c r="H268" i="101"/>
  <c r="D268" i="101"/>
  <c r="L267" i="101"/>
  <c r="H267" i="101"/>
  <c r="D267" i="101"/>
  <c r="L266" i="101"/>
  <c r="H266" i="101"/>
  <c r="D266" i="101"/>
  <c r="L265" i="101"/>
  <c r="H265" i="101"/>
  <c r="D265" i="101"/>
  <c r="L264" i="101"/>
  <c r="H264" i="101"/>
  <c r="D264" i="101"/>
  <c r="K257" i="101"/>
  <c r="J257" i="101"/>
  <c r="G257" i="101"/>
  <c r="F257" i="101"/>
  <c r="C257" i="101"/>
  <c r="B257" i="101"/>
  <c r="L255" i="101"/>
  <c r="H255" i="101"/>
  <c r="D255" i="101"/>
  <c r="L254" i="101"/>
  <c r="H254" i="101"/>
  <c r="D254" i="101"/>
  <c r="L253" i="101"/>
  <c r="H253" i="101"/>
  <c r="D253" i="101"/>
  <c r="L252" i="101"/>
  <c r="H252" i="101"/>
  <c r="D252" i="101"/>
  <c r="L251" i="101"/>
  <c r="H251" i="101"/>
  <c r="D251" i="101"/>
  <c r="L250" i="101"/>
  <c r="H250" i="101"/>
  <c r="D250" i="101"/>
  <c r="L249" i="101"/>
  <c r="H249" i="101"/>
  <c r="D249" i="101"/>
  <c r="L248" i="101"/>
  <c r="H248" i="101"/>
  <c r="D248" i="101"/>
  <c r="L247" i="101"/>
  <c r="H247" i="101"/>
  <c r="D247" i="101"/>
  <c r="K240" i="101"/>
  <c r="J240" i="101"/>
  <c r="G240" i="101"/>
  <c r="F240" i="101"/>
  <c r="C240" i="101"/>
  <c r="B240" i="101"/>
  <c r="L238" i="101"/>
  <c r="H238" i="101"/>
  <c r="D238" i="101"/>
  <c r="L237" i="101"/>
  <c r="H237" i="101"/>
  <c r="D237" i="101"/>
  <c r="L236" i="101"/>
  <c r="H236" i="101"/>
  <c r="D236" i="101"/>
  <c r="L235" i="101"/>
  <c r="H235" i="101"/>
  <c r="D235" i="101"/>
  <c r="L234" i="101"/>
  <c r="H234" i="101"/>
  <c r="D234" i="101"/>
  <c r="L233" i="101"/>
  <c r="H233" i="101"/>
  <c r="D233" i="101"/>
  <c r="L232" i="101"/>
  <c r="H232" i="101"/>
  <c r="D232" i="101"/>
  <c r="L231" i="101"/>
  <c r="H231" i="101"/>
  <c r="D231" i="101"/>
  <c r="L230" i="101"/>
  <c r="H230" i="101"/>
  <c r="D230" i="101"/>
  <c r="K223" i="101"/>
  <c r="J223" i="101"/>
  <c r="G223" i="101"/>
  <c r="F223" i="101"/>
  <c r="C223" i="101"/>
  <c r="B223" i="101"/>
  <c r="L221" i="101"/>
  <c r="H221" i="101"/>
  <c r="D221" i="101"/>
  <c r="L220" i="101"/>
  <c r="H220" i="101"/>
  <c r="D220" i="101"/>
  <c r="L219" i="101"/>
  <c r="H219" i="101"/>
  <c r="D219" i="101"/>
  <c r="L218" i="101"/>
  <c r="H218" i="101"/>
  <c r="D218" i="101"/>
  <c r="L217" i="101"/>
  <c r="H217" i="101"/>
  <c r="D217" i="101"/>
  <c r="L216" i="101"/>
  <c r="H216" i="101"/>
  <c r="D216" i="101"/>
  <c r="L215" i="101"/>
  <c r="H215" i="101"/>
  <c r="D215" i="101"/>
  <c r="L214" i="101"/>
  <c r="H214" i="101"/>
  <c r="D214" i="101"/>
  <c r="L213" i="101"/>
  <c r="H213" i="101"/>
  <c r="D213" i="101"/>
  <c r="K206" i="101"/>
  <c r="J206" i="101"/>
  <c r="G206" i="101"/>
  <c r="F206" i="101"/>
  <c r="C206" i="101"/>
  <c r="B206" i="101"/>
  <c r="L204" i="101"/>
  <c r="H204" i="101"/>
  <c r="D204" i="101"/>
  <c r="L203" i="101"/>
  <c r="H203" i="101"/>
  <c r="D203" i="101"/>
  <c r="L202" i="101"/>
  <c r="H202" i="101"/>
  <c r="D202" i="101"/>
  <c r="L201" i="101"/>
  <c r="H201" i="101"/>
  <c r="D201" i="101"/>
  <c r="L200" i="101"/>
  <c r="H200" i="101"/>
  <c r="D200" i="101"/>
  <c r="L199" i="101"/>
  <c r="H199" i="101"/>
  <c r="D199" i="101"/>
  <c r="L198" i="101"/>
  <c r="H198" i="101"/>
  <c r="D198" i="101"/>
  <c r="L197" i="101"/>
  <c r="H197" i="101"/>
  <c r="D197" i="101"/>
  <c r="L196" i="101"/>
  <c r="H196" i="101"/>
  <c r="D196" i="101"/>
  <c r="K189" i="101"/>
  <c r="J189" i="101"/>
  <c r="G189" i="101"/>
  <c r="F189" i="101"/>
  <c r="C189" i="101"/>
  <c r="B189" i="101"/>
  <c r="L187" i="101"/>
  <c r="H187" i="101"/>
  <c r="D187" i="101"/>
  <c r="L186" i="101"/>
  <c r="H186" i="101"/>
  <c r="D186" i="101"/>
  <c r="L185" i="101"/>
  <c r="H185" i="101"/>
  <c r="D185" i="101"/>
  <c r="L184" i="101"/>
  <c r="H184" i="101"/>
  <c r="D184" i="101"/>
  <c r="L183" i="101"/>
  <c r="H183" i="101"/>
  <c r="D183" i="101"/>
  <c r="L182" i="101"/>
  <c r="H182" i="101"/>
  <c r="D182" i="101"/>
  <c r="L181" i="101"/>
  <c r="H181" i="101"/>
  <c r="D181" i="101"/>
  <c r="L180" i="101"/>
  <c r="H180" i="101"/>
  <c r="D180" i="101"/>
  <c r="L179" i="101"/>
  <c r="H179" i="101"/>
  <c r="D179" i="101"/>
  <c r="K172" i="101"/>
  <c r="J172" i="101"/>
  <c r="G172" i="101"/>
  <c r="F172" i="101"/>
  <c r="C172" i="101"/>
  <c r="B172" i="101"/>
  <c r="L170" i="101"/>
  <c r="H170" i="101"/>
  <c r="D170" i="101"/>
  <c r="L169" i="101"/>
  <c r="H169" i="101"/>
  <c r="D169" i="101"/>
  <c r="L168" i="101"/>
  <c r="H168" i="101"/>
  <c r="D168" i="101"/>
  <c r="L167" i="101"/>
  <c r="H167" i="101"/>
  <c r="D167" i="101"/>
  <c r="L166" i="101"/>
  <c r="H166" i="101"/>
  <c r="D166" i="101"/>
  <c r="L165" i="101"/>
  <c r="H165" i="101"/>
  <c r="D165" i="101"/>
  <c r="L164" i="101"/>
  <c r="H164" i="101"/>
  <c r="D164" i="101"/>
  <c r="L163" i="101"/>
  <c r="H163" i="101"/>
  <c r="D163" i="101"/>
  <c r="L162" i="101"/>
  <c r="H162" i="101"/>
  <c r="D162" i="101"/>
  <c r="K155" i="101"/>
  <c r="J155" i="101"/>
  <c r="G155" i="101"/>
  <c r="F155" i="101"/>
  <c r="C155" i="101"/>
  <c r="B155" i="101"/>
  <c r="L153" i="101"/>
  <c r="H153" i="101"/>
  <c r="D153" i="101"/>
  <c r="L152" i="101"/>
  <c r="H152" i="101"/>
  <c r="D152" i="101"/>
  <c r="L151" i="101"/>
  <c r="H151" i="101"/>
  <c r="D151" i="101"/>
  <c r="L150" i="101"/>
  <c r="H150" i="101"/>
  <c r="D150" i="101"/>
  <c r="L149" i="101"/>
  <c r="H149" i="101"/>
  <c r="D149" i="101"/>
  <c r="L148" i="101"/>
  <c r="H148" i="101"/>
  <c r="D148" i="101"/>
  <c r="L147" i="101"/>
  <c r="H147" i="101"/>
  <c r="D147" i="101"/>
  <c r="L146" i="101"/>
  <c r="H146" i="101"/>
  <c r="D146" i="101"/>
  <c r="L145" i="101"/>
  <c r="H145" i="101"/>
  <c r="D145" i="101"/>
  <c r="K138" i="101"/>
  <c r="J138" i="101"/>
  <c r="G138" i="101"/>
  <c r="F138" i="101"/>
  <c r="C138" i="101"/>
  <c r="B138" i="101"/>
  <c r="L136" i="101"/>
  <c r="H136" i="101"/>
  <c r="D136" i="101"/>
  <c r="L135" i="101"/>
  <c r="H135" i="101"/>
  <c r="D135" i="101"/>
  <c r="L134" i="101"/>
  <c r="H134" i="101"/>
  <c r="L133" i="101"/>
  <c r="H133" i="101"/>
  <c r="D133" i="101"/>
  <c r="L132" i="101"/>
  <c r="H132" i="101"/>
  <c r="D132" i="101"/>
  <c r="L131" i="101"/>
  <c r="H131" i="101"/>
  <c r="D131" i="101"/>
  <c r="L130" i="101"/>
  <c r="H130" i="101"/>
  <c r="D130" i="101"/>
  <c r="L129" i="101"/>
  <c r="H129" i="101"/>
  <c r="D129" i="101"/>
  <c r="L128" i="101"/>
  <c r="H128" i="101"/>
  <c r="D128" i="101"/>
  <c r="K121" i="101"/>
  <c r="J121" i="101"/>
  <c r="G121" i="101"/>
  <c r="F121" i="101"/>
  <c r="C121" i="101"/>
  <c r="B121" i="101"/>
  <c r="L119" i="101"/>
  <c r="H119" i="101"/>
  <c r="D119" i="101"/>
  <c r="L118" i="101"/>
  <c r="H118" i="101"/>
  <c r="D118" i="101"/>
  <c r="L117" i="101"/>
  <c r="H117" i="101"/>
  <c r="D117" i="101"/>
  <c r="L116" i="101"/>
  <c r="H116" i="101"/>
  <c r="D116" i="101"/>
  <c r="L115" i="101"/>
  <c r="H115" i="101"/>
  <c r="D115" i="101"/>
  <c r="L114" i="101"/>
  <c r="H114" i="101"/>
  <c r="D114" i="101"/>
  <c r="L113" i="101"/>
  <c r="H113" i="101"/>
  <c r="D113" i="101"/>
  <c r="L112" i="101"/>
  <c r="H112" i="101"/>
  <c r="D112" i="101"/>
  <c r="L111" i="101"/>
  <c r="H111" i="101"/>
  <c r="D111" i="101"/>
  <c r="K104" i="101"/>
  <c r="J104" i="101"/>
  <c r="G104" i="101"/>
  <c r="F104" i="101"/>
  <c r="C104" i="101"/>
  <c r="B104" i="101"/>
  <c r="L102" i="101"/>
  <c r="H102" i="101"/>
  <c r="D102" i="101"/>
  <c r="L101" i="101"/>
  <c r="H101" i="101"/>
  <c r="D101" i="101"/>
  <c r="L100" i="101"/>
  <c r="H100" i="101"/>
  <c r="D100" i="101"/>
  <c r="L99" i="101"/>
  <c r="H99" i="101"/>
  <c r="D99" i="101"/>
  <c r="L98" i="101"/>
  <c r="H98" i="101"/>
  <c r="D98" i="101"/>
  <c r="L97" i="101"/>
  <c r="H97" i="101"/>
  <c r="D97" i="101"/>
  <c r="L96" i="101"/>
  <c r="H96" i="101"/>
  <c r="D96" i="101"/>
  <c r="L95" i="101"/>
  <c r="H95" i="101"/>
  <c r="D95" i="101"/>
  <c r="L94" i="101"/>
  <c r="H94" i="101"/>
  <c r="D94" i="101"/>
  <c r="K87" i="101"/>
  <c r="J87" i="101"/>
  <c r="G87" i="101"/>
  <c r="F87" i="101"/>
  <c r="C87" i="101"/>
  <c r="B87" i="101"/>
  <c r="L85" i="101"/>
  <c r="H85" i="101"/>
  <c r="D85" i="101"/>
  <c r="L84" i="101"/>
  <c r="H84" i="101"/>
  <c r="D84" i="101"/>
  <c r="L83" i="101"/>
  <c r="H83" i="101"/>
  <c r="D83" i="101"/>
  <c r="L82" i="101"/>
  <c r="H82" i="101"/>
  <c r="D82" i="101"/>
  <c r="L81" i="101"/>
  <c r="H81" i="101"/>
  <c r="D81" i="101"/>
  <c r="L80" i="101"/>
  <c r="H80" i="101"/>
  <c r="D80" i="101"/>
  <c r="L79" i="101"/>
  <c r="H79" i="101"/>
  <c r="D79" i="101"/>
  <c r="L78" i="101"/>
  <c r="H78" i="101"/>
  <c r="D78" i="101"/>
  <c r="L77" i="101"/>
  <c r="H77" i="101"/>
  <c r="D77" i="101"/>
  <c r="B70" i="101"/>
  <c r="K70" i="101"/>
  <c r="J70" i="101"/>
  <c r="G70" i="101"/>
  <c r="F70" i="101"/>
  <c r="C70" i="101"/>
  <c r="K53" i="101"/>
  <c r="J53" i="101"/>
  <c r="G53" i="101"/>
  <c r="F53" i="101"/>
  <c r="C53" i="101"/>
  <c r="B53" i="101"/>
  <c r="K36" i="101"/>
  <c r="J36" i="101"/>
  <c r="G36" i="101"/>
  <c r="F36" i="101"/>
  <c r="C36" i="101"/>
  <c r="B36" i="101"/>
  <c r="B380" i="101"/>
  <c r="B363" i="101"/>
  <c r="B346" i="101"/>
  <c r="B329" i="101"/>
  <c r="B312" i="101"/>
  <c r="B295" i="101"/>
  <c r="B278" i="101"/>
  <c r="B261" i="101"/>
  <c r="B244" i="101"/>
  <c r="B227" i="101"/>
  <c r="B210" i="101"/>
  <c r="B193" i="101"/>
  <c r="B176" i="101"/>
  <c r="B159" i="101"/>
  <c r="B142" i="101"/>
  <c r="B125" i="101"/>
  <c r="B108" i="101"/>
  <c r="B91" i="101"/>
  <c r="B74" i="101"/>
  <c r="B57" i="101"/>
  <c r="B40" i="101"/>
  <c r="AD11" i="21"/>
  <c r="N5" i="21"/>
  <c r="N38" i="21" s="1"/>
  <c r="O5" i="21"/>
  <c r="O38" i="21" s="1"/>
  <c r="P5" i="21"/>
  <c r="P38" i="21" s="1"/>
  <c r="Q5" i="21"/>
  <c r="Q38" i="21" s="1"/>
  <c r="R5" i="21"/>
  <c r="S5" i="21"/>
  <c r="T5" i="21"/>
  <c r="U5" i="21"/>
  <c r="V5" i="21"/>
  <c r="W5" i="21"/>
  <c r="X5" i="21"/>
  <c r="Y5" i="21"/>
  <c r="Z5" i="21"/>
  <c r="AA5" i="21"/>
  <c r="AB5" i="21"/>
  <c r="AC5" i="21"/>
  <c r="AD5" i="21"/>
  <c r="AE5" i="21"/>
  <c r="AF5" i="21"/>
  <c r="AG5" i="21"/>
  <c r="M5" i="21"/>
  <c r="M38" i="21" s="1"/>
  <c r="AD38" i="21" l="1"/>
  <c r="D138" i="101"/>
  <c r="L342" i="101"/>
  <c r="L308" i="101"/>
  <c r="H240" i="101"/>
  <c r="L223" i="101"/>
  <c r="D189" i="101"/>
  <c r="H189" i="101"/>
  <c r="D172" i="101"/>
  <c r="L87" i="101"/>
  <c r="L104" i="101"/>
  <c r="H257" i="101"/>
  <c r="L121" i="101"/>
  <c r="H172" i="101"/>
  <c r="H223" i="101"/>
  <c r="D223" i="101"/>
  <c r="L257" i="101"/>
  <c r="D291" i="101"/>
  <c r="H342" i="101"/>
  <c r="D342" i="101"/>
  <c r="L376" i="101"/>
  <c r="H104" i="101"/>
  <c r="D104" i="101"/>
  <c r="L138" i="101"/>
  <c r="L274" i="101"/>
  <c r="H359" i="101"/>
  <c r="D359" i="101"/>
  <c r="L393" i="101"/>
  <c r="D206" i="101"/>
  <c r="D274" i="101"/>
  <c r="D121" i="101"/>
  <c r="L155" i="101"/>
  <c r="D240" i="101"/>
  <c r="D376" i="101"/>
  <c r="L172" i="101"/>
  <c r="H393" i="101"/>
  <c r="H206" i="101"/>
  <c r="H274" i="101"/>
  <c r="D325" i="101"/>
  <c r="L359" i="101"/>
  <c r="D257" i="101"/>
  <c r="H376" i="101"/>
  <c r="D87" i="101"/>
  <c r="H87" i="101"/>
  <c r="H155" i="101"/>
  <c r="D155" i="101"/>
  <c r="L189" i="101"/>
  <c r="H291" i="101"/>
  <c r="D308" i="101"/>
  <c r="H138" i="101"/>
  <c r="H325" i="101"/>
  <c r="D393" i="101"/>
  <c r="H121" i="101"/>
  <c r="L240" i="101"/>
  <c r="L291" i="101"/>
  <c r="L206" i="101"/>
  <c r="H308" i="101"/>
  <c r="L325" i="101"/>
  <c r="J9" i="79"/>
  <c r="J10" i="79"/>
  <c r="J11" i="79"/>
  <c r="J12" i="79"/>
  <c r="J13" i="79"/>
  <c r="J14" i="79"/>
  <c r="J15" i="79"/>
  <c r="J16" i="79"/>
  <c r="J17" i="79"/>
  <c r="J18" i="79"/>
  <c r="J19" i="79"/>
  <c r="J20" i="79"/>
  <c r="J21" i="79"/>
  <c r="J22" i="79"/>
  <c r="J23" i="79"/>
  <c r="J24" i="79"/>
  <c r="J25" i="79"/>
  <c r="J26" i="79"/>
  <c r="J27" i="79"/>
  <c r="J28" i="79"/>
  <c r="J29" i="79"/>
  <c r="J30" i="79"/>
  <c r="J31" i="79"/>
  <c r="J32" i="79"/>
  <c r="I9" i="79"/>
  <c r="I10" i="79"/>
  <c r="I11" i="79"/>
  <c r="I12" i="79"/>
  <c r="I13" i="79"/>
  <c r="I14" i="79"/>
  <c r="I15" i="79"/>
  <c r="I16" i="79"/>
  <c r="I17" i="79"/>
  <c r="I18" i="79"/>
  <c r="I19" i="79"/>
  <c r="I20" i="79"/>
  <c r="I21" i="79"/>
  <c r="I22" i="79"/>
  <c r="I23" i="79"/>
  <c r="I24" i="79"/>
  <c r="I25" i="79"/>
  <c r="I26" i="79"/>
  <c r="I27" i="79"/>
  <c r="I28" i="79"/>
  <c r="I29" i="79"/>
  <c r="I30" i="79"/>
  <c r="I31" i="79"/>
  <c r="I32" i="79"/>
  <c r="H9" i="79"/>
  <c r="H10" i="79"/>
  <c r="H11" i="79"/>
  <c r="H12" i="79"/>
  <c r="H13" i="79"/>
  <c r="H14" i="79"/>
  <c r="H15" i="79"/>
  <c r="H16" i="79"/>
  <c r="H17" i="79"/>
  <c r="H18" i="79"/>
  <c r="H19" i="79"/>
  <c r="H20" i="79"/>
  <c r="H21" i="79"/>
  <c r="H22" i="79"/>
  <c r="H23" i="79"/>
  <c r="H24" i="79"/>
  <c r="H25" i="79"/>
  <c r="H26" i="79"/>
  <c r="H27" i="79"/>
  <c r="H28" i="79"/>
  <c r="H29" i="79"/>
  <c r="H30" i="79"/>
  <c r="H31" i="79"/>
  <c r="H32" i="79"/>
  <c r="G9" i="79"/>
  <c r="G10" i="79"/>
  <c r="G11" i="79"/>
  <c r="G12" i="79"/>
  <c r="G13" i="79"/>
  <c r="G14" i="79"/>
  <c r="G15" i="79"/>
  <c r="G16" i="79"/>
  <c r="G17" i="79"/>
  <c r="G18" i="79"/>
  <c r="G19" i="79"/>
  <c r="G20" i="79"/>
  <c r="G21" i="79"/>
  <c r="G22" i="79"/>
  <c r="G23" i="79"/>
  <c r="G24" i="79"/>
  <c r="G25" i="79"/>
  <c r="G26" i="79"/>
  <c r="G27" i="79"/>
  <c r="G28" i="79"/>
  <c r="G29" i="79"/>
  <c r="G30" i="79"/>
  <c r="G31" i="79"/>
  <c r="G32" i="79"/>
  <c r="F9" i="79"/>
  <c r="F10" i="79"/>
  <c r="F11" i="79"/>
  <c r="F12" i="79"/>
  <c r="F13" i="79"/>
  <c r="F14" i="79"/>
  <c r="F15" i="79"/>
  <c r="F16" i="79"/>
  <c r="F17" i="79"/>
  <c r="F18" i="79"/>
  <c r="F19" i="79"/>
  <c r="F20" i="79"/>
  <c r="F21" i="79"/>
  <c r="F22" i="79"/>
  <c r="F23" i="79"/>
  <c r="F24" i="79"/>
  <c r="F25" i="79"/>
  <c r="F26" i="79"/>
  <c r="F27" i="79"/>
  <c r="F28" i="79"/>
  <c r="F29" i="79"/>
  <c r="F30" i="79"/>
  <c r="F31" i="79"/>
  <c r="F32" i="79"/>
  <c r="E9" i="79"/>
  <c r="E10" i="79"/>
  <c r="E11" i="79"/>
  <c r="E12" i="79"/>
  <c r="E13" i="79"/>
  <c r="E14" i="79"/>
  <c r="E15" i="79"/>
  <c r="E16" i="79"/>
  <c r="E17" i="79"/>
  <c r="E18" i="79"/>
  <c r="E19" i="79"/>
  <c r="E20" i="79"/>
  <c r="E21" i="79"/>
  <c r="E22" i="79"/>
  <c r="E23" i="79"/>
  <c r="E24" i="79"/>
  <c r="E25" i="79"/>
  <c r="E26" i="79"/>
  <c r="E27" i="79"/>
  <c r="E28" i="79"/>
  <c r="E29" i="79"/>
  <c r="E30" i="79"/>
  <c r="E31" i="79"/>
  <c r="E32" i="79"/>
  <c r="D9" i="79"/>
  <c r="D10" i="79"/>
  <c r="D11" i="79"/>
  <c r="D12" i="79"/>
  <c r="D13" i="79"/>
  <c r="D14" i="79"/>
  <c r="D15" i="79"/>
  <c r="D16" i="79"/>
  <c r="D17" i="79"/>
  <c r="D18" i="79"/>
  <c r="D19" i="79"/>
  <c r="D20" i="79"/>
  <c r="D21" i="79"/>
  <c r="D22" i="79"/>
  <c r="D23" i="79"/>
  <c r="D24" i="79"/>
  <c r="D25" i="79"/>
  <c r="D26" i="79"/>
  <c r="D27" i="79"/>
  <c r="D28" i="79"/>
  <c r="D29" i="79"/>
  <c r="D30" i="79"/>
  <c r="D31" i="79"/>
  <c r="D32" i="79"/>
  <c r="C9" i="79"/>
  <c r="C10" i="79"/>
  <c r="C11" i="79"/>
  <c r="C12" i="79"/>
  <c r="C13" i="79"/>
  <c r="C14" i="79"/>
  <c r="C15" i="79"/>
  <c r="C16" i="79"/>
  <c r="C17" i="79"/>
  <c r="C18" i="79"/>
  <c r="C19" i="79"/>
  <c r="C20" i="79"/>
  <c r="C21" i="79"/>
  <c r="C22" i="79"/>
  <c r="C23" i="79"/>
  <c r="C24" i="79"/>
  <c r="C25" i="79"/>
  <c r="C26" i="79"/>
  <c r="C27" i="79"/>
  <c r="C28" i="79"/>
  <c r="C29" i="79"/>
  <c r="C30" i="79"/>
  <c r="C31" i="79"/>
  <c r="C32" i="79"/>
  <c r="B9" i="79"/>
  <c r="B10" i="79"/>
  <c r="B11" i="79"/>
  <c r="B12" i="79"/>
  <c r="B13" i="79"/>
  <c r="B14" i="79"/>
  <c r="B15" i="79"/>
  <c r="B16" i="79"/>
  <c r="B17" i="79"/>
  <c r="B18" i="79"/>
  <c r="B19" i="79"/>
  <c r="B20" i="79"/>
  <c r="B21" i="79"/>
  <c r="B22" i="79"/>
  <c r="B23" i="79"/>
  <c r="B24" i="79"/>
  <c r="B25" i="79"/>
  <c r="B26" i="79"/>
  <c r="B27" i="79"/>
  <c r="B28" i="79"/>
  <c r="B29" i="79"/>
  <c r="B30" i="79"/>
  <c r="B31" i="79"/>
  <c r="B32" i="79"/>
  <c r="B119" i="78"/>
  <c r="H8" i="78"/>
  <c r="K9" i="79" l="1"/>
  <c r="B21" i="52"/>
  <c r="O34" i="103" l="1"/>
  <c r="O33" i="103"/>
  <c r="O32" i="103"/>
  <c r="O31" i="103"/>
  <c r="O30" i="103"/>
  <c r="O29" i="103"/>
  <c r="O28" i="103"/>
  <c r="O27" i="103"/>
  <c r="O26" i="103"/>
  <c r="J34" i="103"/>
  <c r="J33" i="103"/>
  <c r="J32" i="103"/>
  <c r="J31" i="103"/>
  <c r="J29" i="103"/>
  <c r="J28" i="103"/>
  <c r="J27" i="103"/>
  <c r="J26" i="103"/>
  <c r="E34" i="103"/>
  <c r="E33" i="103"/>
  <c r="E32" i="103"/>
  <c r="E31" i="103"/>
  <c r="E30" i="103"/>
  <c r="E29" i="103"/>
  <c r="E28" i="103"/>
  <c r="E27" i="103"/>
  <c r="E26" i="103"/>
  <c r="L68" i="101"/>
  <c r="H68" i="101"/>
  <c r="D68" i="101"/>
  <c r="L67" i="101"/>
  <c r="H67" i="101"/>
  <c r="D67" i="101"/>
  <c r="L66" i="101"/>
  <c r="H66" i="101"/>
  <c r="D66" i="101"/>
  <c r="L65" i="101"/>
  <c r="H65" i="101"/>
  <c r="D65" i="101"/>
  <c r="L64" i="101"/>
  <c r="H64" i="101"/>
  <c r="D64" i="101"/>
  <c r="L63" i="101"/>
  <c r="H63" i="101"/>
  <c r="D63" i="101"/>
  <c r="L62" i="101"/>
  <c r="H62" i="101"/>
  <c r="D62" i="101"/>
  <c r="L61" i="101"/>
  <c r="H61" i="101"/>
  <c r="D61" i="101"/>
  <c r="L60" i="101"/>
  <c r="H60" i="101"/>
  <c r="D60" i="101"/>
  <c r="L51" i="101"/>
  <c r="H51" i="101"/>
  <c r="D51" i="101"/>
  <c r="L50" i="101"/>
  <c r="H50" i="101"/>
  <c r="D50" i="101"/>
  <c r="L49" i="101"/>
  <c r="H49" i="101"/>
  <c r="D49" i="101"/>
  <c r="L48" i="101"/>
  <c r="H48" i="101"/>
  <c r="D48" i="101"/>
  <c r="L47" i="101"/>
  <c r="D47" i="101"/>
  <c r="L46" i="101"/>
  <c r="H46" i="101"/>
  <c r="D46" i="101"/>
  <c r="L45" i="101"/>
  <c r="H45" i="101"/>
  <c r="D45" i="101"/>
  <c r="L44" i="101"/>
  <c r="H44" i="101"/>
  <c r="D44" i="101"/>
  <c r="L43" i="101"/>
  <c r="H43" i="101"/>
  <c r="D43" i="101"/>
  <c r="H26" i="101"/>
  <c r="L34" i="101"/>
  <c r="L33" i="101"/>
  <c r="L32" i="101"/>
  <c r="L31" i="101"/>
  <c r="L30" i="101"/>
  <c r="L29" i="101"/>
  <c r="L28" i="101"/>
  <c r="L27" i="101"/>
  <c r="L26" i="101"/>
  <c r="H34" i="101"/>
  <c r="H33" i="101"/>
  <c r="H32" i="101"/>
  <c r="H31" i="101"/>
  <c r="H30" i="101"/>
  <c r="H29" i="101"/>
  <c r="H28" i="101"/>
  <c r="H27" i="101"/>
  <c r="D34" i="101"/>
  <c r="D33" i="101"/>
  <c r="D32" i="101"/>
  <c r="D31" i="101"/>
  <c r="D30" i="101"/>
  <c r="D29" i="101"/>
  <c r="D28" i="101"/>
  <c r="D27" i="101"/>
  <c r="D26" i="101"/>
  <c r="B19" i="103" l="1"/>
  <c r="E36" i="103"/>
  <c r="J36" i="103"/>
  <c r="O36" i="103"/>
  <c r="L36" i="101"/>
  <c r="D36" i="101"/>
  <c r="D53" i="101"/>
  <c r="H36" i="101"/>
  <c r="L53" i="101"/>
  <c r="D70" i="101"/>
  <c r="H53" i="101"/>
  <c r="H70" i="101"/>
  <c r="L70" i="101"/>
  <c r="J10" i="103"/>
  <c r="O9" i="103"/>
  <c r="O17" i="103"/>
  <c r="J13" i="103"/>
  <c r="O12" i="103"/>
  <c r="E16" i="103"/>
  <c r="E13" i="103"/>
  <c r="E17" i="103"/>
  <c r="E14" i="103"/>
  <c r="D19" i="103"/>
  <c r="I19" i="103"/>
  <c r="J15" i="103"/>
  <c r="O14" i="103"/>
  <c r="L19" i="103"/>
  <c r="E10" i="103"/>
  <c r="J16" i="103"/>
  <c r="E15" i="103"/>
  <c r="J9" i="103"/>
  <c r="J11" i="103"/>
  <c r="J14" i="103"/>
  <c r="J17" i="103"/>
  <c r="N19" i="103"/>
  <c r="O13" i="103"/>
  <c r="O16" i="103"/>
  <c r="E11" i="103"/>
  <c r="M19" i="103"/>
  <c r="E9" i="103"/>
  <c r="O15" i="103"/>
  <c r="E12" i="103"/>
  <c r="J12" i="103"/>
  <c r="O11" i="103"/>
  <c r="H19" i="103"/>
  <c r="C19" i="103"/>
  <c r="O10" i="103"/>
  <c r="G19" i="103"/>
  <c r="H15" i="101"/>
  <c r="L14" i="101"/>
  <c r="H10" i="101"/>
  <c r="H14" i="101"/>
  <c r="L13" i="101"/>
  <c r="L17" i="101"/>
  <c r="D9" i="101"/>
  <c r="H12" i="101"/>
  <c r="H16" i="101"/>
  <c r="L11" i="101"/>
  <c r="L15" i="101"/>
  <c r="D12" i="101"/>
  <c r="D11" i="101"/>
  <c r="D10" i="101"/>
  <c r="D15" i="101"/>
  <c r="D17" i="101"/>
  <c r="D13" i="101"/>
  <c r="G19" i="101"/>
  <c r="J19" i="101"/>
  <c r="D16" i="101"/>
  <c r="K19" i="101"/>
  <c r="H11" i="101"/>
  <c r="L10" i="101"/>
  <c r="B19" i="101"/>
  <c r="D14" i="101"/>
  <c r="C19" i="101"/>
  <c r="H9" i="101"/>
  <c r="H13" i="101"/>
  <c r="H17" i="101"/>
  <c r="L12" i="101"/>
  <c r="L16" i="101"/>
  <c r="L9" i="101"/>
  <c r="F19" i="101"/>
  <c r="J19" i="103" l="1"/>
  <c r="E19" i="103"/>
  <c r="O19" i="103"/>
  <c r="D19" i="101"/>
  <c r="L19" i="101"/>
  <c r="H19" i="101"/>
  <c r="L14" i="51"/>
  <c r="L13" i="51"/>
  <c r="L12" i="51"/>
  <c r="L11" i="51"/>
  <c r="L10" i="51"/>
  <c r="L9" i="51"/>
  <c r="L8" i="51"/>
  <c r="L7" i="51"/>
  <c r="L6" i="51"/>
  <c r="F482" i="104" l="1"/>
  <c r="F481" i="104"/>
  <c r="F477" i="104"/>
  <c r="F476" i="104"/>
  <c r="F472" i="104"/>
  <c r="F471" i="104"/>
  <c r="D482" i="104"/>
  <c r="D481" i="104"/>
  <c r="D477" i="104"/>
  <c r="D476" i="104"/>
  <c r="D472" i="104"/>
  <c r="D471" i="104"/>
  <c r="B482" i="104"/>
  <c r="B481" i="104"/>
  <c r="B477" i="104"/>
  <c r="B476" i="104"/>
  <c r="B472" i="104"/>
  <c r="B471" i="104"/>
  <c r="F461" i="104"/>
  <c r="F460" i="104"/>
  <c r="F456" i="104"/>
  <c r="F455" i="104"/>
  <c r="F451" i="104"/>
  <c r="F450" i="104"/>
  <c r="D461" i="104"/>
  <c r="D460" i="104"/>
  <c r="D456" i="104"/>
  <c r="D455" i="104"/>
  <c r="D451" i="104"/>
  <c r="D450" i="104"/>
  <c r="B461" i="104"/>
  <c r="B460" i="104"/>
  <c r="B456" i="104"/>
  <c r="B455" i="104"/>
  <c r="B451" i="104"/>
  <c r="B450" i="104"/>
  <c r="F440" i="104"/>
  <c r="F439" i="104"/>
  <c r="F435" i="104"/>
  <c r="F434" i="104"/>
  <c r="F430" i="104"/>
  <c r="F429" i="104"/>
  <c r="D440" i="104"/>
  <c r="D439" i="104"/>
  <c r="D435" i="104"/>
  <c r="D434" i="104"/>
  <c r="D430" i="104"/>
  <c r="D429" i="104"/>
  <c r="B440" i="104"/>
  <c r="B439" i="104"/>
  <c r="B435" i="104"/>
  <c r="B434" i="104"/>
  <c r="B430" i="104"/>
  <c r="B429" i="104"/>
  <c r="F419" i="104"/>
  <c r="F418" i="104"/>
  <c r="F414" i="104"/>
  <c r="F413" i="104"/>
  <c r="F409" i="104"/>
  <c r="F408" i="104"/>
  <c r="D419" i="104"/>
  <c r="D418" i="104"/>
  <c r="D414" i="104"/>
  <c r="D413" i="104"/>
  <c r="D409" i="104"/>
  <c r="D408" i="104"/>
  <c r="B419" i="104"/>
  <c r="B418" i="104"/>
  <c r="B414" i="104"/>
  <c r="B413" i="104"/>
  <c r="B409" i="104"/>
  <c r="B408" i="104"/>
  <c r="F398" i="104"/>
  <c r="F397" i="104"/>
  <c r="F393" i="104"/>
  <c r="F392" i="104"/>
  <c r="F388" i="104"/>
  <c r="F387" i="104"/>
  <c r="D398" i="104"/>
  <c r="D397" i="104"/>
  <c r="D393" i="104"/>
  <c r="D392" i="104"/>
  <c r="D388" i="104"/>
  <c r="D387" i="104"/>
  <c r="B398" i="104"/>
  <c r="B397" i="104"/>
  <c r="B393" i="104"/>
  <c r="B392" i="104"/>
  <c r="B388" i="104"/>
  <c r="B387" i="104"/>
  <c r="F377" i="104"/>
  <c r="F376" i="104"/>
  <c r="F372" i="104"/>
  <c r="F371" i="104"/>
  <c r="F367" i="104"/>
  <c r="F366" i="104"/>
  <c r="D377" i="104"/>
  <c r="D376" i="104"/>
  <c r="D372" i="104"/>
  <c r="D371" i="104"/>
  <c r="D367" i="104"/>
  <c r="D366" i="104"/>
  <c r="B377" i="104"/>
  <c r="B376" i="104"/>
  <c r="B372" i="104"/>
  <c r="B371" i="104"/>
  <c r="B367" i="104"/>
  <c r="B366" i="104"/>
  <c r="F356" i="104"/>
  <c r="F355" i="104"/>
  <c r="F351" i="104"/>
  <c r="F350" i="104"/>
  <c r="F346" i="104"/>
  <c r="F345" i="104"/>
  <c r="D356" i="104"/>
  <c r="D355" i="104"/>
  <c r="D351" i="104"/>
  <c r="D350" i="104"/>
  <c r="D346" i="104"/>
  <c r="D345" i="104"/>
  <c r="B356" i="104"/>
  <c r="B355" i="104"/>
  <c r="B351" i="104"/>
  <c r="B350" i="104"/>
  <c r="B346" i="104"/>
  <c r="B345" i="104"/>
  <c r="F335" i="104"/>
  <c r="F334" i="104"/>
  <c r="F325" i="104"/>
  <c r="F324" i="104"/>
  <c r="D335" i="104"/>
  <c r="D334" i="104"/>
  <c r="D325" i="104"/>
  <c r="D324" i="104"/>
  <c r="B335" i="104"/>
  <c r="B334" i="104"/>
  <c r="B325" i="104"/>
  <c r="B324" i="104"/>
  <c r="F314" i="104"/>
  <c r="F313" i="104"/>
  <c r="F309" i="104"/>
  <c r="F308" i="104"/>
  <c r="F304" i="104"/>
  <c r="F303" i="104"/>
  <c r="D314" i="104"/>
  <c r="D313" i="104"/>
  <c r="D309" i="104"/>
  <c r="D308" i="104"/>
  <c r="D304" i="104"/>
  <c r="D303" i="104"/>
  <c r="B314" i="104"/>
  <c r="B309" i="104"/>
  <c r="B308" i="104"/>
  <c r="B304" i="104"/>
  <c r="B303" i="104"/>
  <c r="F293" i="104"/>
  <c r="F292" i="104"/>
  <c r="F288" i="104"/>
  <c r="F287" i="104"/>
  <c r="F283" i="104"/>
  <c r="F282" i="104"/>
  <c r="D293" i="104"/>
  <c r="D292" i="104"/>
  <c r="D288" i="104"/>
  <c r="D287" i="104"/>
  <c r="D283" i="104"/>
  <c r="D282" i="104"/>
  <c r="B293" i="104"/>
  <c r="B292" i="104"/>
  <c r="B288" i="104"/>
  <c r="B287" i="104"/>
  <c r="B283" i="104"/>
  <c r="B282" i="104"/>
  <c r="F272" i="104"/>
  <c r="F271" i="104"/>
  <c r="F267" i="104"/>
  <c r="F266" i="104"/>
  <c r="F262" i="104"/>
  <c r="F261" i="104"/>
  <c r="D272" i="104"/>
  <c r="D271" i="104"/>
  <c r="D267" i="104"/>
  <c r="D266" i="104"/>
  <c r="D262" i="104"/>
  <c r="D261" i="104"/>
  <c r="B272" i="104"/>
  <c r="B271" i="104"/>
  <c r="B267" i="104"/>
  <c r="B266" i="104"/>
  <c r="B262" i="104"/>
  <c r="B261" i="104"/>
  <c r="F251" i="104"/>
  <c r="F250" i="104"/>
  <c r="F246" i="104"/>
  <c r="F245" i="104"/>
  <c r="F241" i="104"/>
  <c r="F240" i="104"/>
  <c r="D251" i="104"/>
  <c r="D250" i="104"/>
  <c r="D246" i="104"/>
  <c r="D245" i="104"/>
  <c r="D241" i="104"/>
  <c r="D240" i="104"/>
  <c r="B251" i="104"/>
  <c r="B250" i="104"/>
  <c r="B246" i="104"/>
  <c r="B245" i="104"/>
  <c r="B241" i="104"/>
  <c r="B240" i="104"/>
  <c r="F230" i="104"/>
  <c r="F229" i="104"/>
  <c r="F225" i="104"/>
  <c r="F224" i="104"/>
  <c r="F220" i="104"/>
  <c r="F219" i="104"/>
  <c r="D230" i="104"/>
  <c r="D229" i="104"/>
  <c r="D225" i="104"/>
  <c r="D224" i="104"/>
  <c r="D220" i="104"/>
  <c r="D219" i="104"/>
  <c r="B230" i="104"/>
  <c r="B229" i="104"/>
  <c r="B225" i="104"/>
  <c r="B224" i="104"/>
  <c r="B220" i="104"/>
  <c r="B219" i="104"/>
  <c r="F209" i="104"/>
  <c r="F208" i="104"/>
  <c r="F204" i="104"/>
  <c r="F203" i="104"/>
  <c r="F199" i="104"/>
  <c r="F198" i="104"/>
  <c r="D209" i="104"/>
  <c r="D208" i="104"/>
  <c r="D204" i="104"/>
  <c r="D203" i="104"/>
  <c r="D199" i="104"/>
  <c r="D198" i="104"/>
  <c r="B209" i="104"/>
  <c r="B208" i="104"/>
  <c r="B204" i="104"/>
  <c r="B203" i="104"/>
  <c r="B199" i="104"/>
  <c r="B198" i="104"/>
  <c r="F188" i="104"/>
  <c r="F187" i="104"/>
  <c r="F183" i="104"/>
  <c r="F182" i="104"/>
  <c r="F178" i="104"/>
  <c r="F177" i="104"/>
  <c r="D188" i="104"/>
  <c r="D187" i="104"/>
  <c r="D183" i="104"/>
  <c r="D182" i="104"/>
  <c r="D178" i="104"/>
  <c r="D177" i="104"/>
  <c r="B188" i="104"/>
  <c r="B187" i="104"/>
  <c r="B183" i="104"/>
  <c r="B182" i="104"/>
  <c r="B178" i="104"/>
  <c r="B177" i="104"/>
  <c r="F166" i="104"/>
  <c r="F167" i="104"/>
  <c r="F162" i="104"/>
  <c r="F161" i="104"/>
  <c r="F157" i="104"/>
  <c r="F156" i="104"/>
  <c r="D167" i="104"/>
  <c r="D166" i="104"/>
  <c r="D162" i="104"/>
  <c r="D161" i="104"/>
  <c r="D157" i="104"/>
  <c r="D156" i="104"/>
  <c r="B167" i="104"/>
  <c r="B166" i="104"/>
  <c r="B162" i="104"/>
  <c r="B161" i="104"/>
  <c r="B157" i="104"/>
  <c r="B156" i="104"/>
  <c r="F146" i="104"/>
  <c r="F145" i="104"/>
  <c r="F141" i="104"/>
  <c r="F140" i="104"/>
  <c r="F136" i="104"/>
  <c r="F135" i="104"/>
  <c r="D146" i="104"/>
  <c r="D145" i="104"/>
  <c r="D141" i="104"/>
  <c r="D140" i="104"/>
  <c r="D136" i="104"/>
  <c r="D135" i="104"/>
  <c r="B146" i="104"/>
  <c r="B145" i="104"/>
  <c r="B141" i="104"/>
  <c r="B140" i="104"/>
  <c r="B136" i="104"/>
  <c r="B135" i="104"/>
  <c r="F125" i="104"/>
  <c r="F124" i="104"/>
  <c r="F120" i="104"/>
  <c r="F119" i="104"/>
  <c r="F115" i="104"/>
  <c r="F114" i="104"/>
  <c r="D125" i="104"/>
  <c r="D124" i="104"/>
  <c r="D120" i="104"/>
  <c r="D119" i="104"/>
  <c r="D115" i="104"/>
  <c r="D114" i="104"/>
  <c r="B125" i="104"/>
  <c r="B124" i="104"/>
  <c r="B120" i="104"/>
  <c r="B119" i="104"/>
  <c r="B115" i="104"/>
  <c r="B114" i="104"/>
  <c r="D56" i="104"/>
  <c r="D51" i="104"/>
  <c r="F315" i="104" l="1"/>
  <c r="F126" i="104"/>
  <c r="H124" i="104"/>
  <c r="F168" i="104"/>
  <c r="H335" i="104"/>
  <c r="H145" i="104"/>
  <c r="F104" i="104"/>
  <c r="F103" i="104"/>
  <c r="F99" i="104"/>
  <c r="F98" i="104"/>
  <c r="F94" i="104"/>
  <c r="F93" i="104"/>
  <c r="D104" i="104"/>
  <c r="D103" i="104"/>
  <c r="D99" i="104"/>
  <c r="D98" i="104"/>
  <c r="D94" i="104"/>
  <c r="D93" i="104"/>
  <c r="B104" i="104"/>
  <c r="B103" i="104"/>
  <c r="B99" i="104"/>
  <c r="B98" i="104"/>
  <c r="B94" i="104"/>
  <c r="B93" i="104"/>
  <c r="F83" i="104"/>
  <c r="F82" i="104"/>
  <c r="F78" i="104"/>
  <c r="F77" i="104"/>
  <c r="F73" i="104"/>
  <c r="F72" i="104"/>
  <c r="D83" i="104"/>
  <c r="D82" i="104"/>
  <c r="D78" i="104"/>
  <c r="D77" i="104"/>
  <c r="D73" i="104"/>
  <c r="D72" i="104"/>
  <c r="B83" i="104"/>
  <c r="B82" i="104"/>
  <c r="B78" i="104"/>
  <c r="B77" i="104"/>
  <c r="F62" i="104"/>
  <c r="F61" i="104"/>
  <c r="F57" i="104"/>
  <c r="F56" i="104"/>
  <c r="F52" i="104"/>
  <c r="F51" i="104"/>
  <c r="D62" i="104"/>
  <c r="D61" i="104"/>
  <c r="L61" i="104" s="1"/>
  <c r="D57" i="104"/>
  <c r="D52" i="104"/>
  <c r="D53" i="104" s="1"/>
  <c r="B52" i="104"/>
  <c r="B51" i="104"/>
  <c r="B73" i="104"/>
  <c r="B72" i="104"/>
  <c r="B62" i="104"/>
  <c r="B61" i="104"/>
  <c r="B57" i="104"/>
  <c r="B56" i="104"/>
  <c r="H482" i="104"/>
  <c r="H481" i="104"/>
  <c r="H477" i="104"/>
  <c r="H476" i="104"/>
  <c r="H472" i="104"/>
  <c r="H471" i="104"/>
  <c r="H461" i="104"/>
  <c r="H460" i="104"/>
  <c r="H456" i="104"/>
  <c r="H455" i="104"/>
  <c r="H451" i="104"/>
  <c r="H450" i="104"/>
  <c r="H440" i="104"/>
  <c r="H439" i="104"/>
  <c r="H435" i="104"/>
  <c r="H434" i="104"/>
  <c r="H430" i="104"/>
  <c r="H429" i="104"/>
  <c r="H419" i="104"/>
  <c r="H418" i="104"/>
  <c r="H414" i="104"/>
  <c r="H413" i="104"/>
  <c r="H409" i="104"/>
  <c r="H408" i="104"/>
  <c r="H398" i="104"/>
  <c r="H397" i="104"/>
  <c r="H393" i="104"/>
  <c r="H392" i="104"/>
  <c r="H388" i="104"/>
  <c r="H387" i="104"/>
  <c r="H377" i="104"/>
  <c r="H376" i="104"/>
  <c r="H372" i="104"/>
  <c r="H371" i="104"/>
  <c r="H367" i="104"/>
  <c r="H366" i="104"/>
  <c r="H356" i="104"/>
  <c r="H355" i="104"/>
  <c r="H351" i="104"/>
  <c r="H350" i="104"/>
  <c r="H346" i="104"/>
  <c r="H345" i="104"/>
  <c r="H334" i="104"/>
  <c r="H330" i="104"/>
  <c r="H329" i="104"/>
  <c r="H325" i="104"/>
  <c r="H324" i="104"/>
  <c r="H314" i="104"/>
  <c r="H313" i="104"/>
  <c r="H309" i="104"/>
  <c r="H308" i="104"/>
  <c r="H304" i="104"/>
  <c r="H303" i="104"/>
  <c r="H293" i="104"/>
  <c r="H292" i="104"/>
  <c r="H288" i="104"/>
  <c r="H287" i="104"/>
  <c r="H283" i="104"/>
  <c r="H282" i="104"/>
  <c r="H272" i="104"/>
  <c r="H271" i="104"/>
  <c r="H267" i="104"/>
  <c r="H266" i="104"/>
  <c r="H262" i="104"/>
  <c r="H261" i="104"/>
  <c r="H251" i="104"/>
  <c r="H250" i="104"/>
  <c r="H246" i="104"/>
  <c r="H245" i="104"/>
  <c r="H241" i="104"/>
  <c r="H240" i="104"/>
  <c r="H230" i="104"/>
  <c r="H229" i="104"/>
  <c r="H225" i="104"/>
  <c r="H224" i="104"/>
  <c r="H220" i="104"/>
  <c r="H219" i="104"/>
  <c r="H209" i="104"/>
  <c r="H208" i="104"/>
  <c r="H204" i="104"/>
  <c r="H203" i="104"/>
  <c r="H199" i="104"/>
  <c r="H198" i="104"/>
  <c r="H188" i="104"/>
  <c r="H187" i="104"/>
  <c r="H183" i="104"/>
  <c r="H182" i="104"/>
  <c r="H178" i="104"/>
  <c r="H177" i="104"/>
  <c r="H167" i="104"/>
  <c r="H166" i="104"/>
  <c r="H162" i="104"/>
  <c r="H161" i="104"/>
  <c r="H157" i="104"/>
  <c r="H156" i="104"/>
  <c r="H146" i="104"/>
  <c r="H141" i="104"/>
  <c r="H140" i="104"/>
  <c r="H136" i="104"/>
  <c r="H135" i="104"/>
  <c r="H125" i="104"/>
  <c r="H120" i="104"/>
  <c r="H119" i="104"/>
  <c r="H115" i="104"/>
  <c r="H114" i="104"/>
  <c r="F483" i="104"/>
  <c r="F473" i="104"/>
  <c r="F462" i="104"/>
  <c r="M456" i="104"/>
  <c r="M450" i="104"/>
  <c r="M461" i="104"/>
  <c r="F441" i="104"/>
  <c r="M434" i="104"/>
  <c r="F431" i="104"/>
  <c r="F420" i="104"/>
  <c r="F415" i="104"/>
  <c r="M408" i="104"/>
  <c r="F399" i="104"/>
  <c r="M398" i="104"/>
  <c r="F378" i="104"/>
  <c r="F373" i="104"/>
  <c r="M367" i="104"/>
  <c r="F357" i="104"/>
  <c r="M346" i="104"/>
  <c r="F336" i="104"/>
  <c r="M329" i="104"/>
  <c r="M304" i="104"/>
  <c r="F305" i="104"/>
  <c r="F294" i="104"/>
  <c r="M283" i="104"/>
  <c r="M287" i="104"/>
  <c r="F284" i="104"/>
  <c r="M272" i="104"/>
  <c r="F273" i="104"/>
  <c r="M261" i="104"/>
  <c r="F252" i="104"/>
  <c r="M241" i="104"/>
  <c r="M240" i="104"/>
  <c r="M251" i="104"/>
  <c r="F231" i="104"/>
  <c r="M225" i="104"/>
  <c r="M224" i="104"/>
  <c r="F221" i="104"/>
  <c r="F210" i="104"/>
  <c r="F200" i="104"/>
  <c r="F189" i="104"/>
  <c r="M178" i="104"/>
  <c r="M182" i="104"/>
  <c r="M188" i="104"/>
  <c r="M162" i="104"/>
  <c r="M161" i="104"/>
  <c r="M146" i="104"/>
  <c r="F147" i="104"/>
  <c r="M141" i="104"/>
  <c r="F137" i="104"/>
  <c r="M120" i="104"/>
  <c r="M114" i="104"/>
  <c r="M125" i="104"/>
  <c r="D483" i="104"/>
  <c r="L471" i="104"/>
  <c r="D473" i="104"/>
  <c r="D462" i="104"/>
  <c r="L450" i="104"/>
  <c r="D452" i="104"/>
  <c r="D441" i="104"/>
  <c r="D436" i="104"/>
  <c r="L440" i="104"/>
  <c r="D420" i="104"/>
  <c r="D410" i="104"/>
  <c r="D389" i="104"/>
  <c r="D378" i="104"/>
  <c r="L372" i="104"/>
  <c r="L371" i="104"/>
  <c r="D368" i="104"/>
  <c r="D357" i="104"/>
  <c r="L345" i="104"/>
  <c r="D347" i="104"/>
  <c r="D336" i="104"/>
  <c r="L324" i="104"/>
  <c r="L325" i="104"/>
  <c r="D315" i="104"/>
  <c r="L303" i="104"/>
  <c r="L314" i="104"/>
  <c r="D294" i="104"/>
  <c r="L287" i="104"/>
  <c r="D284" i="104"/>
  <c r="L292" i="104"/>
  <c r="D268" i="104"/>
  <c r="D263" i="104"/>
  <c r="D252" i="104"/>
  <c r="L241" i="104"/>
  <c r="D231" i="104"/>
  <c r="L225" i="104"/>
  <c r="L224" i="104"/>
  <c r="L230" i="104"/>
  <c r="D210" i="104"/>
  <c r="L203" i="104"/>
  <c r="L199" i="104"/>
  <c r="D189" i="104"/>
  <c r="L177" i="104"/>
  <c r="D168" i="104"/>
  <c r="L162" i="104"/>
  <c r="D163" i="104"/>
  <c r="D158" i="104"/>
  <c r="L146" i="104"/>
  <c r="D147" i="104"/>
  <c r="L136" i="104"/>
  <c r="D137" i="104"/>
  <c r="D126" i="104"/>
  <c r="L114" i="104"/>
  <c r="B483" i="104"/>
  <c r="K472" i="104"/>
  <c r="B462" i="104"/>
  <c r="K451" i="104"/>
  <c r="K455" i="104"/>
  <c r="B441" i="104"/>
  <c r="K435" i="104"/>
  <c r="B436" i="104"/>
  <c r="B420" i="104"/>
  <c r="B410" i="104"/>
  <c r="B399" i="104"/>
  <c r="K393" i="104"/>
  <c r="K392" i="104"/>
  <c r="B378" i="104"/>
  <c r="K366" i="104"/>
  <c r="K351" i="104"/>
  <c r="B357" i="104"/>
  <c r="B347" i="104"/>
  <c r="B336" i="104"/>
  <c r="K325" i="104"/>
  <c r="B326" i="104"/>
  <c r="B315" i="104"/>
  <c r="K303" i="104"/>
  <c r="B294" i="104"/>
  <c r="K282" i="104"/>
  <c r="K293" i="104"/>
  <c r="K272" i="104"/>
  <c r="B273" i="104"/>
  <c r="K262" i="104"/>
  <c r="K266" i="104"/>
  <c r="B263" i="104"/>
  <c r="K251" i="104"/>
  <c r="B252" i="104"/>
  <c r="K246" i="104"/>
  <c r="B242" i="104"/>
  <c r="B231" i="104"/>
  <c r="K220" i="104"/>
  <c r="K224" i="104"/>
  <c r="B221" i="104"/>
  <c r="B210" i="104"/>
  <c r="K198" i="104"/>
  <c r="B200" i="104"/>
  <c r="B189" i="104"/>
  <c r="B184" i="104"/>
  <c r="B168" i="104"/>
  <c r="K161" i="104"/>
  <c r="K157" i="104"/>
  <c r="B147" i="104"/>
  <c r="K136" i="104"/>
  <c r="B142" i="104"/>
  <c r="B137" i="104"/>
  <c r="B126" i="104"/>
  <c r="K115" i="104"/>
  <c r="B116" i="104"/>
  <c r="F36" i="104"/>
  <c r="F35" i="104"/>
  <c r="D36" i="104"/>
  <c r="D35" i="104"/>
  <c r="B36" i="104"/>
  <c r="Y195" i="102"/>
  <c r="T195" i="102"/>
  <c r="O195" i="102"/>
  <c r="J195" i="102"/>
  <c r="E195" i="102"/>
  <c r="V194" i="102"/>
  <c r="Q194" i="102"/>
  <c r="L194" i="102"/>
  <c r="G194" i="102"/>
  <c r="B194" i="102"/>
  <c r="Y186" i="102"/>
  <c r="T186" i="102"/>
  <c r="O186" i="102"/>
  <c r="J186" i="102"/>
  <c r="E186" i="102"/>
  <c r="V185" i="102"/>
  <c r="Q185" i="102"/>
  <c r="L185" i="102"/>
  <c r="G185" i="102"/>
  <c r="B185" i="102"/>
  <c r="Y177" i="102"/>
  <c r="T177" i="102"/>
  <c r="O177" i="102"/>
  <c r="J177" i="102"/>
  <c r="E177" i="102"/>
  <c r="V176" i="102"/>
  <c r="Q176" i="102"/>
  <c r="L176" i="102"/>
  <c r="G176" i="102"/>
  <c r="B176" i="102"/>
  <c r="Y168" i="102"/>
  <c r="T168" i="102"/>
  <c r="O168" i="102"/>
  <c r="J168" i="102"/>
  <c r="E168" i="102"/>
  <c r="V167" i="102"/>
  <c r="Q167" i="102"/>
  <c r="L167" i="102"/>
  <c r="G167" i="102"/>
  <c r="B167" i="102"/>
  <c r="Y159" i="102"/>
  <c r="T159" i="102"/>
  <c r="O159" i="102"/>
  <c r="J159" i="102"/>
  <c r="E159" i="102"/>
  <c r="V158" i="102"/>
  <c r="Q158" i="102"/>
  <c r="L158" i="102"/>
  <c r="G158" i="102"/>
  <c r="B158" i="102"/>
  <c r="Y150" i="102"/>
  <c r="T150" i="102"/>
  <c r="O150" i="102"/>
  <c r="J150" i="102"/>
  <c r="E150" i="102"/>
  <c r="V149" i="102"/>
  <c r="Q149" i="102"/>
  <c r="L149" i="102"/>
  <c r="G149" i="102"/>
  <c r="B149" i="102"/>
  <c r="Y141" i="102"/>
  <c r="T141" i="102"/>
  <c r="O141" i="102"/>
  <c r="J141" i="102"/>
  <c r="E141" i="102"/>
  <c r="V140" i="102"/>
  <c r="Q140" i="102"/>
  <c r="L140" i="102"/>
  <c r="G140" i="102"/>
  <c r="B140" i="102"/>
  <c r="Y132" i="102"/>
  <c r="T132" i="102"/>
  <c r="O132" i="102"/>
  <c r="J132" i="102"/>
  <c r="E132" i="102"/>
  <c r="V131" i="102"/>
  <c r="Q131" i="102"/>
  <c r="L131" i="102"/>
  <c r="G131" i="102"/>
  <c r="B131" i="102"/>
  <c r="Y123" i="102"/>
  <c r="T123" i="102"/>
  <c r="O123" i="102"/>
  <c r="J123" i="102"/>
  <c r="E123" i="102"/>
  <c r="V122" i="102"/>
  <c r="Q122" i="102"/>
  <c r="L122" i="102"/>
  <c r="G122" i="102"/>
  <c r="B122" i="102"/>
  <c r="Y114" i="102"/>
  <c r="T114" i="102"/>
  <c r="O114" i="102"/>
  <c r="J114" i="102"/>
  <c r="E114" i="102"/>
  <c r="V113" i="102"/>
  <c r="Q113" i="102"/>
  <c r="L113" i="102"/>
  <c r="G113" i="102"/>
  <c r="B113" i="102"/>
  <c r="Y105" i="102"/>
  <c r="T105" i="102"/>
  <c r="O105" i="102"/>
  <c r="J105" i="102"/>
  <c r="E105" i="102"/>
  <c r="V104" i="102"/>
  <c r="Q104" i="102"/>
  <c r="L104" i="102"/>
  <c r="G104" i="102"/>
  <c r="B104" i="102"/>
  <c r="Y96" i="102"/>
  <c r="T96" i="102"/>
  <c r="O96" i="102"/>
  <c r="J96" i="102"/>
  <c r="E96" i="102"/>
  <c r="V95" i="102"/>
  <c r="Q95" i="102"/>
  <c r="L95" i="102"/>
  <c r="G95" i="102"/>
  <c r="B95" i="102"/>
  <c r="Y87" i="102"/>
  <c r="T87" i="102"/>
  <c r="O87" i="102"/>
  <c r="J87" i="102"/>
  <c r="E87" i="102"/>
  <c r="V86" i="102"/>
  <c r="Q86" i="102"/>
  <c r="L86" i="102"/>
  <c r="G86" i="102"/>
  <c r="B86" i="102"/>
  <c r="Y78" i="102"/>
  <c r="T78" i="102"/>
  <c r="O78" i="102"/>
  <c r="J78" i="102"/>
  <c r="E78" i="102"/>
  <c r="V77" i="102"/>
  <c r="Q77" i="102"/>
  <c r="L77" i="102"/>
  <c r="G77" i="102"/>
  <c r="B77" i="102"/>
  <c r="Y69" i="102"/>
  <c r="T69" i="102"/>
  <c r="O69" i="102"/>
  <c r="J69" i="102"/>
  <c r="E69" i="102"/>
  <c r="V68" i="102"/>
  <c r="Q68" i="102"/>
  <c r="L68" i="102"/>
  <c r="G68" i="102"/>
  <c r="B68" i="102"/>
  <c r="Y60" i="102"/>
  <c r="T60" i="102"/>
  <c r="O60" i="102"/>
  <c r="J60" i="102"/>
  <c r="E60" i="102"/>
  <c r="V59" i="102"/>
  <c r="Q59" i="102"/>
  <c r="L59" i="102"/>
  <c r="G59" i="102"/>
  <c r="B59" i="102"/>
  <c r="Y51" i="102"/>
  <c r="T51" i="102"/>
  <c r="O51" i="102"/>
  <c r="J51" i="102"/>
  <c r="E51" i="102"/>
  <c r="V50" i="102"/>
  <c r="Q50" i="102"/>
  <c r="L50" i="102"/>
  <c r="G50" i="102"/>
  <c r="B50" i="102"/>
  <c r="Y42" i="102"/>
  <c r="T42" i="102"/>
  <c r="O42" i="102"/>
  <c r="J42" i="102"/>
  <c r="E42" i="102"/>
  <c r="V41" i="102"/>
  <c r="Q41" i="102"/>
  <c r="L41" i="102"/>
  <c r="G41" i="102"/>
  <c r="B41" i="102"/>
  <c r="Y33" i="102"/>
  <c r="T33" i="102"/>
  <c r="O33" i="102"/>
  <c r="J33" i="102"/>
  <c r="E33" i="102"/>
  <c r="V32" i="102"/>
  <c r="Q32" i="102"/>
  <c r="L32" i="102"/>
  <c r="G32" i="102"/>
  <c r="B32" i="102"/>
  <c r="Y24" i="102"/>
  <c r="T24" i="102"/>
  <c r="O24" i="102"/>
  <c r="J24" i="102"/>
  <c r="E24" i="102"/>
  <c r="V23" i="102"/>
  <c r="Q23" i="102"/>
  <c r="L23" i="102"/>
  <c r="G23" i="102"/>
  <c r="B23" i="102"/>
  <c r="Q14" i="102"/>
  <c r="T15" i="102"/>
  <c r="S6" i="102"/>
  <c r="R6" i="102"/>
  <c r="Q6" i="102"/>
  <c r="G14" i="102"/>
  <c r="J15" i="102"/>
  <c r="I6" i="102"/>
  <c r="H6" i="102"/>
  <c r="G6" i="102"/>
  <c r="F41" i="104"/>
  <c r="F40" i="104"/>
  <c r="D41" i="104"/>
  <c r="D40" i="104"/>
  <c r="B41" i="104"/>
  <c r="B40" i="104"/>
  <c r="F68" i="104"/>
  <c r="F89" i="104"/>
  <c r="F110" i="104"/>
  <c r="F131" i="104"/>
  <c r="F152" i="104"/>
  <c r="F173" i="104"/>
  <c r="F194" i="104"/>
  <c r="F215" i="104"/>
  <c r="F236" i="104"/>
  <c r="F257" i="104"/>
  <c r="F278" i="104"/>
  <c r="F299" i="104"/>
  <c r="F320" i="104"/>
  <c r="F341" i="104"/>
  <c r="F362" i="104"/>
  <c r="F383" i="104"/>
  <c r="F404" i="104"/>
  <c r="F425" i="104"/>
  <c r="F446" i="104"/>
  <c r="F467" i="104"/>
  <c r="F47" i="104"/>
  <c r="F26" i="104"/>
  <c r="F5" i="104"/>
  <c r="F31" i="104"/>
  <c r="F30" i="104"/>
  <c r="D31" i="104"/>
  <c r="D30" i="104"/>
  <c r="B31" i="104"/>
  <c r="M482" i="104"/>
  <c r="L482" i="104"/>
  <c r="M481" i="104"/>
  <c r="L481" i="104"/>
  <c r="K481" i="104"/>
  <c r="M477" i="104"/>
  <c r="L477" i="104"/>
  <c r="K477" i="104"/>
  <c r="L472" i="104"/>
  <c r="M471" i="104"/>
  <c r="K471" i="104"/>
  <c r="L461" i="104"/>
  <c r="M460" i="104"/>
  <c r="L460" i="104"/>
  <c r="K460" i="104"/>
  <c r="L456" i="104"/>
  <c r="K456" i="104"/>
  <c r="M451" i="104"/>
  <c r="L451" i="104"/>
  <c r="M440" i="104"/>
  <c r="K440" i="104"/>
  <c r="M439" i="104"/>
  <c r="L439" i="104"/>
  <c r="K439" i="104"/>
  <c r="M435" i="104"/>
  <c r="L435" i="104"/>
  <c r="L434" i="104"/>
  <c r="K434" i="104"/>
  <c r="M430" i="104"/>
  <c r="M429" i="104"/>
  <c r="L429" i="104"/>
  <c r="K429" i="104"/>
  <c r="K419" i="104"/>
  <c r="M418" i="104"/>
  <c r="L418" i="104"/>
  <c r="K418" i="104"/>
  <c r="M414" i="104"/>
  <c r="L414" i="104"/>
  <c r="K414" i="104"/>
  <c r="M413" i="104"/>
  <c r="L413" i="104"/>
  <c r="M409" i="104"/>
  <c r="L408" i="104"/>
  <c r="K408" i="104"/>
  <c r="L398" i="104"/>
  <c r="M397" i="104"/>
  <c r="L397" i="104"/>
  <c r="K397" i="104"/>
  <c r="M393" i="104"/>
  <c r="M392" i="104"/>
  <c r="L392" i="104"/>
  <c r="K387" i="104"/>
  <c r="L377" i="104"/>
  <c r="M376" i="104"/>
  <c r="L376" i="104"/>
  <c r="K376" i="104"/>
  <c r="K372" i="104"/>
  <c r="K371" i="104"/>
  <c r="M366" i="104"/>
  <c r="L356" i="104"/>
  <c r="M355" i="104"/>
  <c r="K355" i="104"/>
  <c r="L351" i="104"/>
  <c r="K350" i="104"/>
  <c r="L346" i="104"/>
  <c r="K345" i="104"/>
  <c r="K335" i="104"/>
  <c r="M334" i="104"/>
  <c r="L334" i="104"/>
  <c r="K334" i="104"/>
  <c r="M330" i="104"/>
  <c r="L330" i="104"/>
  <c r="K330" i="104"/>
  <c r="M314" i="104"/>
  <c r="M313" i="104"/>
  <c r="K313" i="104"/>
  <c r="L309" i="104"/>
  <c r="K309" i="104"/>
  <c r="M308" i="104"/>
  <c r="K308" i="104"/>
  <c r="L304" i="104"/>
  <c r="K304" i="104"/>
  <c r="M293" i="104"/>
  <c r="L293" i="104"/>
  <c r="M292" i="104"/>
  <c r="L288" i="104"/>
  <c r="K287" i="104"/>
  <c r="L283" i="104"/>
  <c r="M271" i="104"/>
  <c r="K271" i="104"/>
  <c r="M267" i="104"/>
  <c r="K267" i="104"/>
  <c r="M266" i="104"/>
  <c r="L262" i="104"/>
  <c r="M250" i="104"/>
  <c r="L250" i="104"/>
  <c r="K250" i="104"/>
  <c r="L245" i="104"/>
  <c r="K245" i="104"/>
  <c r="K241" i="104"/>
  <c r="L240" i="104"/>
  <c r="K240" i="104"/>
  <c r="M230" i="104"/>
  <c r="M229" i="104"/>
  <c r="L229" i="104"/>
  <c r="K229" i="104"/>
  <c r="K225" i="104"/>
  <c r="M220" i="104"/>
  <c r="K209" i="104"/>
  <c r="M208" i="104"/>
  <c r="L208" i="104"/>
  <c r="K208" i="104"/>
  <c r="L204" i="104"/>
  <c r="K204" i="104"/>
  <c r="M199" i="104"/>
  <c r="K199" i="104"/>
  <c r="M187" i="104"/>
  <c r="L187" i="104"/>
  <c r="K187" i="104"/>
  <c r="L183" i="104"/>
  <c r="K183" i="104"/>
  <c r="K177" i="104"/>
  <c r="M166" i="104"/>
  <c r="L166" i="104"/>
  <c r="K166" i="104"/>
  <c r="K162" i="104"/>
  <c r="L161" i="104"/>
  <c r="M156" i="104"/>
  <c r="L156" i="104"/>
  <c r="K156" i="104"/>
  <c r="K146" i="104"/>
  <c r="M145" i="104"/>
  <c r="L145" i="104"/>
  <c r="K145" i="104"/>
  <c r="L140" i="104"/>
  <c r="M136" i="104"/>
  <c r="K135" i="104"/>
  <c r="M124" i="104"/>
  <c r="L124" i="104"/>
  <c r="K124" i="104"/>
  <c r="K120" i="104"/>
  <c r="L119" i="104"/>
  <c r="M115" i="104"/>
  <c r="A480" i="104"/>
  <c r="A475" i="104"/>
  <c r="A470" i="104"/>
  <c r="A459" i="104"/>
  <c r="A454" i="104"/>
  <c r="A449" i="104"/>
  <c r="A438" i="104"/>
  <c r="A433" i="104"/>
  <c r="A428" i="104"/>
  <c r="A417" i="104"/>
  <c r="A412" i="104"/>
  <c r="A407" i="104"/>
  <c r="A396" i="104"/>
  <c r="A391" i="104"/>
  <c r="A386" i="104"/>
  <c r="A375" i="104"/>
  <c r="A370" i="104"/>
  <c r="A365" i="104"/>
  <c r="A354" i="104"/>
  <c r="A349" i="104"/>
  <c r="A344" i="104"/>
  <c r="A333" i="104"/>
  <c r="A328" i="104"/>
  <c r="A323" i="104"/>
  <c r="A312" i="104"/>
  <c r="A307" i="104"/>
  <c r="A302" i="104"/>
  <c r="A291" i="104"/>
  <c r="A286" i="104"/>
  <c r="A281" i="104"/>
  <c r="A270" i="104"/>
  <c r="A265" i="104"/>
  <c r="A260" i="104"/>
  <c r="A249" i="104"/>
  <c r="A244" i="104"/>
  <c r="A239" i="104"/>
  <c r="A228" i="104"/>
  <c r="A223" i="104"/>
  <c r="A218" i="104"/>
  <c r="A207" i="104"/>
  <c r="A202" i="104"/>
  <c r="A197" i="104"/>
  <c r="A186" i="104"/>
  <c r="A181" i="104"/>
  <c r="A176" i="104"/>
  <c r="A165" i="104"/>
  <c r="A160" i="104"/>
  <c r="A155" i="104"/>
  <c r="A144" i="104"/>
  <c r="A139" i="104"/>
  <c r="A134" i="104"/>
  <c r="A123" i="104"/>
  <c r="A118" i="104"/>
  <c r="A113" i="104"/>
  <c r="A102" i="104"/>
  <c r="A97" i="104"/>
  <c r="A92" i="104"/>
  <c r="A81" i="104"/>
  <c r="A76" i="104"/>
  <c r="A71" i="104"/>
  <c r="A60" i="104"/>
  <c r="A55" i="104"/>
  <c r="A50" i="104"/>
  <c r="A39" i="104"/>
  <c r="A34" i="104"/>
  <c r="A29" i="104"/>
  <c r="K18" i="104"/>
  <c r="K13" i="104"/>
  <c r="K8" i="104"/>
  <c r="B9" i="104" l="1"/>
  <c r="K99" i="104"/>
  <c r="K118" i="104"/>
  <c r="K370" i="104"/>
  <c r="K160" i="104"/>
  <c r="K328" i="104"/>
  <c r="K134" i="104"/>
  <c r="K218" i="104"/>
  <c r="K386" i="104"/>
  <c r="K470" i="104"/>
  <c r="M315" i="104"/>
  <c r="K139" i="104"/>
  <c r="M73" i="104"/>
  <c r="M31" i="104"/>
  <c r="K29" i="104"/>
  <c r="K113" i="104"/>
  <c r="K197" i="104"/>
  <c r="K365" i="104"/>
  <c r="K449" i="104"/>
  <c r="K34" i="104"/>
  <c r="K202" i="104"/>
  <c r="M36" i="104"/>
  <c r="K81" i="104"/>
  <c r="K155" i="104"/>
  <c r="K323" i="104"/>
  <c r="K60" i="104"/>
  <c r="K55" i="104"/>
  <c r="K223" i="104"/>
  <c r="K391" i="104"/>
  <c r="K186" i="104"/>
  <c r="K354" i="104"/>
  <c r="K417" i="104"/>
  <c r="K181" i="104"/>
  <c r="K349" i="104"/>
  <c r="F63" i="104"/>
  <c r="M82" i="104"/>
  <c r="K291" i="104"/>
  <c r="K286" i="104"/>
  <c r="K454" i="104"/>
  <c r="K102" i="104"/>
  <c r="K270" i="104"/>
  <c r="K438" i="104"/>
  <c r="K97" i="104"/>
  <c r="K265" i="104"/>
  <c r="K433" i="104"/>
  <c r="K76" i="104"/>
  <c r="K244" i="104"/>
  <c r="K312" i="104"/>
  <c r="K412" i="104"/>
  <c r="K480" i="104"/>
  <c r="K307" i="104"/>
  <c r="K475" i="104"/>
  <c r="K39" i="104"/>
  <c r="K375" i="104"/>
  <c r="K207" i="104"/>
  <c r="K123" i="104"/>
  <c r="K144" i="104"/>
  <c r="K344" i="104"/>
  <c r="K176" i="104"/>
  <c r="K239" i="104"/>
  <c r="K407" i="104"/>
  <c r="K302" i="104"/>
  <c r="K92" i="104"/>
  <c r="K260" i="104"/>
  <c r="K428" i="104"/>
  <c r="K50" i="104"/>
  <c r="K228" i="104"/>
  <c r="K396" i="104"/>
  <c r="K333" i="104"/>
  <c r="K71" i="104"/>
  <c r="K165" i="104"/>
  <c r="K249" i="104"/>
  <c r="K459" i="104"/>
  <c r="K281" i="104"/>
  <c r="B14" i="104"/>
  <c r="F42" i="104"/>
  <c r="F20" i="104"/>
  <c r="H35" i="104"/>
  <c r="K103" i="104"/>
  <c r="M98" i="104"/>
  <c r="H483" i="104"/>
  <c r="C482" i="104" s="1"/>
  <c r="L103" i="104"/>
  <c r="H98" i="104"/>
  <c r="H82" i="104"/>
  <c r="K51" i="104"/>
  <c r="D37" i="104"/>
  <c r="H30" i="104"/>
  <c r="K77" i="104"/>
  <c r="H126" i="104"/>
  <c r="E125" i="104" s="1"/>
  <c r="H273" i="104"/>
  <c r="G271" i="104" s="1"/>
  <c r="B84" i="104"/>
  <c r="K72" i="104"/>
  <c r="L62" i="104"/>
  <c r="H41" i="104"/>
  <c r="B63" i="104"/>
  <c r="D63" i="104"/>
  <c r="K57" i="104"/>
  <c r="D100" i="104"/>
  <c r="H221" i="104"/>
  <c r="G220" i="104" s="1"/>
  <c r="F53" i="104"/>
  <c r="F84" i="104"/>
  <c r="B79" i="104"/>
  <c r="D84" i="104"/>
  <c r="H62" i="104"/>
  <c r="L78" i="104"/>
  <c r="M57" i="104"/>
  <c r="H452" i="104"/>
  <c r="E450" i="104" s="1"/>
  <c r="H83" i="104"/>
  <c r="D105" i="104"/>
  <c r="K56" i="104"/>
  <c r="M78" i="104"/>
  <c r="F37" i="104"/>
  <c r="H51" i="104"/>
  <c r="H56" i="104"/>
  <c r="H179" i="104"/>
  <c r="C178" i="104" s="1"/>
  <c r="H205" i="104"/>
  <c r="C204" i="104" s="1"/>
  <c r="H263" i="104"/>
  <c r="C261" i="104" s="1"/>
  <c r="H289" i="104"/>
  <c r="G287" i="104" s="1"/>
  <c r="H57" i="104"/>
  <c r="L82" i="104"/>
  <c r="H72" i="104"/>
  <c r="M72" i="104"/>
  <c r="H77" i="104"/>
  <c r="H93" i="104"/>
  <c r="M103" i="104"/>
  <c r="K31" i="104"/>
  <c r="K61" i="104"/>
  <c r="H104" i="104"/>
  <c r="H103" i="104"/>
  <c r="B105" i="104"/>
  <c r="K30" i="104"/>
  <c r="M93" i="104"/>
  <c r="D9" i="104"/>
  <c r="K35" i="104"/>
  <c r="H40" i="104"/>
  <c r="L83" i="104"/>
  <c r="M62" i="104"/>
  <c r="N439" i="104"/>
  <c r="H121" i="104"/>
  <c r="I119" i="104" s="1"/>
  <c r="H462" i="104"/>
  <c r="G460" i="104" s="1"/>
  <c r="H36" i="104"/>
  <c r="M99" i="104"/>
  <c r="M52" i="104"/>
  <c r="H389" i="104"/>
  <c r="I388" i="104" s="1"/>
  <c r="H415" i="104"/>
  <c r="C414" i="104" s="1"/>
  <c r="H61" i="104"/>
  <c r="F105" i="104"/>
  <c r="H394" i="104"/>
  <c r="C392" i="104" s="1"/>
  <c r="H478" i="104"/>
  <c r="C477" i="104" s="1"/>
  <c r="K98" i="104"/>
  <c r="H331" i="104"/>
  <c r="C329" i="104" s="1"/>
  <c r="H99" i="104"/>
  <c r="K93" i="104"/>
  <c r="K78" i="104"/>
  <c r="H78" i="104"/>
  <c r="N481" i="104"/>
  <c r="H431" i="104"/>
  <c r="G431" i="104" s="1"/>
  <c r="H441" i="104"/>
  <c r="I441" i="104" s="1"/>
  <c r="N414" i="104"/>
  <c r="H420" i="104"/>
  <c r="E418" i="104" s="1"/>
  <c r="H410" i="104"/>
  <c r="E408" i="104" s="1"/>
  <c r="H399" i="104"/>
  <c r="I398" i="104" s="1"/>
  <c r="N376" i="104"/>
  <c r="H378" i="104"/>
  <c r="E377" i="104" s="1"/>
  <c r="H357" i="104"/>
  <c r="I356" i="104" s="1"/>
  <c r="N330" i="104"/>
  <c r="H336" i="104"/>
  <c r="G334" i="104" s="1"/>
  <c r="H315" i="104"/>
  <c r="I313" i="104" s="1"/>
  <c r="H305" i="104"/>
  <c r="I303" i="104" s="1"/>
  <c r="L294" i="104"/>
  <c r="H294" i="104"/>
  <c r="I293" i="104" s="1"/>
  <c r="H284" i="104"/>
  <c r="E283" i="104" s="1"/>
  <c r="H268" i="104"/>
  <c r="C267" i="104" s="1"/>
  <c r="N250" i="104"/>
  <c r="H252" i="104"/>
  <c r="C251" i="104" s="1"/>
  <c r="H231" i="104"/>
  <c r="E230" i="104" s="1"/>
  <c r="H210" i="104"/>
  <c r="I210" i="104" s="1"/>
  <c r="H189" i="104"/>
  <c r="C187" i="104" s="1"/>
  <c r="N166" i="104"/>
  <c r="H168" i="104"/>
  <c r="I167" i="104" s="1"/>
  <c r="H158" i="104"/>
  <c r="G156" i="104" s="1"/>
  <c r="N145" i="104"/>
  <c r="H142" i="104"/>
  <c r="C140" i="104" s="1"/>
  <c r="H147" i="104"/>
  <c r="I147" i="104" s="1"/>
  <c r="H137" i="104"/>
  <c r="G137" i="104" s="1"/>
  <c r="N124" i="104"/>
  <c r="H94" i="104"/>
  <c r="L104" i="104"/>
  <c r="H73" i="104"/>
  <c r="B53" i="104"/>
  <c r="H52" i="104"/>
  <c r="H473" i="104"/>
  <c r="E472" i="104" s="1"/>
  <c r="H457" i="104"/>
  <c r="I457" i="104" s="1"/>
  <c r="H436" i="104"/>
  <c r="E436" i="104" s="1"/>
  <c r="H368" i="104"/>
  <c r="C367" i="104" s="1"/>
  <c r="H373" i="104"/>
  <c r="I371" i="104" s="1"/>
  <c r="H347" i="104"/>
  <c r="G346" i="104" s="1"/>
  <c r="H352" i="104"/>
  <c r="I351" i="104" s="1"/>
  <c r="H326" i="104"/>
  <c r="G325" i="104" s="1"/>
  <c r="H310" i="104"/>
  <c r="G308" i="104" s="1"/>
  <c r="H247" i="104"/>
  <c r="G245" i="104" s="1"/>
  <c r="H242" i="104"/>
  <c r="H226" i="104"/>
  <c r="H200" i="104"/>
  <c r="G200" i="104" s="1"/>
  <c r="H184" i="104"/>
  <c r="E182" i="104" s="1"/>
  <c r="H163" i="104"/>
  <c r="I162" i="104" s="1"/>
  <c r="H116" i="104"/>
  <c r="C115" i="104" s="1"/>
  <c r="M483" i="104"/>
  <c r="M472" i="104"/>
  <c r="N472" i="104" s="1"/>
  <c r="F478" i="104"/>
  <c r="M476" i="104"/>
  <c r="F452" i="104"/>
  <c r="F457" i="104"/>
  <c r="M455" i="104"/>
  <c r="M441" i="104"/>
  <c r="F436" i="104"/>
  <c r="M436" i="104" s="1"/>
  <c r="N429" i="104"/>
  <c r="M415" i="104"/>
  <c r="F410" i="104"/>
  <c r="N418" i="104"/>
  <c r="N408" i="104"/>
  <c r="M419" i="104"/>
  <c r="F389" i="104"/>
  <c r="F394" i="104"/>
  <c r="M387" i="104"/>
  <c r="M388" i="104"/>
  <c r="N397" i="104"/>
  <c r="M373" i="104"/>
  <c r="F368" i="104"/>
  <c r="M371" i="104"/>
  <c r="N371" i="104" s="1"/>
  <c r="M377" i="104"/>
  <c r="M372" i="104"/>
  <c r="N372" i="104" s="1"/>
  <c r="F347" i="104"/>
  <c r="M350" i="104"/>
  <c r="F352" i="104"/>
  <c r="M352" i="104" s="1"/>
  <c r="M356" i="104"/>
  <c r="M345" i="104"/>
  <c r="N345" i="104" s="1"/>
  <c r="M351" i="104"/>
  <c r="N351" i="104" s="1"/>
  <c r="F326" i="104"/>
  <c r="M324" i="104"/>
  <c r="M325" i="104"/>
  <c r="N325" i="104" s="1"/>
  <c r="F331" i="104"/>
  <c r="M335" i="104"/>
  <c r="F310" i="104"/>
  <c r="M310" i="104" s="1"/>
  <c r="M309" i="104"/>
  <c r="N309" i="104" s="1"/>
  <c r="M303" i="104"/>
  <c r="N303" i="104" s="1"/>
  <c r="M294" i="104"/>
  <c r="F289" i="104"/>
  <c r="M282" i="104"/>
  <c r="M288" i="104"/>
  <c r="F263" i="104"/>
  <c r="M262" i="104"/>
  <c r="N262" i="104" s="1"/>
  <c r="F268" i="104"/>
  <c r="N240" i="104"/>
  <c r="M245" i="104"/>
  <c r="N245" i="104" s="1"/>
  <c r="F247" i="104"/>
  <c r="M246" i="104"/>
  <c r="F242" i="104"/>
  <c r="M252" i="104" s="1"/>
  <c r="M231" i="104"/>
  <c r="F226" i="104"/>
  <c r="M219" i="104"/>
  <c r="M210" i="104"/>
  <c r="F205" i="104"/>
  <c r="M209" i="104"/>
  <c r="M203" i="104"/>
  <c r="M198" i="104"/>
  <c r="M204" i="104"/>
  <c r="N204" i="104" s="1"/>
  <c r="M183" i="104"/>
  <c r="N183" i="104" s="1"/>
  <c r="F184" i="104"/>
  <c r="M177" i="104"/>
  <c r="N177" i="104" s="1"/>
  <c r="F179" i="104"/>
  <c r="F163" i="104"/>
  <c r="F158" i="104"/>
  <c r="M167" i="104"/>
  <c r="M157" i="104"/>
  <c r="M147" i="104"/>
  <c r="M135" i="104"/>
  <c r="F142" i="104"/>
  <c r="M142" i="104" s="1"/>
  <c r="M140" i="104"/>
  <c r="F116" i="104"/>
  <c r="F121" i="104"/>
  <c r="M119" i="104"/>
  <c r="F95" i="104"/>
  <c r="F100" i="104"/>
  <c r="M104" i="104"/>
  <c r="M94" i="104"/>
  <c r="F74" i="104"/>
  <c r="F14" i="104"/>
  <c r="F79" i="104"/>
  <c r="M77" i="104"/>
  <c r="M83" i="104"/>
  <c r="F58" i="104"/>
  <c r="F15" i="104"/>
  <c r="M51" i="104"/>
  <c r="M56" i="104"/>
  <c r="L483" i="104"/>
  <c r="D478" i="104"/>
  <c r="N471" i="104"/>
  <c r="L476" i="104"/>
  <c r="N477" i="104"/>
  <c r="L462" i="104"/>
  <c r="D457" i="104"/>
  <c r="L455" i="104"/>
  <c r="N460" i="104"/>
  <c r="N456" i="104"/>
  <c r="L436" i="104"/>
  <c r="D431" i="104"/>
  <c r="L430" i="104"/>
  <c r="N435" i="104"/>
  <c r="L420" i="104"/>
  <c r="L409" i="104"/>
  <c r="L419" i="104"/>
  <c r="D415" i="104"/>
  <c r="L393" i="104"/>
  <c r="N393" i="104" s="1"/>
  <c r="D394" i="104"/>
  <c r="L388" i="104"/>
  <c r="D399" i="104"/>
  <c r="L387" i="104"/>
  <c r="L378" i="104"/>
  <c r="L366" i="104"/>
  <c r="N366" i="104" s="1"/>
  <c r="D373" i="104"/>
  <c r="L367" i="104"/>
  <c r="L357" i="104"/>
  <c r="D352" i="104"/>
  <c r="L350" i="104"/>
  <c r="L355" i="104"/>
  <c r="N355" i="104" s="1"/>
  <c r="D326" i="104"/>
  <c r="L335" i="104"/>
  <c r="D331" i="104"/>
  <c r="L329" i="104"/>
  <c r="D305" i="104"/>
  <c r="D310" i="104"/>
  <c r="L308" i="104"/>
  <c r="N308" i="104" s="1"/>
  <c r="D19" i="104"/>
  <c r="N304" i="104"/>
  <c r="L313" i="104"/>
  <c r="N313" i="104" s="1"/>
  <c r="D289" i="104"/>
  <c r="L282" i="104"/>
  <c r="N293" i="104"/>
  <c r="L263" i="104"/>
  <c r="L266" i="104"/>
  <c r="N266" i="104" s="1"/>
  <c r="D273" i="104"/>
  <c r="L261" i="104"/>
  <c r="L271" i="104"/>
  <c r="N271" i="104" s="1"/>
  <c r="L267" i="104"/>
  <c r="N267" i="104" s="1"/>
  <c r="L272" i="104"/>
  <c r="N272" i="104" s="1"/>
  <c r="D242" i="104"/>
  <c r="L246" i="104"/>
  <c r="L251" i="104"/>
  <c r="N251" i="104" s="1"/>
  <c r="D247" i="104"/>
  <c r="L247" i="104" s="1"/>
  <c r="D221" i="104"/>
  <c r="D226" i="104"/>
  <c r="N225" i="104"/>
  <c r="L219" i="104"/>
  <c r="L220" i="104"/>
  <c r="N220" i="104" s="1"/>
  <c r="D200" i="104"/>
  <c r="L209" i="104"/>
  <c r="D205" i="104"/>
  <c r="L198" i="104"/>
  <c r="N208" i="104"/>
  <c r="D184" i="104"/>
  <c r="L184" i="104" s="1"/>
  <c r="L178" i="104"/>
  <c r="N187" i="104"/>
  <c r="L188" i="104"/>
  <c r="L182" i="104"/>
  <c r="D179" i="104"/>
  <c r="L158" i="104"/>
  <c r="L168" i="104"/>
  <c r="L163" i="104"/>
  <c r="L157" i="104"/>
  <c r="L167" i="104"/>
  <c r="N162" i="104"/>
  <c r="L147" i="104"/>
  <c r="L141" i="104"/>
  <c r="N146" i="104"/>
  <c r="D142" i="104"/>
  <c r="L135" i="104"/>
  <c r="D116" i="104"/>
  <c r="L126" i="104" s="1"/>
  <c r="D121" i="104"/>
  <c r="L115" i="104"/>
  <c r="N115" i="104" s="1"/>
  <c r="L120" i="104"/>
  <c r="N120" i="104" s="1"/>
  <c r="L125" i="104"/>
  <c r="L93" i="104"/>
  <c r="L98" i="104"/>
  <c r="D14" i="104"/>
  <c r="D95" i="104"/>
  <c r="D15" i="104"/>
  <c r="L94" i="104"/>
  <c r="L99" i="104"/>
  <c r="D20" i="104"/>
  <c r="D79" i="104"/>
  <c r="L72" i="104"/>
  <c r="L77" i="104"/>
  <c r="D74" i="104"/>
  <c r="L73" i="104"/>
  <c r="D58" i="104"/>
  <c r="L56" i="104"/>
  <c r="D10" i="104"/>
  <c r="L51" i="104"/>
  <c r="L52" i="104"/>
  <c r="L57" i="104"/>
  <c r="K482" i="104"/>
  <c r="N482" i="104" s="1"/>
  <c r="B478" i="104"/>
  <c r="B473" i="104"/>
  <c r="K476" i="104"/>
  <c r="B452" i="104"/>
  <c r="K450" i="104"/>
  <c r="N450" i="104" s="1"/>
  <c r="B457" i="104"/>
  <c r="K457" i="104" s="1"/>
  <c r="N451" i="104"/>
  <c r="K461" i="104"/>
  <c r="N461" i="104" s="1"/>
  <c r="K436" i="104"/>
  <c r="N440" i="104"/>
  <c r="B431" i="104"/>
  <c r="K430" i="104"/>
  <c r="N434" i="104"/>
  <c r="K420" i="104"/>
  <c r="K409" i="104"/>
  <c r="K413" i="104"/>
  <c r="N413" i="104" s="1"/>
  <c r="B415" i="104"/>
  <c r="K398" i="104"/>
  <c r="N398" i="104" s="1"/>
  <c r="B389" i="104"/>
  <c r="B394" i="104"/>
  <c r="K388" i="104"/>
  <c r="N392" i="104"/>
  <c r="B368" i="104"/>
  <c r="B373" i="104"/>
  <c r="K377" i="104"/>
  <c r="K367" i="104"/>
  <c r="K357" i="104"/>
  <c r="K356" i="104"/>
  <c r="B352" i="104"/>
  <c r="K352" i="104" s="1"/>
  <c r="K346" i="104"/>
  <c r="N346" i="104" s="1"/>
  <c r="K336" i="104"/>
  <c r="N334" i="104"/>
  <c r="K324" i="104"/>
  <c r="B331" i="104"/>
  <c r="K329" i="104"/>
  <c r="B310" i="104"/>
  <c r="B305" i="104"/>
  <c r="K314" i="104"/>
  <c r="N314" i="104" s="1"/>
  <c r="N287" i="104"/>
  <c r="K292" i="104"/>
  <c r="N292" i="104" s="1"/>
  <c r="K288" i="104"/>
  <c r="B289" i="104"/>
  <c r="B284" i="104"/>
  <c r="K283" i="104"/>
  <c r="N283" i="104" s="1"/>
  <c r="K273" i="104"/>
  <c r="K261" i="104"/>
  <c r="B268" i="104"/>
  <c r="K252" i="104"/>
  <c r="B247" i="104"/>
  <c r="N241" i="104"/>
  <c r="K231" i="104"/>
  <c r="K230" i="104"/>
  <c r="N230" i="104" s="1"/>
  <c r="K219" i="104"/>
  <c r="B226" i="104"/>
  <c r="N229" i="104"/>
  <c r="N224" i="104"/>
  <c r="K210" i="104"/>
  <c r="K203" i="104"/>
  <c r="N199" i="104"/>
  <c r="B205" i="104"/>
  <c r="K184" i="104"/>
  <c r="B179" i="104"/>
  <c r="K182" i="104"/>
  <c r="K178" i="104"/>
  <c r="K188" i="104"/>
  <c r="K167" i="104"/>
  <c r="B163" i="104"/>
  <c r="N156" i="104"/>
  <c r="B158" i="104"/>
  <c r="N161" i="104"/>
  <c r="K137" i="104"/>
  <c r="K147" i="104"/>
  <c r="K142" i="104"/>
  <c r="K140" i="104"/>
  <c r="N136" i="104"/>
  <c r="K141" i="104"/>
  <c r="K126" i="104"/>
  <c r="K125" i="104"/>
  <c r="K114" i="104"/>
  <c r="N114" i="104" s="1"/>
  <c r="B121" i="104"/>
  <c r="K121" i="104" s="1"/>
  <c r="K119" i="104"/>
  <c r="B95" i="104"/>
  <c r="B15" i="104"/>
  <c r="B100" i="104"/>
  <c r="K104" i="104"/>
  <c r="K94" i="104"/>
  <c r="K73" i="104"/>
  <c r="K82" i="104"/>
  <c r="B74" i="104"/>
  <c r="K83" i="104"/>
  <c r="K52" i="104"/>
  <c r="B58" i="104"/>
  <c r="K62" i="104"/>
  <c r="B10" i="104"/>
  <c r="M61" i="104"/>
  <c r="F9" i="104"/>
  <c r="B37" i="104"/>
  <c r="L40" i="104"/>
  <c r="B32" i="104"/>
  <c r="K41" i="104"/>
  <c r="M41" i="104"/>
  <c r="L31" i="104"/>
  <c r="D32" i="104"/>
  <c r="M40" i="104"/>
  <c r="L41" i="104"/>
  <c r="M35" i="104"/>
  <c r="K36" i="104"/>
  <c r="L36" i="104"/>
  <c r="F19" i="104"/>
  <c r="D42" i="104"/>
  <c r="B20" i="104"/>
  <c r="L35" i="104"/>
  <c r="H31" i="104"/>
  <c r="F32" i="104"/>
  <c r="B42" i="104"/>
  <c r="M30" i="104"/>
  <c r="F10" i="104"/>
  <c r="B19" i="104"/>
  <c r="K40" i="104"/>
  <c r="L30" i="104"/>
  <c r="E119" i="104" l="1"/>
  <c r="I220" i="104"/>
  <c r="C263" i="104"/>
  <c r="H79" i="104"/>
  <c r="G77" i="104" s="1"/>
  <c r="E483" i="104"/>
  <c r="M20" i="104"/>
  <c r="H84" i="104"/>
  <c r="E84" i="104" s="1"/>
  <c r="G450" i="104"/>
  <c r="C451" i="104"/>
  <c r="G261" i="104"/>
  <c r="G481" i="104"/>
  <c r="H105" i="104"/>
  <c r="I105" i="104" s="1"/>
  <c r="I219" i="104"/>
  <c r="E120" i="104"/>
  <c r="I287" i="104"/>
  <c r="H37" i="104"/>
  <c r="G37" i="104" s="1"/>
  <c r="M15" i="104"/>
  <c r="I262" i="104"/>
  <c r="G262" i="104"/>
  <c r="C221" i="104"/>
  <c r="E204" i="104"/>
  <c r="L100" i="104"/>
  <c r="H100" i="104"/>
  <c r="I98" i="104" s="1"/>
  <c r="N98" i="104"/>
  <c r="F21" i="104"/>
  <c r="E481" i="104"/>
  <c r="I205" i="104"/>
  <c r="G272" i="104"/>
  <c r="G273" i="104"/>
  <c r="E482" i="104"/>
  <c r="G208" i="104"/>
  <c r="G482" i="104"/>
  <c r="C273" i="104"/>
  <c r="C271" i="104"/>
  <c r="C210" i="104"/>
  <c r="I483" i="104"/>
  <c r="N62" i="104"/>
  <c r="G210" i="104"/>
  <c r="G483" i="104"/>
  <c r="E210" i="104"/>
  <c r="I203" i="104"/>
  <c r="C292" i="104"/>
  <c r="I431" i="104"/>
  <c r="C481" i="104"/>
  <c r="I209" i="104"/>
  <c r="E203" i="104"/>
  <c r="I272" i="104"/>
  <c r="I208" i="104"/>
  <c r="E271" i="104"/>
  <c r="I482" i="104"/>
  <c r="H74" i="104"/>
  <c r="G72" i="104" s="1"/>
  <c r="I271" i="104"/>
  <c r="C208" i="104"/>
  <c r="C483" i="104"/>
  <c r="E208" i="104"/>
  <c r="E272" i="104"/>
  <c r="I481" i="104"/>
  <c r="G451" i="104"/>
  <c r="E476" i="104"/>
  <c r="G314" i="104"/>
  <c r="C313" i="104"/>
  <c r="I263" i="104"/>
  <c r="C203" i="104"/>
  <c r="G204" i="104"/>
  <c r="I204" i="104"/>
  <c r="E188" i="104"/>
  <c r="I187" i="104"/>
  <c r="C179" i="104"/>
  <c r="I179" i="104"/>
  <c r="E178" i="104"/>
  <c r="E126" i="104"/>
  <c r="I124" i="104"/>
  <c r="C126" i="104"/>
  <c r="I125" i="104"/>
  <c r="E124" i="104"/>
  <c r="I126" i="104"/>
  <c r="C124" i="104"/>
  <c r="C125" i="104"/>
  <c r="G125" i="104"/>
  <c r="G126" i="104"/>
  <c r="G124" i="104"/>
  <c r="N103" i="104"/>
  <c r="N78" i="104"/>
  <c r="N82" i="104"/>
  <c r="L37" i="104"/>
  <c r="M105" i="104"/>
  <c r="C220" i="104"/>
  <c r="E221" i="104"/>
  <c r="N119" i="104"/>
  <c r="G188" i="104"/>
  <c r="C188" i="104"/>
  <c r="G219" i="104"/>
  <c r="I273" i="104"/>
  <c r="I288" i="104"/>
  <c r="I452" i="104"/>
  <c r="E452" i="104"/>
  <c r="E220" i="104"/>
  <c r="C450" i="104"/>
  <c r="K79" i="104"/>
  <c r="E179" i="104"/>
  <c r="E231" i="104"/>
  <c r="I177" i="104"/>
  <c r="E187" i="104"/>
  <c r="I221" i="104"/>
  <c r="C272" i="104"/>
  <c r="C304" i="104"/>
  <c r="G221" i="104"/>
  <c r="G452" i="104"/>
  <c r="C177" i="104"/>
  <c r="I450" i="104"/>
  <c r="N83" i="104"/>
  <c r="C189" i="104"/>
  <c r="C452" i="104"/>
  <c r="G179" i="104"/>
  <c r="I178" i="104"/>
  <c r="C219" i="104"/>
  <c r="I267" i="104"/>
  <c r="I429" i="104"/>
  <c r="E451" i="104"/>
  <c r="K84" i="104"/>
  <c r="E136" i="104"/>
  <c r="G178" i="104"/>
  <c r="G146" i="104"/>
  <c r="G177" i="104"/>
  <c r="C288" i="104"/>
  <c r="G330" i="104"/>
  <c r="E177" i="104"/>
  <c r="H58" i="104"/>
  <c r="C57" i="104" s="1"/>
  <c r="E388" i="104"/>
  <c r="E389" i="104"/>
  <c r="C388" i="104"/>
  <c r="I387" i="104"/>
  <c r="C389" i="104"/>
  <c r="C387" i="104"/>
  <c r="G389" i="104"/>
  <c r="E334" i="104"/>
  <c r="G387" i="104"/>
  <c r="I414" i="104"/>
  <c r="H20" i="104"/>
  <c r="K32" i="104"/>
  <c r="N57" i="104"/>
  <c r="G413" i="104"/>
  <c r="I389" i="104"/>
  <c r="E414" i="104"/>
  <c r="H14" i="104"/>
  <c r="C413" i="104"/>
  <c r="G388" i="104"/>
  <c r="E387" i="104"/>
  <c r="E413" i="104"/>
  <c r="H53" i="104"/>
  <c r="C52" i="104" s="1"/>
  <c r="H19" i="104"/>
  <c r="G408" i="104"/>
  <c r="E83" i="104"/>
  <c r="C82" i="104"/>
  <c r="E330" i="104"/>
  <c r="E430" i="104"/>
  <c r="N61" i="104"/>
  <c r="C158" i="104"/>
  <c r="H95" i="104"/>
  <c r="E95" i="104" s="1"/>
  <c r="G392" i="104"/>
  <c r="C429" i="104"/>
  <c r="H10" i="104"/>
  <c r="E329" i="104"/>
  <c r="G187" i="104"/>
  <c r="G203" i="104"/>
  <c r="I231" i="104"/>
  <c r="I261" i="104"/>
  <c r="G288" i="104"/>
  <c r="I314" i="104"/>
  <c r="I330" i="104"/>
  <c r="E392" i="104"/>
  <c r="G397" i="104"/>
  <c r="G414" i="104"/>
  <c r="I430" i="104"/>
  <c r="H63" i="104"/>
  <c r="C61" i="104" s="1"/>
  <c r="E263" i="104"/>
  <c r="H42" i="104"/>
  <c r="I42" i="104" s="1"/>
  <c r="C441" i="104"/>
  <c r="G329" i="104"/>
  <c r="G473" i="104"/>
  <c r="C287" i="104"/>
  <c r="I289" i="104"/>
  <c r="N99" i="104"/>
  <c r="E287" i="104"/>
  <c r="I329" i="104"/>
  <c r="N35" i="104"/>
  <c r="C330" i="104"/>
  <c r="N356" i="104"/>
  <c r="E462" i="104"/>
  <c r="C120" i="104"/>
  <c r="E262" i="104"/>
  <c r="E288" i="104"/>
  <c r="I331" i="104"/>
  <c r="I394" i="104"/>
  <c r="E429" i="104"/>
  <c r="E460" i="104"/>
  <c r="E261" i="104"/>
  <c r="C431" i="104"/>
  <c r="L105" i="104"/>
  <c r="G231" i="104"/>
  <c r="G263" i="104"/>
  <c r="G399" i="104"/>
  <c r="I136" i="104"/>
  <c r="E219" i="104"/>
  <c r="C262" i="104"/>
  <c r="I392" i="104"/>
  <c r="G430" i="104"/>
  <c r="I451" i="104"/>
  <c r="C460" i="104"/>
  <c r="L19" i="104"/>
  <c r="I393" i="104"/>
  <c r="E477" i="104"/>
  <c r="N335" i="104"/>
  <c r="G456" i="104"/>
  <c r="C119" i="104"/>
  <c r="G393" i="104"/>
  <c r="C157" i="104"/>
  <c r="I376" i="104"/>
  <c r="I462" i="104"/>
  <c r="C184" i="104"/>
  <c r="C399" i="104"/>
  <c r="C462" i="104"/>
  <c r="E168" i="104"/>
  <c r="E189" i="104"/>
  <c r="E304" i="104"/>
  <c r="M63" i="104"/>
  <c r="G119" i="104"/>
  <c r="G189" i="104"/>
  <c r="I120" i="104"/>
  <c r="I156" i="104"/>
  <c r="I188" i="104"/>
  <c r="E251" i="104"/>
  <c r="C314" i="104"/>
  <c r="E393" i="104"/>
  <c r="E397" i="104"/>
  <c r="C397" i="104"/>
  <c r="G415" i="104"/>
  <c r="I415" i="104"/>
  <c r="C461" i="104"/>
  <c r="E461" i="104"/>
  <c r="I477" i="104"/>
  <c r="G166" i="104"/>
  <c r="H15" i="104"/>
  <c r="G476" i="104"/>
  <c r="N31" i="104"/>
  <c r="I141" i="104"/>
  <c r="I250" i="104"/>
  <c r="I461" i="104"/>
  <c r="G477" i="104"/>
  <c r="C167" i="104"/>
  <c r="N41" i="104"/>
  <c r="E305" i="104"/>
  <c r="G398" i="104"/>
  <c r="C476" i="104"/>
  <c r="I476" i="104"/>
  <c r="D21" i="104"/>
  <c r="N147" i="104"/>
  <c r="C168" i="104"/>
  <c r="C305" i="104"/>
  <c r="C393" i="104"/>
  <c r="N72" i="104"/>
  <c r="L315" i="104"/>
  <c r="I121" i="104"/>
  <c r="I158" i="104"/>
  <c r="I189" i="104"/>
  <c r="G230" i="104"/>
  <c r="G304" i="104"/>
  <c r="I399" i="104"/>
  <c r="I413" i="104"/>
  <c r="G461" i="104"/>
  <c r="I478" i="104"/>
  <c r="I140" i="104"/>
  <c r="G167" i="104"/>
  <c r="I460" i="104"/>
  <c r="G120" i="104"/>
  <c r="I397" i="104"/>
  <c r="I252" i="104"/>
  <c r="I168" i="104"/>
  <c r="C252" i="104"/>
  <c r="E315" i="104"/>
  <c r="G305" i="104"/>
  <c r="G462" i="104"/>
  <c r="C156" i="104"/>
  <c r="C230" i="104"/>
  <c r="C303" i="104"/>
  <c r="C398" i="104"/>
  <c r="G168" i="104"/>
  <c r="N455" i="104"/>
  <c r="N288" i="104"/>
  <c r="G266" i="104"/>
  <c r="E268" i="104"/>
  <c r="I266" i="104"/>
  <c r="I268" i="104"/>
  <c r="C266" i="104"/>
  <c r="E266" i="104"/>
  <c r="G267" i="104"/>
  <c r="N198" i="104"/>
  <c r="C142" i="104"/>
  <c r="I142" i="104"/>
  <c r="C141" i="104"/>
  <c r="N141" i="104"/>
  <c r="E140" i="104"/>
  <c r="E141" i="104"/>
  <c r="N93" i="104"/>
  <c r="C473" i="104"/>
  <c r="C472" i="104"/>
  <c r="C439" i="104"/>
  <c r="E431" i="104"/>
  <c r="C430" i="104"/>
  <c r="G429" i="104"/>
  <c r="G441" i="104"/>
  <c r="E441" i="104"/>
  <c r="C440" i="104"/>
  <c r="G440" i="104"/>
  <c r="G439" i="104"/>
  <c r="E440" i="104"/>
  <c r="E439" i="104"/>
  <c r="I439" i="104"/>
  <c r="I440" i="104"/>
  <c r="N436" i="104"/>
  <c r="N419" i="104"/>
  <c r="G420" i="104"/>
  <c r="N409" i="104"/>
  <c r="G409" i="104"/>
  <c r="C408" i="104"/>
  <c r="C409" i="104"/>
  <c r="C410" i="104"/>
  <c r="E410" i="104"/>
  <c r="E409" i="104"/>
  <c r="I408" i="104"/>
  <c r="C420" i="104"/>
  <c r="C418" i="104"/>
  <c r="E419" i="104"/>
  <c r="G418" i="104"/>
  <c r="I418" i="104"/>
  <c r="I419" i="104"/>
  <c r="C419" i="104"/>
  <c r="E420" i="104"/>
  <c r="I420" i="104"/>
  <c r="G419" i="104"/>
  <c r="I410" i="104"/>
  <c r="I409" i="104"/>
  <c r="E398" i="104"/>
  <c r="N367" i="104"/>
  <c r="E368" i="104"/>
  <c r="G377" i="104"/>
  <c r="I377" i="104"/>
  <c r="G378" i="104"/>
  <c r="I378" i="104"/>
  <c r="G376" i="104"/>
  <c r="C378" i="104"/>
  <c r="C376" i="104"/>
  <c r="E378" i="104"/>
  <c r="E376" i="104"/>
  <c r="C377" i="104"/>
  <c r="G373" i="104"/>
  <c r="I367" i="104"/>
  <c r="C368" i="104"/>
  <c r="G368" i="104"/>
  <c r="E355" i="104"/>
  <c r="E357" i="104"/>
  <c r="G356" i="104"/>
  <c r="I357" i="104"/>
  <c r="C355" i="104"/>
  <c r="G355" i="104"/>
  <c r="I355" i="104"/>
  <c r="C357" i="104"/>
  <c r="G357" i="104"/>
  <c r="C356" i="104"/>
  <c r="E356" i="104"/>
  <c r="G350" i="104"/>
  <c r="C351" i="104"/>
  <c r="I350" i="104"/>
  <c r="G347" i="104"/>
  <c r="E347" i="104"/>
  <c r="G336" i="104"/>
  <c r="N324" i="104"/>
  <c r="C335" i="104"/>
  <c r="I334" i="104"/>
  <c r="C336" i="104"/>
  <c r="E335" i="104"/>
  <c r="I336" i="104"/>
  <c r="G335" i="104"/>
  <c r="C334" i="104"/>
  <c r="E336" i="104"/>
  <c r="I335" i="104"/>
  <c r="N329" i="104"/>
  <c r="G313" i="104"/>
  <c r="I315" i="104"/>
  <c r="C315" i="104"/>
  <c r="E313" i="104"/>
  <c r="G315" i="104"/>
  <c r="E314" i="104"/>
  <c r="I305" i="104"/>
  <c r="G303" i="104"/>
  <c r="I308" i="104"/>
  <c r="E308" i="104"/>
  <c r="G309" i="104"/>
  <c r="E309" i="104"/>
  <c r="I304" i="104"/>
  <c r="E303" i="104"/>
  <c r="I284" i="104"/>
  <c r="C284" i="104"/>
  <c r="E294" i="104"/>
  <c r="G293" i="104"/>
  <c r="E292" i="104"/>
  <c r="I292" i="104"/>
  <c r="I294" i="104"/>
  <c r="E293" i="104"/>
  <c r="C293" i="104"/>
  <c r="C294" i="104"/>
  <c r="G292" i="104"/>
  <c r="G294" i="104"/>
  <c r="G284" i="104"/>
  <c r="E284" i="104"/>
  <c r="C282" i="104"/>
  <c r="I282" i="104"/>
  <c r="C283" i="104"/>
  <c r="G282" i="104"/>
  <c r="G283" i="104"/>
  <c r="E282" i="104"/>
  <c r="I283" i="104"/>
  <c r="M273" i="104"/>
  <c r="E267" i="104"/>
  <c r="N261" i="104"/>
  <c r="C250" i="104"/>
  <c r="G252" i="104"/>
  <c r="I251" i="104"/>
  <c r="N246" i="104"/>
  <c r="E245" i="104"/>
  <c r="E250" i="104"/>
  <c r="E252" i="104"/>
  <c r="G250" i="104"/>
  <c r="G251" i="104"/>
  <c r="C229" i="104"/>
  <c r="G229" i="104"/>
  <c r="I230" i="104"/>
  <c r="E229" i="104"/>
  <c r="I229" i="104"/>
  <c r="C231" i="104"/>
  <c r="L231" i="104"/>
  <c r="N231" i="104" s="1"/>
  <c r="E209" i="104"/>
  <c r="C209" i="104"/>
  <c r="G209" i="104"/>
  <c r="N182" i="104"/>
  <c r="G183" i="104"/>
  <c r="E166" i="104"/>
  <c r="E167" i="104"/>
  <c r="N157" i="104"/>
  <c r="I166" i="104"/>
  <c r="C166" i="104"/>
  <c r="E163" i="104"/>
  <c r="C161" i="104"/>
  <c r="G157" i="104"/>
  <c r="E156" i="104"/>
  <c r="E158" i="104"/>
  <c r="I157" i="104"/>
  <c r="E157" i="104"/>
  <c r="I161" i="104"/>
  <c r="K168" i="104"/>
  <c r="E145" i="104"/>
  <c r="C146" i="104"/>
  <c r="E146" i="104"/>
  <c r="C147" i="104"/>
  <c r="G147" i="104"/>
  <c r="N135" i="104"/>
  <c r="G140" i="104"/>
  <c r="G141" i="104"/>
  <c r="E135" i="104"/>
  <c r="E137" i="104"/>
  <c r="I145" i="104"/>
  <c r="C145" i="104"/>
  <c r="G145" i="104"/>
  <c r="I146" i="104"/>
  <c r="E147" i="104"/>
  <c r="G136" i="104"/>
  <c r="I137" i="104"/>
  <c r="C135" i="104"/>
  <c r="N140" i="104"/>
  <c r="C137" i="104"/>
  <c r="G135" i="104"/>
  <c r="C136" i="104"/>
  <c r="I135" i="104"/>
  <c r="N125" i="104"/>
  <c r="G115" i="104"/>
  <c r="E116" i="104"/>
  <c r="G116" i="104"/>
  <c r="C116" i="104"/>
  <c r="N94" i="104"/>
  <c r="N77" i="104"/>
  <c r="E73" i="104"/>
  <c r="G83" i="104"/>
  <c r="E82" i="104"/>
  <c r="N73" i="104"/>
  <c r="C83" i="104"/>
  <c r="I84" i="104"/>
  <c r="N56" i="104"/>
  <c r="N52" i="104"/>
  <c r="K74" i="104"/>
  <c r="I472" i="104"/>
  <c r="C471" i="104"/>
  <c r="G471" i="104"/>
  <c r="E471" i="104"/>
  <c r="I473" i="104"/>
  <c r="G472" i="104"/>
  <c r="E473" i="104"/>
  <c r="I471" i="104"/>
  <c r="I455" i="104"/>
  <c r="C455" i="104"/>
  <c r="E455" i="104"/>
  <c r="G455" i="104"/>
  <c r="C456" i="104"/>
  <c r="E456" i="104"/>
  <c r="I456" i="104"/>
  <c r="I436" i="104"/>
  <c r="E435" i="104"/>
  <c r="E434" i="104"/>
  <c r="C435" i="104"/>
  <c r="G435" i="104"/>
  <c r="C434" i="104"/>
  <c r="G434" i="104"/>
  <c r="C436" i="104"/>
  <c r="I435" i="104"/>
  <c r="I434" i="104"/>
  <c r="E372" i="104"/>
  <c r="E366" i="104"/>
  <c r="I368" i="104"/>
  <c r="C366" i="104"/>
  <c r="I366" i="104"/>
  <c r="G367" i="104"/>
  <c r="G366" i="104"/>
  <c r="E367" i="104"/>
  <c r="I372" i="104"/>
  <c r="E371" i="104"/>
  <c r="C371" i="104"/>
  <c r="C372" i="104"/>
  <c r="G372" i="104"/>
  <c r="G371" i="104"/>
  <c r="I373" i="104"/>
  <c r="E345" i="104"/>
  <c r="C345" i="104"/>
  <c r="G345" i="104"/>
  <c r="E346" i="104"/>
  <c r="C346" i="104"/>
  <c r="I347" i="104"/>
  <c r="I345" i="104"/>
  <c r="C347" i="104"/>
  <c r="E351" i="104"/>
  <c r="I352" i="104"/>
  <c r="G351" i="104"/>
  <c r="E350" i="104"/>
  <c r="C350" i="104"/>
  <c r="I346" i="104"/>
  <c r="G326" i="104"/>
  <c r="E325" i="104"/>
  <c r="I326" i="104"/>
  <c r="C324" i="104"/>
  <c r="G324" i="104"/>
  <c r="C325" i="104"/>
  <c r="I324" i="104"/>
  <c r="E324" i="104"/>
  <c r="C326" i="104"/>
  <c r="E326" i="104"/>
  <c r="I325" i="104"/>
  <c r="I310" i="104"/>
  <c r="I309" i="104"/>
  <c r="C308" i="104"/>
  <c r="C309" i="104"/>
  <c r="I242" i="104"/>
  <c r="C241" i="104"/>
  <c r="C240" i="104"/>
  <c r="I240" i="104"/>
  <c r="E240" i="104"/>
  <c r="G240" i="104"/>
  <c r="G241" i="104"/>
  <c r="I247" i="104"/>
  <c r="E246" i="104"/>
  <c r="C245" i="104"/>
  <c r="G242" i="104"/>
  <c r="I246" i="104"/>
  <c r="E241" i="104"/>
  <c r="E242" i="104"/>
  <c r="G246" i="104"/>
  <c r="I245" i="104"/>
  <c r="C246" i="104"/>
  <c r="C242" i="104"/>
  <c r="I241" i="104"/>
  <c r="E224" i="104"/>
  <c r="E225" i="104"/>
  <c r="G224" i="104"/>
  <c r="I226" i="104"/>
  <c r="G225" i="104"/>
  <c r="C224" i="104"/>
  <c r="I225" i="104"/>
  <c r="C225" i="104"/>
  <c r="I224" i="104"/>
  <c r="E198" i="104"/>
  <c r="I199" i="104"/>
  <c r="C199" i="104"/>
  <c r="G198" i="104"/>
  <c r="I200" i="104"/>
  <c r="C198" i="104"/>
  <c r="I198" i="104"/>
  <c r="G199" i="104"/>
  <c r="E199" i="104"/>
  <c r="C200" i="104"/>
  <c r="C182" i="104"/>
  <c r="C183" i="104"/>
  <c r="I184" i="104"/>
  <c r="G182" i="104"/>
  <c r="E183" i="104"/>
  <c r="I183" i="104"/>
  <c r="I182" i="104"/>
  <c r="I163" i="104"/>
  <c r="G162" i="104"/>
  <c r="E161" i="104"/>
  <c r="E162" i="104"/>
  <c r="G161" i="104"/>
  <c r="C162" i="104"/>
  <c r="G114" i="104"/>
  <c r="I114" i="104"/>
  <c r="C114" i="104"/>
  <c r="E114" i="104"/>
  <c r="I116" i="104"/>
  <c r="E115" i="104"/>
  <c r="I115" i="104"/>
  <c r="G82" i="104"/>
  <c r="G478" i="104"/>
  <c r="M473" i="104"/>
  <c r="M478" i="104"/>
  <c r="G457" i="104"/>
  <c r="M452" i="104"/>
  <c r="M462" i="104"/>
  <c r="M457" i="104"/>
  <c r="G436" i="104"/>
  <c r="M431" i="104"/>
  <c r="G410" i="104"/>
  <c r="M410" i="104"/>
  <c r="M420" i="104"/>
  <c r="N420" i="104" s="1"/>
  <c r="G394" i="104"/>
  <c r="M389" i="104"/>
  <c r="N388" i="104"/>
  <c r="N387" i="104"/>
  <c r="M399" i="104"/>
  <c r="M394" i="104"/>
  <c r="M378" i="104"/>
  <c r="M368" i="104"/>
  <c r="N377" i="104"/>
  <c r="M347" i="104"/>
  <c r="G352" i="104"/>
  <c r="M357" i="104"/>
  <c r="N357" i="104" s="1"/>
  <c r="N350" i="104"/>
  <c r="G331" i="104"/>
  <c r="M326" i="104"/>
  <c r="M336" i="104"/>
  <c r="M331" i="104"/>
  <c r="M305" i="104"/>
  <c r="G310" i="104"/>
  <c r="G289" i="104"/>
  <c r="M284" i="104"/>
  <c r="M289" i="104"/>
  <c r="N282" i="104"/>
  <c r="G268" i="104"/>
  <c r="M263" i="104"/>
  <c r="M268" i="104"/>
  <c r="G247" i="104"/>
  <c r="M242" i="104"/>
  <c r="M247" i="104"/>
  <c r="G226" i="104"/>
  <c r="M221" i="104"/>
  <c r="M226" i="104"/>
  <c r="M200" i="104"/>
  <c r="G205" i="104"/>
  <c r="N209" i="104"/>
  <c r="N203" i="104"/>
  <c r="M205" i="104"/>
  <c r="M179" i="104"/>
  <c r="G184" i="104"/>
  <c r="M189" i="104"/>
  <c r="M184" i="104"/>
  <c r="N184" i="104" s="1"/>
  <c r="M19" i="104"/>
  <c r="M168" i="104"/>
  <c r="G158" i="104"/>
  <c r="M158" i="104"/>
  <c r="G163" i="104"/>
  <c r="M163" i="104"/>
  <c r="G142" i="104"/>
  <c r="M137" i="104"/>
  <c r="M126" i="104"/>
  <c r="N126" i="104" s="1"/>
  <c r="M116" i="104"/>
  <c r="G121" i="104"/>
  <c r="M121" i="104"/>
  <c r="M95" i="104"/>
  <c r="N104" i="104"/>
  <c r="M100" i="104"/>
  <c r="M74" i="104"/>
  <c r="G79" i="104"/>
  <c r="F16" i="104"/>
  <c r="M79" i="104"/>
  <c r="M9" i="104"/>
  <c r="M84" i="104"/>
  <c r="M14" i="104"/>
  <c r="N51" i="104"/>
  <c r="M53" i="104"/>
  <c r="M58" i="104"/>
  <c r="N476" i="104"/>
  <c r="E478" i="104"/>
  <c r="L473" i="104"/>
  <c r="L478" i="104"/>
  <c r="E457" i="104"/>
  <c r="L452" i="104"/>
  <c r="L457" i="104"/>
  <c r="N430" i="104"/>
  <c r="L441" i="104"/>
  <c r="L431" i="104"/>
  <c r="E415" i="104"/>
  <c r="L410" i="104"/>
  <c r="L415" i="104"/>
  <c r="E399" i="104"/>
  <c r="L399" i="104"/>
  <c r="L394" i="104"/>
  <c r="E394" i="104"/>
  <c r="L389" i="104"/>
  <c r="L368" i="104"/>
  <c r="E373" i="104"/>
  <c r="L14" i="104"/>
  <c r="L373" i="104"/>
  <c r="L347" i="104"/>
  <c r="E352" i="104"/>
  <c r="L352" i="104"/>
  <c r="N352" i="104" s="1"/>
  <c r="E331" i="104"/>
  <c r="L326" i="104"/>
  <c r="L336" i="104"/>
  <c r="L331" i="104"/>
  <c r="E310" i="104"/>
  <c r="L305" i="104"/>
  <c r="L15" i="104"/>
  <c r="L310" i="104"/>
  <c r="L284" i="104"/>
  <c r="E289" i="104"/>
  <c r="L289" i="104"/>
  <c r="L273" i="104"/>
  <c r="L268" i="104"/>
  <c r="E273" i="104"/>
  <c r="E247" i="104"/>
  <c r="L242" i="104"/>
  <c r="L252" i="104"/>
  <c r="N252" i="104" s="1"/>
  <c r="L221" i="104"/>
  <c r="E226" i="104"/>
  <c r="N219" i="104"/>
  <c r="L226" i="104"/>
  <c r="E205" i="104"/>
  <c r="L200" i="104"/>
  <c r="L205" i="104"/>
  <c r="E200" i="104"/>
  <c r="L210" i="104"/>
  <c r="N210" i="104" s="1"/>
  <c r="N178" i="104"/>
  <c r="L189" i="104"/>
  <c r="N188" i="104"/>
  <c r="E184" i="104"/>
  <c r="L179" i="104"/>
  <c r="N167" i="104"/>
  <c r="L10" i="104"/>
  <c r="L137" i="104"/>
  <c r="E142" i="104"/>
  <c r="L9" i="104"/>
  <c r="L142" i="104"/>
  <c r="N142" i="104" s="1"/>
  <c r="L116" i="104"/>
  <c r="E121" i="104"/>
  <c r="L121" i="104"/>
  <c r="L95" i="104"/>
  <c r="L20" i="104"/>
  <c r="L74" i="104"/>
  <c r="E79" i="104"/>
  <c r="L84" i="104"/>
  <c r="L79" i="104"/>
  <c r="L58" i="104"/>
  <c r="L53" i="104"/>
  <c r="D16" i="104"/>
  <c r="L63" i="104"/>
  <c r="L42" i="104"/>
  <c r="N40" i="104"/>
  <c r="C478" i="104"/>
  <c r="K473" i="104"/>
  <c r="K483" i="104"/>
  <c r="N483" i="104" s="1"/>
  <c r="K478" i="104"/>
  <c r="C457" i="104"/>
  <c r="K452" i="104"/>
  <c r="K462" i="104"/>
  <c r="K441" i="104"/>
  <c r="K431" i="104"/>
  <c r="K410" i="104"/>
  <c r="C415" i="104"/>
  <c r="K415" i="104"/>
  <c r="K389" i="104"/>
  <c r="C394" i="104"/>
  <c r="K399" i="104"/>
  <c r="K394" i="104"/>
  <c r="K368" i="104"/>
  <c r="C373" i="104"/>
  <c r="K373" i="104"/>
  <c r="K378" i="104"/>
  <c r="C352" i="104"/>
  <c r="K347" i="104"/>
  <c r="C331" i="104"/>
  <c r="K326" i="104"/>
  <c r="K331" i="104"/>
  <c r="K305" i="104"/>
  <c r="C310" i="104"/>
  <c r="K315" i="104"/>
  <c r="K310" i="104"/>
  <c r="K294" i="104"/>
  <c r="N294" i="104" s="1"/>
  <c r="C289" i="104"/>
  <c r="K284" i="104"/>
  <c r="K289" i="104"/>
  <c r="C268" i="104"/>
  <c r="K263" i="104"/>
  <c r="K268" i="104"/>
  <c r="K242" i="104"/>
  <c r="C247" i="104"/>
  <c r="K247" i="104"/>
  <c r="C226" i="104"/>
  <c r="K221" i="104"/>
  <c r="K226" i="104"/>
  <c r="C205" i="104"/>
  <c r="K200" i="104"/>
  <c r="K205" i="104"/>
  <c r="B11" i="104"/>
  <c r="K189" i="104"/>
  <c r="K179" i="104"/>
  <c r="C163" i="104"/>
  <c r="K158" i="104"/>
  <c r="K163" i="104"/>
  <c r="K116" i="104"/>
  <c r="C121" i="104"/>
  <c r="K95" i="104"/>
  <c r="K9" i="104"/>
  <c r="K105" i="104"/>
  <c r="K10" i="104"/>
  <c r="K100" i="104"/>
  <c r="K58" i="104"/>
  <c r="K53" i="104"/>
  <c r="K63" i="104"/>
  <c r="M10" i="104"/>
  <c r="N30" i="104"/>
  <c r="B16" i="104"/>
  <c r="K42" i="104"/>
  <c r="N36" i="104"/>
  <c r="L32" i="104"/>
  <c r="D11" i="104"/>
  <c r="M37" i="104"/>
  <c r="M32" i="104"/>
  <c r="F11" i="104"/>
  <c r="H32" i="104"/>
  <c r="I30" i="104" s="1"/>
  <c r="H9" i="104"/>
  <c r="M42" i="104"/>
  <c r="B21" i="104"/>
  <c r="K37" i="104"/>
  <c r="K15" i="104"/>
  <c r="K20" i="104"/>
  <c r="K19" i="104"/>
  <c r="K14" i="104"/>
  <c r="E104" i="104" l="1"/>
  <c r="C104" i="104"/>
  <c r="G105" i="104"/>
  <c r="E105" i="104"/>
  <c r="G103" i="104"/>
  <c r="C105" i="104"/>
  <c r="G104" i="104"/>
  <c r="E103" i="104"/>
  <c r="C103" i="104"/>
  <c r="I103" i="104"/>
  <c r="C37" i="104"/>
  <c r="G99" i="104"/>
  <c r="G73" i="104"/>
  <c r="C78" i="104"/>
  <c r="G78" i="104"/>
  <c r="I35" i="104"/>
  <c r="I72" i="104"/>
  <c r="G36" i="104"/>
  <c r="E37" i="104"/>
  <c r="C36" i="104"/>
  <c r="E35" i="104"/>
  <c r="E78" i="104"/>
  <c r="C35" i="104"/>
  <c r="C77" i="104"/>
  <c r="C79" i="104"/>
  <c r="I78" i="104"/>
  <c r="I36" i="104"/>
  <c r="I79" i="104"/>
  <c r="I37" i="104"/>
  <c r="C74" i="104"/>
  <c r="E77" i="104"/>
  <c r="E36" i="104"/>
  <c r="I77" i="104"/>
  <c r="G35" i="104"/>
  <c r="C99" i="104"/>
  <c r="E99" i="104"/>
  <c r="G100" i="104"/>
  <c r="I99" i="104"/>
  <c r="E98" i="104"/>
  <c r="G98" i="104"/>
  <c r="C100" i="104"/>
  <c r="I100" i="104"/>
  <c r="C98" i="104"/>
  <c r="E100" i="104"/>
  <c r="I104" i="104"/>
  <c r="I82" i="104"/>
  <c r="C84" i="104"/>
  <c r="I83" i="104"/>
  <c r="G84" i="104"/>
  <c r="G95" i="104"/>
  <c r="N457" i="104"/>
  <c r="G58" i="104"/>
  <c r="I56" i="104"/>
  <c r="H16" i="104"/>
  <c r="C14" i="104" s="1"/>
  <c r="C72" i="104"/>
  <c r="I74" i="104"/>
  <c r="C93" i="104"/>
  <c r="I95" i="104"/>
  <c r="E74" i="104"/>
  <c r="E72" i="104"/>
  <c r="G74" i="104"/>
  <c r="I73" i="104"/>
  <c r="C73" i="104"/>
  <c r="N158" i="104"/>
  <c r="G94" i="104"/>
  <c r="E58" i="104"/>
  <c r="C56" i="104"/>
  <c r="I57" i="104"/>
  <c r="C58" i="104"/>
  <c r="G56" i="104"/>
  <c r="E57" i="104"/>
  <c r="G57" i="104"/>
  <c r="I58" i="104"/>
  <c r="E56" i="104"/>
  <c r="L21" i="104"/>
  <c r="C95" i="104"/>
  <c r="E94" i="104"/>
  <c r="N462" i="104"/>
  <c r="I93" i="104"/>
  <c r="N378" i="104"/>
  <c r="E93" i="104"/>
  <c r="C94" i="104"/>
  <c r="E41" i="104"/>
  <c r="I41" i="104"/>
  <c r="G41" i="104"/>
  <c r="G53" i="104"/>
  <c r="I53" i="104"/>
  <c r="C63" i="104"/>
  <c r="N32" i="104"/>
  <c r="E52" i="104"/>
  <c r="I52" i="104"/>
  <c r="E40" i="104"/>
  <c r="C53" i="104"/>
  <c r="G51" i="104"/>
  <c r="G40" i="104"/>
  <c r="E53" i="104"/>
  <c r="E42" i="104"/>
  <c r="C40" i="104"/>
  <c r="E51" i="104"/>
  <c r="C41" i="104"/>
  <c r="C51" i="104"/>
  <c r="G52" i="104"/>
  <c r="G42" i="104"/>
  <c r="I40" i="104"/>
  <c r="I51" i="104"/>
  <c r="C62" i="104"/>
  <c r="I61" i="104"/>
  <c r="E61" i="104"/>
  <c r="I63" i="104"/>
  <c r="G61" i="104"/>
  <c r="G62" i="104"/>
  <c r="E62" i="104"/>
  <c r="I94" i="104"/>
  <c r="G63" i="104"/>
  <c r="N105" i="104"/>
  <c r="N42" i="104"/>
  <c r="N168" i="104"/>
  <c r="G93" i="104"/>
  <c r="C42" i="104"/>
  <c r="H21" i="104"/>
  <c r="C19" i="104" s="1"/>
  <c r="E63" i="104"/>
  <c r="I62" i="104"/>
  <c r="N315" i="104"/>
  <c r="L16" i="104"/>
  <c r="N452" i="104"/>
  <c r="N263" i="104"/>
  <c r="N200" i="104"/>
  <c r="N473" i="104"/>
  <c r="N431" i="104"/>
  <c r="N415" i="104"/>
  <c r="N394" i="104"/>
  <c r="N399" i="104"/>
  <c r="N373" i="104"/>
  <c r="N368" i="104"/>
  <c r="N347" i="104"/>
  <c r="N336" i="104"/>
  <c r="N331" i="104"/>
  <c r="N273" i="104"/>
  <c r="N268" i="104"/>
  <c r="N247" i="104"/>
  <c r="N242" i="104"/>
  <c r="N221" i="104"/>
  <c r="N205" i="104"/>
  <c r="N137" i="104"/>
  <c r="N116" i="104"/>
  <c r="N95" i="104"/>
  <c r="N74" i="104"/>
  <c r="N53" i="104"/>
  <c r="N410" i="104"/>
  <c r="N305" i="104"/>
  <c r="N289" i="104"/>
  <c r="N19" i="104"/>
  <c r="N189" i="104"/>
  <c r="N163" i="104"/>
  <c r="N121" i="104"/>
  <c r="M16" i="104"/>
  <c r="N100" i="104"/>
  <c r="N79" i="104"/>
  <c r="N84" i="104"/>
  <c r="N14" i="104"/>
  <c r="N478" i="104"/>
  <c r="N441" i="104"/>
  <c r="N389" i="104"/>
  <c r="N326" i="104"/>
  <c r="N15" i="104"/>
  <c r="N310" i="104"/>
  <c r="N284" i="104"/>
  <c r="N10" i="104"/>
  <c r="N226" i="104"/>
  <c r="N179" i="104"/>
  <c r="N9" i="104"/>
  <c r="N20" i="104"/>
  <c r="L11" i="104"/>
  <c r="N58" i="104"/>
  <c r="N63" i="104"/>
  <c r="K11" i="104"/>
  <c r="N37" i="104"/>
  <c r="I32" i="104"/>
  <c r="G30" i="104"/>
  <c r="E30" i="104"/>
  <c r="C31" i="104"/>
  <c r="H11" i="104"/>
  <c r="C32" i="104"/>
  <c r="E32" i="104"/>
  <c r="C30" i="104"/>
  <c r="E31" i="104"/>
  <c r="G31" i="104"/>
  <c r="G32" i="104"/>
  <c r="M11" i="104"/>
  <c r="M21" i="104"/>
  <c r="K21" i="104"/>
  <c r="K16" i="104"/>
  <c r="I31" i="104"/>
  <c r="G14" i="104" l="1"/>
  <c r="G16" i="104"/>
  <c r="G15" i="104"/>
  <c r="I16" i="104"/>
  <c r="E14" i="104"/>
  <c r="E16" i="104"/>
  <c r="C15" i="104"/>
  <c r="C16" i="104"/>
  <c r="E15" i="104"/>
  <c r="I14" i="104"/>
  <c r="I15" i="104"/>
  <c r="E20" i="104"/>
  <c r="G19" i="104"/>
  <c r="E21" i="104"/>
  <c r="I19" i="104"/>
  <c r="G21" i="104"/>
  <c r="I20" i="104"/>
  <c r="I21" i="104"/>
  <c r="G20" i="104"/>
  <c r="C21" i="104"/>
  <c r="E19" i="104"/>
  <c r="C20" i="104"/>
  <c r="N16" i="104"/>
  <c r="N21" i="104"/>
  <c r="N11" i="104"/>
  <c r="E11" i="104"/>
  <c r="E9" i="104"/>
  <c r="C9" i="104"/>
  <c r="C11" i="104"/>
  <c r="E10" i="104"/>
  <c r="G10" i="104"/>
  <c r="C10" i="104"/>
  <c r="I10" i="104"/>
  <c r="G11" i="104"/>
  <c r="I11" i="104"/>
  <c r="G9" i="104"/>
  <c r="I9" i="104"/>
  <c r="A391" i="103" l="1"/>
  <c r="A390" i="103"/>
  <c r="A389" i="103"/>
  <c r="A388" i="103"/>
  <c r="A387" i="103"/>
  <c r="A386" i="103"/>
  <c r="A385" i="103"/>
  <c r="A384" i="103"/>
  <c r="A383" i="103"/>
  <c r="A374" i="103"/>
  <c r="A373" i="103"/>
  <c r="A372" i="103"/>
  <c r="A371" i="103"/>
  <c r="A370" i="103"/>
  <c r="A369" i="103"/>
  <c r="A368" i="103"/>
  <c r="A367" i="103"/>
  <c r="A366" i="103"/>
  <c r="A357" i="103"/>
  <c r="A356" i="103"/>
  <c r="A355" i="103"/>
  <c r="A354" i="103"/>
  <c r="A353" i="103"/>
  <c r="A352" i="103"/>
  <c r="A351" i="103"/>
  <c r="A350" i="103"/>
  <c r="A349" i="103"/>
  <c r="A340" i="103"/>
  <c r="A339" i="103"/>
  <c r="A338" i="103"/>
  <c r="A337" i="103"/>
  <c r="A336" i="103"/>
  <c r="A335" i="103"/>
  <c r="A334" i="103"/>
  <c r="A333" i="103"/>
  <c r="A332" i="103"/>
  <c r="A323" i="103"/>
  <c r="A322" i="103"/>
  <c r="A321" i="103"/>
  <c r="A320" i="103"/>
  <c r="A319" i="103"/>
  <c r="A318" i="103"/>
  <c r="A317" i="103"/>
  <c r="A316" i="103"/>
  <c r="A315" i="103"/>
  <c r="A306" i="103"/>
  <c r="A305" i="103"/>
  <c r="A304" i="103"/>
  <c r="A303" i="103"/>
  <c r="A302" i="103"/>
  <c r="A301" i="103"/>
  <c r="A300" i="103"/>
  <c r="A299" i="103"/>
  <c r="A298" i="103"/>
  <c r="A289" i="103"/>
  <c r="A288" i="103"/>
  <c r="A287" i="103"/>
  <c r="A286" i="103"/>
  <c r="A285" i="103"/>
  <c r="A284" i="103"/>
  <c r="A283" i="103"/>
  <c r="A282" i="103"/>
  <c r="A281" i="103"/>
  <c r="A272" i="103"/>
  <c r="A271" i="103"/>
  <c r="A270" i="103"/>
  <c r="A269" i="103"/>
  <c r="A268" i="103"/>
  <c r="A267" i="103"/>
  <c r="A266" i="103"/>
  <c r="A265" i="103"/>
  <c r="A264" i="103"/>
  <c r="A255" i="103"/>
  <c r="A254" i="103"/>
  <c r="A253" i="103"/>
  <c r="A252" i="103"/>
  <c r="A251" i="103"/>
  <c r="A250" i="103"/>
  <c r="A249" i="103"/>
  <c r="A248" i="103"/>
  <c r="A247" i="103"/>
  <c r="A238" i="103"/>
  <c r="A237" i="103"/>
  <c r="A236" i="103"/>
  <c r="A235" i="103"/>
  <c r="A234" i="103"/>
  <c r="A233" i="103"/>
  <c r="A232" i="103"/>
  <c r="A231" i="103"/>
  <c r="A230" i="103"/>
  <c r="A221" i="103"/>
  <c r="A220" i="103"/>
  <c r="A219" i="103"/>
  <c r="A218" i="103"/>
  <c r="A217" i="103"/>
  <c r="A216" i="103"/>
  <c r="A215" i="103"/>
  <c r="A214" i="103"/>
  <c r="A213" i="103"/>
  <c r="A204" i="103"/>
  <c r="A203" i="103"/>
  <c r="A202" i="103"/>
  <c r="A201" i="103"/>
  <c r="A200" i="103"/>
  <c r="A199" i="103"/>
  <c r="A198" i="103"/>
  <c r="A197" i="103"/>
  <c r="A196" i="103"/>
  <c r="A187" i="103"/>
  <c r="A186" i="103"/>
  <c r="A185" i="103"/>
  <c r="A184" i="103"/>
  <c r="A183" i="103"/>
  <c r="A182" i="103"/>
  <c r="A181" i="103"/>
  <c r="A180" i="103"/>
  <c r="A179" i="103"/>
  <c r="A170" i="103"/>
  <c r="A169" i="103"/>
  <c r="A168" i="103"/>
  <c r="A167" i="103"/>
  <c r="A166" i="103"/>
  <c r="A165" i="103"/>
  <c r="A164" i="103"/>
  <c r="A163" i="103"/>
  <c r="A162" i="103"/>
  <c r="A153" i="103"/>
  <c r="A152" i="103"/>
  <c r="A151" i="103"/>
  <c r="A150" i="103"/>
  <c r="A149" i="103"/>
  <c r="A148" i="103"/>
  <c r="A147" i="103"/>
  <c r="A146" i="103"/>
  <c r="A145" i="103"/>
  <c r="A136" i="103"/>
  <c r="A135" i="103"/>
  <c r="A134" i="103"/>
  <c r="A133" i="103"/>
  <c r="A132" i="103"/>
  <c r="A131" i="103"/>
  <c r="A130" i="103"/>
  <c r="A129" i="103"/>
  <c r="A128" i="103"/>
  <c r="A119" i="103"/>
  <c r="A118" i="103"/>
  <c r="A117" i="103"/>
  <c r="A116" i="103"/>
  <c r="A115" i="103"/>
  <c r="A114" i="103"/>
  <c r="A113" i="103"/>
  <c r="A112" i="103"/>
  <c r="A111" i="103"/>
  <c r="A102" i="103"/>
  <c r="A101" i="103"/>
  <c r="A100" i="103"/>
  <c r="A99" i="103"/>
  <c r="A98" i="103"/>
  <c r="A97" i="103"/>
  <c r="A96" i="103"/>
  <c r="A95" i="103"/>
  <c r="A94" i="103"/>
  <c r="A85" i="103"/>
  <c r="A84" i="103"/>
  <c r="A83" i="103"/>
  <c r="A82" i="103"/>
  <c r="A81" i="103"/>
  <c r="A80" i="103"/>
  <c r="A79" i="103"/>
  <c r="A78" i="103"/>
  <c r="A77" i="103"/>
  <c r="A68" i="103"/>
  <c r="A67" i="103"/>
  <c r="A66" i="103"/>
  <c r="A65" i="103"/>
  <c r="A64" i="103"/>
  <c r="A63" i="103"/>
  <c r="A62" i="103"/>
  <c r="A61" i="103"/>
  <c r="A60" i="103"/>
  <c r="A51" i="103"/>
  <c r="A50" i="103"/>
  <c r="A49" i="103"/>
  <c r="A48" i="103"/>
  <c r="A47" i="103"/>
  <c r="A46" i="103"/>
  <c r="A45" i="103"/>
  <c r="A44" i="103"/>
  <c r="A43" i="103"/>
  <c r="A34" i="103"/>
  <c r="A33" i="103"/>
  <c r="A32" i="103"/>
  <c r="A31" i="103"/>
  <c r="A30" i="103"/>
  <c r="A29" i="103"/>
  <c r="A28" i="103"/>
  <c r="A27" i="103"/>
  <c r="A26" i="103"/>
  <c r="A17" i="103"/>
  <c r="A16" i="103"/>
  <c r="A15" i="103"/>
  <c r="A14" i="103"/>
  <c r="A13" i="103"/>
  <c r="A12" i="103"/>
  <c r="A11" i="103"/>
  <c r="A10" i="103"/>
  <c r="A9" i="103"/>
  <c r="O24" i="103"/>
  <c r="L23" i="103"/>
  <c r="J24" i="103"/>
  <c r="G23" i="103"/>
  <c r="E24" i="103"/>
  <c r="B23" i="103"/>
  <c r="N7" i="103"/>
  <c r="M7" i="103"/>
  <c r="L7" i="103"/>
  <c r="I7" i="103"/>
  <c r="H7" i="103"/>
  <c r="G7" i="103"/>
  <c r="D7" i="103"/>
  <c r="C7" i="103"/>
  <c r="B7" i="103"/>
  <c r="C347" i="103" l="1"/>
  <c r="C279" i="103"/>
  <c r="C211" i="103"/>
  <c r="C143" i="103"/>
  <c r="C75" i="103"/>
  <c r="C330" i="103"/>
  <c r="C262" i="103"/>
  <c r="C194" i="103"/>
  <c r="C126" i="103"/>
  <c r="C58" i="103"/>
  <c r="C381" i="103"/>
  <c r="C313" i="103"/>
  <c r="C245" i="103"/>
  <c r="C177" i="103"/>
  <c r="C109" i="103"/>
  <c r="C41" i="103"/>
  <c r="C364" i="103"/>
  <c r="C296" i="103"/>
  <c r="C228" i="103"/>
  <c r="C160" i="103"/>
  <c r="C92" i="103"/>
  <c r="L381" i="103"/>
  <c r="L313" i="103"/>
  <c r="L245" i="103"/>
  <c r="L177" i="103"/>
  <c r="L109" i="103"/>
  <c r="L41" i="103"/>
  <c r="L58" i="103"/>
  <c r="L194" i="103"/>
  <c r="L364" i="103"/>
  <c r="L296" i="103"/>
  <c r="L228" i="103"/>
  <c r="L160" i="103"/>
  <c r="L92" i="103"/>
  <c r="L330" i="103"/>
  <c r="L126" i="103"/>
  <c r="L347" i="103"/>
  <c r="L279" i="103"/>
  <c r="L211" i="103"/>
  <c r="L143" i="103"/>
  <c r="L75" i="103"/>
  <c r="L262" i="103"/>
  <c r="M364" i="103"/>
  <c r="M296" i="103"/>
  <c r="M228" i="103"/>
  <c r="M160" i="103"/>
  <c r="M92" i="103"/>
  <c r="M381" i="103"/>
  <c r="M347" i="103"/>
  <c r="M279" i="103"/>
  <c r="M211" i="103"/>
  <c r="M143" i="103"/>
  <c r="M75" i="103"/>
  <c r="M313" i="103"/>
  <c r="M245" i="103"/>
  <c r="M109" i="103"/>
  <c r="M330" i="103"/>
  <c r="M262" i="103"/>
  <c r="M194" i="103"/>
  <c r="M126" i="103"/>
  <c r="M58" i="103"/>
  <c r="M41" i="103"/>
  <c r="M177" i="103"/>
  <c r="N364" i="103"/>
  <c r="N296" i="103"/>
  <c r="N228" i="103"/>
  <c r="N160" i="103"/>
  <c r="N92" i="103"/>
  <c r="N347" i="103"/>
  <c r="N279" i="103"/>
  <c r="N211" i="103"/>
  <c r="N143" i="103"/>
  <c r="N75" i="103"/>
  <c r="N330" i="103"/>
  <c r="N262" i="103"/>
  <c r="N194" i="103"/>
  <c r="N126" i="103"/>
  <c r="N58" i="103"/>
  <c r="N381" i="103"/>
  <c r="N313" i="103"/>
  <c r="N245" i="103"/>
  <c r="N177" i="103"/>
  <c r="N109" i="103"/>
  <c r="N41" i="103"/>
  <c r="B364" i="103"/>
  <c r="B347" i="103"/>
  <c r="B279" i="103"/>
  <c r="B211" i="103"/>
  <c r="B143" i="103"/>
  <c r="B75" i="103"/>
  <c r="B228" i="103"/>
  <c r="B160" i="103"/>
  <c r="B92" i="103"/>
  <c r="B296" i="103"/>
  <c r="B330" i="103"/>
  <c r="B262" i="103"/>
  <c r="B194" i="103"/>
  <c r="B126" i="103"/>
  <c r="B58" i="103"/>
  <c r="B381" i="103"/>
  <c r="B313" i="103"/>
  <c r="B245" i="103"/>
  <c r="B177" i="103"/>
  <c r="B109" i="103"/>
  <c r="B41" i="103"/>
  <c r="D347" i="103"/>
  <c r="D279" i="103"/>
  <c r="D211" i="103"/>
  <c r="D143" i="103"/>
  <c r="D75" i="103"/>
  <c r="D41" i="103"/>
  <c r="D160" i="103"/>
  <c r="D92" i="103"/>
  <c r="D330" i="103"/>
  <c r="D262" i="103"/>
  <c r="D194" i="103"/>
  <c r="D126" i="103"/>
  <c r="D58" i="103"/>
  <c r="D364" i="103"/>
  <c r="D381" i="103"/>
  <c r="D313" i="103"/>
  <c r="D245" i="103"/>
  <c r="D177" i="103"/>
  <c r="D109" i="103"/>
  <c r="D296" i="103"/>
  <c r="D228" i="103"/>
  <c r="G330" i="103"/>
  <c r="G262" i="103"/>
  <c r="G194" i="103"/>
  <c r="G126" i="103"/>
  <c r="G58" i="103"/>
  <c r="G381" i="103"/>
  <c r="G313" i="103"/>
  <c r="G245" i="103"/>
  <c r="G177" i="103"/>
  <c r="G109" i="103"/>
  <c r="G41" i="103"/>
  <c r="G364" i="103"/>
  <c r="G296" i="103"/>
  <c r="G228" i="103"/>
  <c r="G160" i="103"/>
  <c r="G92" i="103"/>
  <c r="G347" i="103"/>
  <c r="G279" i="103"/>
  <c r="G211" i="103"/>
  <c r="G143" i="103"/>
  <c r="G75" i="103"/>
  <c r="H330" i="103"/>
  <c r="H262" i="103"/>
  <c r="H194" i="103"/>
  <c r="H126" i="103"/>
  <c r="H58" i="103"/>
  <c r="H347" i="103"/>
  <c r="H381" i="103"/>
  <c r="H313" i="103"/>
  <c r="H245" i="103"/>
  <c r="H177" i="103"/>
  <c r="H109" i="103"/>
  <c r="H41" i="103"/>
  <c r="H364" i="103"/>
  <c r="H296" i="103"/>
  <c r="H228" i="103"/>
  <c r="H160" i="103"/>
  <c r="H92" i="103"/>
  <c r="H211" i="103"/>
  <c r="H75" i="103"/>
  <c r="H143" i="103"/>
  <c r="H279" i="103"/>
  <c r="I381" i="103"/>
  <c r="I313" i="103"/>
  <c r="I245" i="103"/>
  <c r="I177" i="103"/>
  <c r="I109" i="103"/>
  <c r="I41" i="103"/>
  <c r="I126" i="103"/>
  <c r="I58" i="103"/>
  <c r="I364" i="103"/>
  <c r="I296" i="103"/>
  <c r="I228" i="103"/>
  <c r="I160" i="103"/>
  <c r="I92" i="103"/>
  <c r="I262" i="103"/>
  <c r="I347" i="103"/>
  <c r="I279" i="103"/>
  <c r="I211" i="103"/>
  <c r="I143" i="103"/>
  <c r="I75" i="103"/>
  <c r="I194" i="103"/>
  <c r="I330" i="103"/>
  <c r="B24" i="103"/>
  <c r="L24" i="103"/>
  <c r="I24" i="103"/>
  <c r="C24" i="103"/>
  <c r="D24" i="103"/>
  <c r="M24" i="103"/>
  <c r="N24" i="103"/>
  <c r="G24" i="103"/>
  <c r="H24" i="103"/>
  <c r="A194" i="102"/>
  <c r="A185" i="102"/>
  <c r="A167" i="102"/>
  <c r="A158" i="102"/>
  <c r="A176" i="102"/>
  <c r="A149" i="102"/>
  <c r="A140" i="102"/>
  <c r="A131" i="102"/>
  <c r="A122" i="102"/>
  <c r="A113" i="102"/>
  <c r="A104" i="102"/>
  <c r="A95" i="102"/>
  <c r="A86" i="102"/>
  <c r="A77" i="102"/>
  <c r="A68" i="102"/>
  <c r="A59" i="102"/>
  <c r="A50" i="102"/>
  <c r="A41" i="102"/>
  <c r="A32" i="102"/>
  <c r="A23" i="102"/>
  <c r="B14" i="102"/>
  <c r="A14" i="102"/>
  <c r="A5" i="102"/>
  <c r="L14" i="102"/>
  <c r="V14" i="102"/>
  <c r="Y15" i="102"/>
  <c r="O15" i="102"/>
  <c r="E15" i="102"/>
  <c r="X6" i="102"/>
  <c r="W6" i="102"/>
  <c r="V6" i="102"/>
  <c r="N6" i="102"/>
  <c r="M6" i="102"/>
  <c r="L6" i="102"/>
  <c r="D6" i="102"/>
  <c r="C6" i="102"/>
  <c r="B6" i="102"/>
  <c r="A391" i="101"/>
  <c r="A390" i="101"/>
  <c r="A389" i="101"/>
  <c r="A388" i="101"/>
  <c r="A387" i="101"/>
  <c r="A386" i="101"/>
  <c r="A385" i="101"/>
  <c r="A384" i="101"/>
  <c r="A383" i="101"/>
  <c r="A374" i="101"/>
  <c r="A373" i="101"/>
  <c r="A372" i="101"/>
  <c r="A371" i="101"/>
  <c r="A370" i="101"/>
  <c r="A369" i="101"/>
  <c r="A368" i="101"/>
  <c r="A367" i="101"/>
  <c r="A366" i="101"/>
  <c r="A357" i="101"/>
  <c r="A356" i="101"/>
  <c r="A355" i="101"/>
  <c r="A354" i="101"/>
  <c r="A353" i="101"/>
  <c r="A352" i="101"/>
  <c r="A351" i="101"/>
  <c r="A350" i="101"/>
  <c r="A349" i="101"/>
  <c r="A340" i="101"/>
  <c r="A339" i="101"/>
  <c r="A338" i="101"/>
  <c r="A337" i="101"/>
  <c r="A336" i="101"/>
  <c r="A335" i="101"/>
  <c r="A334" i="101"/>
  <c r="A333" i="101"/>
  <c r="A332" i="101"/>
  <c r="A323" i="101"/>
  <c r="A322" i="101"/>
  <c r="A321" i="101"/>
  <c r="A320" i="101"/>
  <c r="A319" i="101"/>
  <c r="A318" i="101"/>
  <c r="A317" i="101"/>
  <c r="A316" i="101"/>
  <c r="A315" i="101"/>
  <c r="A306" i="101"/>
  <c r="A305" i="101"/>
  <c r="A304" i="101"/>
  <c r="A303" i="101"/>
  <c r="A302" i="101"/>
  <c r="A301" i="101"/>
  <c r="A300" i="101"/>
  <c r="A299" i="101"/>
  <c r="A298" i="101"/>
  <c r="A289" i="101"/>
  <c r="A288" i="101"/>
  <c r="A287" i="101"/>
  <c r="A286" i="101"/>
  <c r="A285" i="101"/>
  <c r="A284" i="101"/>
  <c r="A283" i="101"/>
  <c r="A282" i="101"/>
  <c r="A281" i="101"/>
  <c r="A272" i="101"/>
  <c r="A271" i="101"/>
  <c r="A270" i="101"/>
  <c r="A269" i="101"/>
  <c r="A268" i="101"/>
  <c r="A267" i="101"/>
  <c r="A266" i="101"/>
  <c r="A265" i="101"/>
  <c r="A264" i="101"/>
  <c r="A255" i="101"/>
  <c r="A254" i="101"/>
  <c r="A253" i="101"/>
  <c r="A252" i="101"/>
  <c r="A251" i="101"/>
  <c r="A250" i="101"/>
  <c r="A249" i="101"/>
  <c r="A248" i="101"/>
  <c r="A247" i="101"/>
  <c r="A238" i="101"/>
  <c r="A237" i="101"/>
  <c r="A236" i="101"/>
  <c r="A235" i="101"/>
  <c r="A234" i="101"/>
  <c r="A233" i="101"/>
  <c r="A232" i="101"/>
  <c r="A231" i="101"/>
  <c r="A230" i="101"/>
  <c r="A221" i="101"/>
  <c r="A220" i="101"/>
  <c r="A219" i="101"/>
  <c r="A218" i="101"/>
  <c r="A217" i="101"/>
  <c r="A216" i="101"/>
  <c r="A215" i="101"/>
  <c r="A214" i="101"/>
  <c r="A213" i="101"/>
  <c r="A204" i="101"/>
  <c r="A203" i="101"/>
  <c r="A202" i="101"/>
  <c r="A201" i="101"/>
  <c r="A200" i="101"/>
  <c r="A199" i="101"/>
  <c r="A198" i="101"/>
  <c r="A197" i="101"/>
  <c r="A196" i="101"/>
  <c r="A187" i="101"/>
  <c r="A186" i="101"/>
  <c r="A185" i="101"/>
  <c r="A184" i="101"/>
  <c r="A183" i="101"/>
  <c r="A182" i="101"/>
  <c r="A181" i="101"/>
  <c r="A180" i="101"/>
  <c r="A179" i="101"/>
  <c r="A170" i="101"/>
  <c r="A169" i="101"/>
  <c r="A168" i="101"/>
  <c r="A167" i="101"/>
  <c r="A166" i="101"/>
  <c r="A165" i="101"/>
  <c r="A164" i="101"/>
  <c r="A163" i="101"/>
  <c r="A162" i="101"/>
  <c r="A153" i="101"/>
  <c r="A152" i="101"/>
  <c r="A151" i="101"/>
  <c r="A150" i="101"/>
  <c r="A149" i="101"/>
  <c r="A148" i="101"/>
  <c r="A147" i="101"/>
  <c r="A146" i="101"/>
  <c r="A145" i="101"/>
  <c r="A136" i="101"/>
  <c r="A135" i="101"/>
  <c r="A134" i="101"/>
  <c r="A133" i="101"/>
  <c r="A132" i="101"/>
  <c r="A131" i="101"/>
  <c r="A130" i="101"/>
  <c r="A129" i="101"/>
  <c r="A128" i="101"/>
  <c r="A119" i="101"/>
  <c r="A118" i="101"/>
  <c r="A117" i="101"/>
  <c r="A116" i="101"/>
  <c r="A115" i="101"/>
  <c r="A114" i="101"/>
  <c r="A113" i="101"/>
  <c r="A112" i="101"/>
  <c r="A111" i="101"/>
  <c r="A102" i="101"/>
  <c r="A101" i="101"/>
  <c r="A100" i="101"/>
  <c r="A99" i="101"/>
  <c r="A98" i="101"/>
  <c r="A97" i="101"/>
  <c r="A96" i="101"/>
  <c r="A95" i="101"/>
  <c r="A94" i="101"/>
  <c r="A85" i="101"/>
  <c r="A84" i="101"/>
  <c r="A83" i="101"/>
  <c r="A82" i="101"/>
  <c r="A81" i="101"/>
  <c r="A80" i="101"/>
  <c r="A79" i="101"/>
  <c r="A78" i="101"/>
  <c r="A77" i="101"/>
  <c r="A68" i="101"/>
  <c r="A67" i="101"/>
  <c r="A66" i="101"/>
  <c r="A65" i="101"/>
  <c r="A64" i="101"/>
  <c r="A63" i="101"/>
  <c r="A62" i="101"/>
  <c r="A61" i="101"/>
  <c r="A60" i="101"/>
  <c r="A51" i="101"/>
  <c r="A50" i="101"/>
  <c r="A49" i="101"/>
  <c r="A48" i="101"/>
  <c r="A47" i="101"/>
  <c r="A46" i="101"/>
  <c r="A45" i="101"/>
  <c r="A44" i="101"/>
  <c r="A43" i="101"/>
  <c r="A34" i="101"/>
  <c r="A33" i="101"/>
  <c r="A32" i="101"/>
  <c r="A31" i="101"/>
  <c r="A30" i="101"/>
  <c r="A29" i="101"/>
  <c r="A28" i="101"/>
  <c r="A27" i="101"/>
  <c r="A26" i="101"/>
  <c r="A17" i="101"/>
  <c r="A16" i="101"/>
  <c r="A15" i="101"/>
  <c r="A14" i="101"/>
  <c r="A13" i="101"/>
  <c r="A12" i="101"/>
  <c r="A11" i="101"/>
  <c r="A10" i="101"/>
  <c r="A9" i="101"/>
  <c r="D195" i="102" l="1"/>
  <c r="I159" i="102"/>
  <c r="D123" i="102"/>
  <c r="I87" i="102"/>
  <c r="D51" i="102"/>
  <c r="D177" i="102"/>
  <c r="I141" i="102"/>
  <c r="D105" i="102"/>
  <c r="I69" i="102"/>
  <c r="D33" i="102"/>
  <c r="D168" i="102"/>
  <c r="I132" i="102"/>
  <c r="D96" i="102"/>
  <c r="I60" i="102"/>
  <c r="I195" i="102"/>
  <c r="D159" i="102"/>
  <c r="I123" i="102"/>
  <c r="D87" i="102"/>
  <c r="I51" i="102"/>
  <c r="I186" i="102"/>
  <c r="D150" i="102"/>
  <c r="I114" i="102"/>
  <c r="D78" i="102"/>
  <c r="I168" i="102"/>
  <c r="I150" i="102"/>
  <c r="I96" i="102"/>
  <c r="I78" i="102"/>
  <c r="D186" i="102"/>
  <c r="I105" i="102"/>
  <c r="D69" i="102"/>
  <c r="D60" i="102"/>
  <c r="I177" i="102"/>
  <c r="D141" i="102"/>
  <c r="D132" i="102"/>
  <c r="I42" i="102"/>
  <c r="I33" i="102"/>
  <c r="D114" i="102"/>
  <c r="I24" i="102"/>
  <c r="D42" i="102"/>
  <c r="D24" i="102"/>
  <c r="Q177" i="102"/>
  <c r="L141" i="102"/>
  <c r="Q105" i="102"/>
  <c r="L69" i="102"/>
  <c r="Q33" i="102"/>
  <c r="L195" i="102"/>
  <c r="Q159" i="102"/>
  <c r="L123" i="102"/>
  <c r="Q87" i="102"/>
  <c r="L51" i="102"/>
  <c r="L186" i="102"/>
  <c r="Q150" i="102"/>
  <c r="L114" i="102"/>
  <c r="Q78" i="102"/>
  <c r="L42" i="102"/>
  <c r="L177" i="102"/>
  <c r="Q141" i="102"/>
  <c r="L105" i="102"/>
  <c r="Q69" i="102"/>
  <c r="L33" i="102"/>
  <c r="L168" i="102"/>
  <c r="Q132" i="102"/>
  <c r="L96" i="102"/>
  <c r="Q195" i="102"/>
  <c r="Q51" i="102"/>
  <c r="Q168" i="102"/>
  <c r="L159" i="102"/>
  <c r="L60" i="102"/>
  <c r="L150" i="102"/>
  <c r="Q24" i="102"/>
  <c r="L24" i="102"/>
  <c r="Q15" i="102"/>
  <c r="Q96" i="102"/>
  <c r="L87" i="102"/>
  <c r="Q60" i="102"/>
  <c r="L78" i="102"/>
  <c r="Q123" i="102"/>
  <c r="Q114" i="102"/>
  <c r="Q42" i="102"/>
  <c r="Q186" i="102"/>
  <c r="L132" i="102"/>
  <c r="M15" i="102"/>
  <c r="R168" i="102"/>
  <c r="M132" i="102"/>
  <c r="R96" i="102"/>
  <c r="M60" i="102"/>
  <c r="R24" i="102"/>
  <c r="M195" i="102"/>
  <c r="M186" i="102"/>
  <c r="R150" i="102"/>
  <c r="M114" i="102"/>
  <c r="R78" i="102"/>
  <c r="M42" i="102"/>
  <c r="M177" i="102"/>
  <c r="R141" i="102"/>
  <c r="M105" i="102"/>
  <c r="R69" i="102"/>
  <c r="M33" i="102"/>
  <c r="M168" i="102"/>
  <c r="R132" i="102"/>
  <c r="M96" i="102"/>
  <c r="R60" i="102"/>
  <c r="M24" i="102"/>
  <c r="R195" i="102"/>
  <c r="M159" i="102"/>
  <c r="R123" i="102"/>
  <c r="M87" i="102"/>
  <c r="R87" i="102"/>
  <c r="R15" i="102"/>
  <c r="R105" i="102"/>
  <c r="M150" i="102"/>
  <c r="R42" i="102"/>
  <c r="R186" i="102"/>
  <c r="M123" i="102"/>
  <c r="R177" i="102"/>
  <c r="M78" i="102"/>
  <c r="R159" i="102"/>
  <c r="R114" i="102"/>
  <c r="R51" i="102"/>
  <c r="M69" i="102"/>
  <c r="M51" i="102"/>
  <c r="M141" i="102"/>
  <c r="R33" i="102"/>
  <c r="N15" i="102"/>
  <c r="N195" i="102"/>
  <c r="S159" i="102"/>
  <c r="N123" i="102"/>
  <c r="S87" i="102"/>
  <c r="N51" i="102"/>
  <c r="N177" i="102"/>
  <c r="S141" i="102"/>
  <c r="N105" i="102"/>
  <c r="S69" i="102"/>
  <c r="N33" i="102"/>
  <c r="N168" i="102"/>
  <c r="S132" i="102"/>
  <c r="N96" i="102"/>
  <c r="S60" i="102"/>
  <c r="S195" i="102"/>
  <c r="N159" i="102"/>
  <c r="S123" i="102"/>
  <c r="N87" i="102"/>
  <c r="S51" i="102"/>
  <c r="S186" i="102"/>
  <c r="N150" i="102"/>
  <c r="S114" i="102"/>
  <c r="N78" i="102"/>
  <c r="S78" i="102"/>
  <c r="N42" i="102"/>
  <c r="N24" i="102"/>
  <c r="N60" i="102"/>
  <c r="S24" i="102"/>
  <c r="S177" i="102"/>
  <c r="N132" i="102"/>
  <c r="S33" i="102"/>
  <c r="N186" i="102"/>
  <c r="S96" i="102"/>
  <c r="S150" i="102"/>
  <c r="S105" i="102"/>
  <c r="N69" i="102"/>
  <c r="S168" i="102"/>
  <c r="S42" i="102"/>
  <c r="N141" i="102"/>
  <c r="N114" i="102"/>
  <c r="S15" i="102"/>
  <c r="V15" i="102"/>
  <c r="V141" i="102"/>
  <c r="V69" i="102"/>
  <c r="V195" i="102"/>
  <c r="V123" i="102"/>
  <c r="V51" i="102"/>
  <c r="V186" i="102"/>
  <c r="V114" i="102"/>
  <c r="V42" i="102"/>
  <c r="V177" i="102"/>
  <c r="V105" i="102"/>
  <c r="V33" i="102"/>
  <c r="V168" i="102"/>
  <c r="V96" i="102"/>
  <c r="V60" i="102"/>
  <c r="V159" i="102"/>
  <c r="V150" i="102"/>
  <c r="V132" i="102"/>
  <c r="V24" i="102"/>
  <c r="V87" i="102"/>
  <c r="V78" i="102"/>
  <c r="W15" i="102"/>
  <c r="W132" i="102"/>
  <c r="W60" i="102"/>
  <c r="W195" i="102"/>
  <c r="W186" i="102"/>
  <c r="W114" i="102"/>
  <c r="W42" i="102"/>
  <c r="W177" i="102"/>
  <c r="W105" i="102"/>
  <c r="W33" i="102"/>
  <c r="W168" i="102"/>
  <c r="W96" i="102"/>
  <c r="W24" i="102"/>
  <c r="W159" i="102"/>
  <c r="W87" i="102"/>
  <c r="W150" i="102"/>
  <c r="W69" i="102"/>
  <c r="W78" i="102"/>
  <c r="W51" i="102"/>
  <c r="W123" i="102"/>
  <c r="W141" i="102"/>
  <c r="G177" i="102"/>
  <c r="B141" i="102"/>
  <c r="G105" i="102"/>
  <c r="B69" i="102"/>
  <c r="G33" i="102"/>
  <c r="B195" i="102"/>
  <c r="G159" i="102"/>
  <c r="B123" i="102"/>
  <c r="G87" i="102"/>
  <c r="B51" i="102"/>
  <c r="B186" i="102"/>
  <c r="G150" i="102"/>
  <c r="B114" i="102"/>
  <c r="G78" i="102"/>
  <c r="B42" i="102"/>
  <c r="B177" i="102"/>
  <c r="G141" i="102"/>
  <c r="B105" i="102"/>
  <c r="G69" i="102"/>
  <c r="B33" i="102"/>
  <c r="B168" i="102"/>
  <c r="G132" i="102"/>
  <c r="B96" i="102"/>
  <c r="G123" i="102"/>
  <c r="B78" i="102"/>
  <c r="G42" i="102"/>
  <c r="G24" i="102"/>
  <c r="G96" i="102"/>
  <c r="B87" i="102"/>
  <c r="B24" i="102"/>
  <c r="G168" i="102"/>
  <c r="B159" i="102"/>
  <c r="G114" i="102"/>
  <c r="G51" i="102"/>
  <c r="B60" i="102"/>
  <c r="G195" i="102"/>
  <c r="B150" i="102"/>
  <c r="B132" i="102"/>
  <c r="G186" i="102"/>
  <c r="G60" i="102"/>
  <c r="X15" i="102"/>
  <c r="X195" i="102"/>
  <c r="X123" i="102"/>
  <c r="X51" i="102"/>
  <c r="X177" i="102"/>
  <c r="X105" i="102"/>
  <c r="X33" i="102"/>
  <c r="X168" i="102"/>
  <c r="X96" i="102"/>
  <c r="X24" i="102"/>
  <c r="X159" i="102"/>
  <c r="X87" i="102"/>
  <c r="X150" i="102"/>
  <c r="X78" i="102"/>
  <c r="X60" i="102"/>
  <c r="X114" i="102"/>
  <c r="X141" i="102"/>
  <c r="X132" i="102"/>
  <c r="X42" i="102"/>
  <c r="X186" i="102"/>
  <c r="X69" i="102"/>
  <c r="H168" i="102"/>
  <c r="C132" i="102"/>
  <c r="H96" i="102"/>
  <c r="C60" i="102"/>
  <c r="H24" i="102"/>
  <c r="C186" i="102"/>
  <c r="H150" i="102"/>
  <c r="C114" i="102"/>
  <c r="H78" i="102"/>
  <c r="C42" i="102"/>
  <c r="C177" i="102"/>
  <c r="H141" i="102"/>
  <c r="C105" i="102"/>
  <c r="H69" i="102"/>
  <c r="C33" i="102"/>
  <c r="C168" i="102"/>
  <c r="H132" i="102"/>
  <c r="C96" i="102"/>
  <c r="H60" i="102"/>
  <c r="C24" i="102"/>
  <c r="H195" i="102"/>
  <c r="C159" i="102"/>
  <c r="H123" i="102"/>
  <c r="C87" i="102"/>
  <c r="H114" i="102"/>
  <c r="H105" i="102"/>
  <c r="C69" i="102"/>
  <c r="H51" i="102"/>
  <c r="C195" i="102"/>
  <c r="C78" i="102"/>
  <c r="C150" i="102"/>
  <c r="C123" i="102"/>
  <c r="H186" i="102"/>
  <c r="H177" i="102"/>
  <c r="C141" i="102"/>
  <c r="C51" i="102"/>
  <c r="H42" i="102"/>
  <c r="H33" i="102"/>
  <c r="H87" i="102"/>
  <c r="H159" i="102"/>
  <c r="B15" i="102"/>
  <c r="G15" i="102"/>
  <c r="C15" i="102"/>
  <c r="H15" i="102"/>
  <c r="D15" i="102"/>
  <c r="I15" i="102"/>
  <c r="L15" i="102"/>
  <c r="J23" i="101"/>
  <c r="J40" i="101" s="1"/>
  <c r="J57" i="101" s="1"/>
  <c r="J74" i="101" s="1"/>
  <c r="J91" i="101" s="1"/>
  <c r="J108" i="101" s="1"/>
  <c r="J125" i="101" s="1"/>
  <c r="J142" i="101" s="1"/>
  <c r="J159" i="101" s="1"/>
  <c r="J176" i="101" s="1"/>
  <c r="J193" i="101" s="1"/>
  <c r="J210" i="101" s="1"/>
  <c r="J227" i="101" s="1"/>
  <c r="J244" i="101" s="1"/>
  <c r="J261" i="101" s="1"/>
  <c r="J278" i="101" s="1"/>
  <c r="J295" i="101" s="1"/>
  <c r="J312" i="101" s="1"/>
  <c r="J329" i="101" s="1"/>
  <c r="J346" i="101" s="1"/>
  <c r="J363" i="101" s="1"/>
  <c r="J380" i="101" s="1"/>
  <c r="F23" i="101"/>
  <c r="F40" i="101" s="1"/>
  <c r="F57" i="101" s="1"/>
  <c r="F74" i="101" s="1"/>
  <c r="F91" i="101" s="1"/>
  <c r="F108" i="101" s="1"/>
  <c r="F125" i="101" s="1"/>
  <c r="F142" i="101" s="1"/>
  <c r="F159" i="101" s="1"/>
  <c r="F176" i="101" s="1"/>
  <c r="F193" i="101" s="1"/>
  <c r="F210" i="101" s="1"/>
  <c r="F227" i="101" s="1"/>
  <c r="F244" i="101" s="1"/>
  <c r="F261" i="101" s="1"/>
  <c r="F278" i="101" s="1"/>
  <c r="F295" i="101" s="1"/>
  <c r="F312" i="101" s="1"/>
  <c r="F329" i="101" s="1"/>
  <c r="F346" i="101" s="1"/>
  <c r="F363" i="101" s="1"/>
  <c r="F380" i="101" s="1"/>
  <c r="B23" i="101"/>
  <c r="K13" i="80" l="1"/>
  <c r="R45" i="80" l="1"/>
  <c r="R44" i="80"/>
  <c r="K44" i="80"/>
  <c r="I44" i="80"/>
  <c r="H44" i="80"/>
  <c r="F44" i="80"/>
  <c r="C44" i="80"/>
  <c r="R8" i="80"/>
  <c r="K8" i="80"/>
  <c r="I8" i="80"/>
  <c r="H8" i="80"/>
  <c r="F9" i="80"/>
  <c r="C8" i="80"/>
  <c r="N8" i="80" l="1"/>
  <c r="O8" i="80" s="1"/>
  <c r="N44" i="80"/>
  <c r="O44" i="80" s="1"/>
  <c r="L44" i="80"/>
  <c r="L8" i="80"/>
  <c r="R11" i="80"/>
  <c r="K12" i="80"/>
  <c r="I11" i="80"/>
  <c r="H11" i="80"/>
  <c r="C9" i="80"/>
  <c r="A9" i="80"/>
  <c r="A10" i="80"/>
  <c r="A11" i="80"/>
  <c r="A12" i="80"/>
  <c r="A13" i="80"/>
  <c r="A14" i="80"/>
  <c r="A15" i="80"/>
  <c r="A16" i="80"/>
  <c r="A17" i="80"/>
  <c r="A18" i="80"/>
  <c r="A19" i="80"/>
  <c r="A20" i="80"/>
  <c r="A21" i="80"/>
  <c r="A22" i="80"/>
  <c r="A23" i="80"/>
  <c r="A24" i="80"/>
  <c r="A25" i="80"/>
  <c r="A26" i="80"/>
  <c r="A27" i="80"/>
  <c r="A28" i="80"/>
  <c r="A29" i="80"/>
  <c r="A30" i="80"/>
  <c r="A31" i="80"/>
  <c r="A32" i="80"/>
  <c r="A8" i="80"/>
  <c r="AG6" i="79"/>
  <c r="AF6" i="79"/>
  <c r="AE6" i="79"/>
  <c r="AD6" i="79"/>
  <c r="AC6" i="79"/>
  <c r="AB6" i="79"/>
  <c r="AA6" i="79"/>
  <c r="Z6" i="79"/>
  <c r="Y6" i="79"/>
  <c r="X6" i="79"/>
  <c r="V6" i="79"/>
  <c r="U6" i="79"/>
  <c r="T6" i="79"/>
  <c r="S6" i="79"/>
  <c r="R6" i="79"/>
  <c r="Q6" i="79"/>
  <c r="P6" i="79"/>
  <c r="O6" i="79"/>
  <c r="N6" i="79"/>
  <c r="M6" i="79"/>
  <c r="K6" i="79"/>
  <c r="J6" i="79"/>
  <c r="I6" i="79"/>
  <c r="H6" i="79"/>
  <c r="G6" i="79"/>
  <c r="F6" i="79"/>
  <c r="E6" i="79"/>
  <c r="D6" i="79"/>
  <c r="C6" i="79"/>
  <c r="B6" i="79"/>
  <c r="J8" i="79"/>
  <c r="J35" i="79" s="1"/>
  <c r="U33" i="79" s="1"/>
  <c r="I8" i="79"/>
  <c r="I35" i="79" s="1"/>
  <c r="T33" i="79" s="1"/>
  <c r="H8" i="79"/>
  <c r="H35" i="79" s="1"/>
  <c r="S33" i="79" s="1"/>
  <c r="G8" i="79"/>
  <c r="G35" i="79" s="1"/>
  <c r="R33" i="79" s="1"/>
  <c r="F8" i="79"/>
  <c r="F35" i="79" s="1"/>
  <c r="Q33" i="79" s="1"/>
  <c r="E8" i="79"/>
  <c r="E35" i="79" s="1"/>
  <c r="P33" i="79" s="1"/>
  <c r="D8" i="79"/>
  <c r="D35" i="79" s="1"/>
  <c r="O33" i="79" s="1"/>
  <c r="C8" i="79"/>
  <c r="C35" i="79" s="1"/>
  <c r="N33" i="79" s="1"/>
  <c r="B8" i="79"/>
  <c r="B35" i="79" s="1"/>
  <c r="M33" i="79" s="1"/>
  <c r="A35" i="79"/>
  <c r="A9" i="79"/>
  <c r="A10" i="79"/>
  <c r="A11" i="79"/>
  <c r="A12" i="79"/>
  <c r="A13" i="79"/>
  <c r="A14" i="79"/>
  <c r="A15" i="79"/>
  <c r="A16" i="79"/>
  <c r="A17" i="79"/>
  <c r="A18" i="79"/>
  <c r="A19" i="79"/>
  <c r="A20" i="79"/>
  <c r="A21" i="79"/>
  <c r="A22" i="79"/>
  <c r="A23" i="79"/>
  <c r="A24" i="79"/>
  <c r="A25" i="79"/>
  <c r="A26" i="79"/>
  <c r="A27" i="79"/>
  <c r="A28" i="79"/>
  <c r="A29" i="79"/>
  <c r="A30" i="79"/>
  <c r="A31" i="79"/>
  <c r="A32" i="79"/>
  <c r="A8" i="79"/>
  <c r="A6" i="79"/>
  <c r="A1" i="79" s="1"/>
  <c r="K8" i="79" l="1"/>
  <c r="P19" i="79"/>
  <c r="Q31" i="79"/>
  <c r="U25" i="79"/>
  <c r="T17" i="79"/>
  <c r="R9" i="79"/>
  <c r="U30" i="79" l="1"/>
  <c r="P15" i="79"/>
  <c r="Q20" i="79"/>
  <c r="P8" i="79"/>
  <c r="Q10" i="79"/>
  <c r="U18" i="79"/>
  <c r="Q24" i="79"/>
  <c r="P11" i="79"/>
  <c r="U16" i="79"/>
  <c r="Q26" i="79"/>
  <c r="Q15" i="79"/>
  <c r="Q8" i="79"/>
  <c r="AD8" i="79"/>
  <c r="Z8" i="79"/>
  <c r="AE8" i="79"/>
  <c r="AF8" i="79"/>
  <c r="AG8" i="79"/>
  <c r="Y8" i="79"/>
  <c r="X8" i="79"/>
  <c r="AB8" i="79"/>
  <c r="AC8" i="79"/>
  <c r="AA8" i="79"/>
  <c r="U28" i="79"/>
  <c r="Q12" i="79"/>
  <c r="Q27" i="79"/>
  <c r="Q30" i="79"/>
  <c r="Q11" i="79"/>
  <c r="R28" i="79"/>
  <c r="Q18" i="79"/>
  <c r="T13" i="79"/>
  <c r="T29" i="79"/>
  <c r="U14" i="79"/>
  <c r="U29" i="79"/>
  <c r="Q16" i="79"/>
  <c r="S10" i="79"/>
  <c r="S14" i="79"/>
  <c r="S18" i="79"/>
  <c r="S22" i="79"/>
  <c r="S26" i="79"/>
  <c r="S30" i="79"/>
  <c r="S35" i="79"/>
  <c r="S8" i="79"/>
  <c r="S24" i="79"/>
  <c r="S13" i="79"/>
  <c r="S32" i="79"/>
  <c r="R12" i="79"/>
  <c r="R16" i="79"/>
  <c r="U13" i="79"/>
  <c r="Q13" i="79"/>
  <c r="Q17" i="79"/>
  <c r="Q21" i="79"/>
  <c r="Q25" i="79"/>
  <c r="Q29" i="79"/>
  <c r="Q35" i="79"/>
  <c r="Q9" i="79"/>
  <c r="R20" i="79"/>
  <c r="S11" i="79"/>
  <c r="U32" i="79"/>
  <c r="Q23" i="79"/>
  <c r="P9" i="79"/>
  <c r="P12" i="79"/>
  <c r="P16" i="79"/>
  <c r="P20" i="79"/>
  <c r="P24" i="79"/>
  <c r="P28" i="79"/>
  <c r="P32" i="79"/>
  <c r="P14" i="79"/>
  <c r="P26" i="79"/>
  <c r="P10" i="79"/>
  <c r="P18" i="79"/>
  <c r="P22" i="79"/>
  <c r="P30" i="79"/>
  <c r="P13" i="79"/>
  <c r="P17" i="79"/>
  <c r="P21" i="79"/>
  <c r="P25" i="79"/>
  <c r="P29" i="79"/>
  <c r="P35" i="79"/>
  <c r="S25" i="79"/>
  <c r="P23" i="79"/>
  <c r="Q19" i="79"/>
  <c r="U12" i="79"/>
  <c r="S23" i="79"/>
  <c r="S29" i="79"/>
  <c r="P27" i="79"/>
  <c r="S9" i="79"/>
  <c r="S15" i="79"/>
  <c r="R13" i="79"/>
  <c r="R17" i="79"/>
  <c r="R21" i="79"/>
  <c r="R25" i="79"/>
  <c r="R29" i="79"/>
  <c r="R35" i="79"/>
  <c r="R11" i="79"/>
  <c r="R15" i="79"/>
  <c r="R19" i="79"/>
  <c r="R23" i="79"/>
  <c r="R31" i="79"/>
  <c r="R27" i="79"/>
  <c r="R10" i="79"/>
  <c r="R14" i="79"/>
  <c r="R18" i="79"/>
  <c r="R22" i="79"/>
  <c r="R26" i="79"/>
  <c r="R30" i="79"/>
  <c r="R8" i="79"/>
  <c r="S27" i="79"/>
  <c r="T10" i="79"/>
  <c r="T14" i="79"/>
  <c r="T18" i="79"/>
  <c r="T22" i="79"/>
  <c r="T26" i="79"/>
  <c r="T30" i="79"/>
  <c r="T12" i="79"/>
  <c r="T16" i="79"/>
  <c r="T20" i="79"/>
  <c r="T28" i="79"/>
  <c r="T35" i="79"/>
  <c r="T9" i="79"/>
  <c r="T24" i="79"/>
  <c r="T32" i="79"/>
  <c r="T11" i="79"/>
  <c r="T15" i="79"/>
  <c r="T19" i="79"/>
  <c r="T23" i="79"/>
  <c r="T27" i="79"/>
  <c r="T31" i="79"/>
  <c r="R32" i="79"/>
  <c r="U11" i="79"/>
  <c r="U15" i="79"/>
  <c r="U19" i="79"/>
  <c r="U23" i="79"/>
  <c r="U27" i="79"/>
  <c r="U31" i="79"/>
  <c r="U9" i="79"/>
  <c r="U35" i="79"/>
  <c r="U8" i="79"/>
  <c r="S17" i="79"/>
  <c r="S12" i="79"/>
  <c r="S19" i="79"/>
  <c r="S21" i="79"/>
  <c r="S16" i="79"/>
  <c r="U20" i="79"/>
  <c r="S31" i="79"/>
  <c r="T21" i="79"/>
  <c r="S20" i="79"/>
  <c r="U22" i="79"/>
  <c r="U17" i="79"/>
  <c r="Q22" i="79"/>
  <c r="U26" i="79"/>
  <c r="R24" i="79"/>
  <c r="T8" i="79"/>
  <c r="Q28" i="79"/>
  <c r="T25" i="79"/>
  <c r="U21" i="79"/>
  <c r="Q14" i="79"/>
  <c r="U24" i="79"/>
  <c r="U10" i="79"/>
  <c r="Q32" i="79"/>
  <c r="P31" i="79"/>
  <c r="S28" i="79"/>
  <c r="CP143" i="78" l="1"/>
  <c r="CP142" i="78"/>
  <c r="CP141" i="78"/>
  <c r="CP140" i="78"/>
  <c r="CP139" i="78"/>
  <c r="CP138" i="78"/>
  <c r="CP137" i="78"/>
  <c r="CP136" i="78"/>
  <c r="CP135" i="78"/>
  <c r="CP134" i="78"/>
  <c r="CP133" i="78"/>
  <c r="CP132" i="78"/>
  <c r="CP131" i="78"/>
  <c r="CP130" i="78"/>
  <c r="CP129" i="78"/>
  <c r="CP128" i="78"/>
  <c r="CP127" i="78"/>
  <c r="CP126" i="78"/>
  <c r="CP125" i="78"/>
  <c r="CP124" i="78"/>
  <c r="CP123" i="78"/>
  <c r="CP122" i="78"/>
  <c r="CP121" i="78"/>
  <c r="CP120" i="78"/>
  <c r="CP119" i="78"/>
  <c r="CE143" i="78"/>
  <c r="CE142" i="78"/>
  <c r="CE141" i="78"/>
  <c r="CE140" i="78"/>
  <c r="CE139" i="78"/>
  <c r="CE138" i="78"/>
  <c r="CE137" i="78"/>
  <c r="CE136" i="78"/>
  <c r="CE135" i="78"/>
  <c r="CE134" i="78"/>
  <c r="CE133" i="78"/>
  <c r="CE132" i="78"/>
  <c r="CE131" i="78"/>
  <c r="CE130" i="78"/>
  <c r="CE129" i="78"/>
  <c r="CE128" i="78"/>
  <c r="CE127" i="78"/>
  <c r="CE126" i="78"/>
  <c r="CE125" i="78"/>
  <c r="CE124" i="78"/>
  <c r="CE123" i="78"/>
  <c r="CE122" i="78"/>
  <c r="CE121" i="78"/>
  <c r="CE120" i="78"/>
  <c r="CE119" i="78"/>
  <c r="BT143" i="78"/>
  <c r="BT142" i="78"/>
  <c r="BT141" i="78"/>
  <c r="BT140" i="78"/>
  <c r="BT139" i="78"/>
  <c r="BT138" i="78"/>
  <c r="BT137" i="78"/>
  <c r="BT136" i="78"/>
  <c r="BT135" i="78"/>
  <c r="BT134" i="78"/>
  <c r="BT133" i="78"/>
  <c r="BT132" i="78"/>
  <c r="BT131" i="78"/>
  <c r="BT130" i="78"/>
  <c r="BT129" i="78"/>
  <c r="BT128" i="78"/>
  <c r="BT127" i="78"/>
  <c r="BT126" i="78"/>
  <c r="BT125" i="78"/>
  <c r="BT124" i="78"/>
  <c r="BT123" i="78"/>
  <c r="BT122" i="78"/>
  <c r="BT121" i="78"/>
  <c r="BT120" i="78"/>
  <c r="BT119" i="78"/>
  <c r="BI143" i="78"/>
  <c r="BI142" i="78"/>
  <c r="BI141" i="78"/>
  <c r="BI140" i="78"/>
  <c r="BI139" i="78"/>
  <c r="BI138" i="78"/>
  <c r="BI137" i="78"/>
  <c r="BI136" i="78"/>
  <c r="BI135" i="78"/>
  <c r="BI134" i="78"/>
  <c r="BI133" i="78"/>
  <c r="BI132" i="78"/>
  <c r="BI131" i="78"/>
  <c r="BI130" i="78"/>
  <c r="BI129" i="78"/>
  <c r="BI128" i="78"/>
  <c r="BI127" i="78"/>
  <c r="BI126" i="78"/>
  <c r="BI125" i="78"/>
  <c r="BI124" i="78"/>
  <c r="BI123" i="78"/>
  <c r="BI122" i="78"/>
  <c r="BI121" i="78"/>
  <c r="BI120" i="78"/>
  <c r="BI119" i="78"/>
  <c r="AX143" i="78"/>
  <c r="AX142" i="78"/>
  <c r="AX141" i="78"/>
  <c r="AX140" i="78"/>
  <c r="AX139" i="78"/>
  <c r="AX138" i="78"/>
  <c r="AX137" i="78"/>
  <c r="AX136" i="78"/>
  <c r="AX135" i="78"/>
  <c r="AX134" i="78"/>
  <c r="AX133" i="78"/>
  <c r="AX132" i="78"/>
  <c r="AX131" i="78"/>
  <c r="AX130" i="78"/>
  <c r="AX129" i="78"/>
  <c r="AX128" i="78"/>
  <c r="AX127" i="78"/>
  <c r="AX126" i="78"/>
  <c r="AX125" i="78"/>
  <c r="AX124" i="78"/>
  <c r="AX123" i="78"/>
  <c r="AX122" i="78"/>
  <c r="AX121" i="78"/>
  <c r="AX120" i="78"/>
  <c r="AX119" i="78"/>
  <c r="AM143" i="78"/>
  <c r="AM142" i="78"/>
  <c r="AM141" i="78"/>
  <c r="AM140" i="78"/>
  <c r="AM139" i="78"/>
  <c r="AM138" i="78"/>
  <c r="AM137" i="78"/>
  <c r="AM136" i="78"/>
  <c r="AM135" i="78"/>
  <c r="AM134" i="78"/>
  <c r="AM133" i="78"/>
  <c r="AM132" i="78"/>
  <c r="AM131" i="78"/>
  <c r="AM130" i="78"/>
  <c r="AM129" i="78"/>
  <c r="AM128" i="78"/>
  <c r="AM127" i="78"/>
  <c r="AM126" i="78"/>
  <c r="AM125" i="78"/>
  <c r="AM124" i="78"/>
  <c r="AM123" i="78"/>
  <c r="AM122" i="78"/>
  <c r="AM121" i="78"/>
  <c r="AM120" i="78"/>
  <c r="AM119" i="78"/>
  <c r="AB143" i="78"/>
  <c r="AB142" i="78"/>
  <c r="AB141" i="78"/>
  <c r="AB140" i="78"/>
  <c r="AB139" i="78"/>
  <c r="AB138" i="78"/>
  <c r="AB137" i="78"/>
  <c r="AB136" i="78"/>
  <c r="AB135" i="78"/>
  <c r="AB134" i="78"/>
  <c r="AB133" i="78"/>
  <c r="AB132" i="78"/>
  <c r="AB131" i="78"/>
  <c r="AB130" i="78"/>
  <c r="AB129" i="78"/>
  <c r="AB128" i="78"/>
  <c r="AB127" i="78"/>
  <c r="AB126" i="78"/>
  <c r="AB125" i="78"/>
  <c r="AB124" i="78"/>
  <c r="AB123" i="78"/>
  <c r="AB122" i="78"/>
  <c r="AB121" i="78"/>
  <c r="AB120" i="78"/>
  <c r="AB119" i="78"/>
  <c r="Q122" i="78"/>
  <c r="Q143" i="78"/>
  <c r="Q142" i="78"/>
  <c r="Q141" i="78"/>
  <c r="Q140" i="78"/>
  <c r="Q139" i="78"/>
  <c r="Q138" i="78"/>
  <c r="Q137" i="78"/>
  <c r="Q136" i="78"/>
  <c r="Q135" i="78"/>
  <c r="Q134" i="78"/>
  <c r="Q133" i="78"/>
  <c r="Q132" i="78"/>
  <c r="Q131" i="78"/>
  <c r="Q130" i="78"/>
  <c r="Q129" i="78"/>
  <c r="Q128" i="78"/>
  <c r="Q127" i="78"/>
  <c r="Q126" i="78"/>
  <c r="Q125" i="78"/>
  <c r="Q124" i="78"/>
  <c r="Q123" i="78"/>
  <c r="Q121" i="78"/>
  <c r="Q120" i="78"/>
  <c r="Q119" i="78"/>
  <c r="CS9" i="78"/>
  <c r="CS83" i="78" s="1"/>
  <c r="CS10" i="78"/>
  <c r="CS84" i="78" s="1"/>
  <c r="CS11" i="78"/>
  <c r="CS48" i="78" s="1"/>
  <c r="CS12" i="78"/>
  <c r="CS86" i="78" s="1"/>
  <c r="CS13" i="78"/>
  <c r="CS87" i="78" s="1"/>
  <c r="CS14" i="78"/>
  <c r="CS88" i="78" s="1"/>
  <c r="CS15" i="78"/>
  <c r="CS52" i="78" s="1"/>
  <c r="CS16" i="78"/>
  <c r="CS17" i="78"/>
  <c r="CS91" i="78" s="1"/>
  <c r="CS18" i="78"/>
  <c r="CS19" i="78"/>
  <c r="CS56" i="78" s="1"/>
  <c r="CS20" i="78"/>
  <c r="CS57" i="78" s="1"/>
  <c r="CS21" i="78"/>
  <c r="CS58" i="78" s="1"/>
  <c r="CS22" i="78"/>
  <c r="CS59" i="78" s="1"/>
  <c r="CS23" i="78"/>
  <c r="CS97" i="78" s="1"/>
  <c r="CS24" i="78"/>
  <c r="CS25" i="78"/>
  <c r="CS99" i="78" s="1"/>
  <c r="CS26" i="78"/>
  <c r="CS63" i="78" s="1"/>
  <c r="CS27" i="78"/>
  <c r="CS28" i="78"/>
  <c r="CS102" i="78" s="1"/>
  <c r="CS29" i="78"/>
  <c r="CS103" i="78" s="1"/>
  <c r="CS30" i="78"/>
  <c r="CS67" i="78" s="1"/>
  <c r="CS31" i="78"/>
  <c r="CS68" i="78" s="1"/>
  <c r="CS32" i="78"/>
  <c r="CS69" i="78" s="1"/>
  <c r="CS8" i="78"/>
  <c r="CH9" i="78"/>
  <c r="CH46" i="78" s="1"/>
  <c r="CH10" i="78"/>
  <c r="CH47" i="78" s="1"/>
  <c r="CH11" i="78"/>
  <c r="CH48" i="78" s="1"/>
  <c r="CH12" i="78"/>
  <c r="CH86" i="78" s="1"/>
  <c r="CH13" i="78"/>
  <c r="CH87" i="78" s="1"/>
  <c r="CH14" i="78"/>
  <c r="CH51" i="78" s="1"/>
  <c r="CH15" i="78"/>
  <c r="CH52" i="78" s="1"/>
  <c r="CH16" i="78"/>
  <c r="CH53" i="78" s="1"/>
  <c r="CH17" i="78"/>
  <c r="CH54" i="78" s="1"/>
  <c r="CH18" i="78"/>
  <c r="CH55" i="78" s="1"/>
  <c r="CH19" i="78"/>
  <c r="CH56" i="78" s="1"/>
  <c r="CH20" i="78"/>
  <c r="CH57" i="78" s="1"/>
  <c r="CH21" i="78"/>
  <c r="CH22" i="78"/>
  <c r="CH96" i="78" s="1"/>
  <c r="CH23" i="78"/>
  <c r="CH97" i="78" s="1"/>
  <c r="CH24" i="78"/>
  <c r="CH61" i="78" s="1"/>
  <c r="CH25" i="78"/>
  <c r="CH99" i="78" s="1"/>
  <c r="CH26" i="78"/>
  <c r="CH100" i="78" s="1"/>
  <c r="CH27" i="78"/>
  <c r="CH64" i="78" s="1"/>
  <c r="CH28" i="78"/>
  <c r="CH102" i="78" s="1"/>
  <c r="CH29" i="78"/>
  <c r="CH103" i="78" s="1"/>
  <c r="CH30" i="78"/>
  <c r="CH67" i="78" s="1"/>
  <c r="CH31" i="78"/>
  <c r="CH32" i="78"/>
  <c r="CH69" i="78" s="1"/>
  <c r="CH8" i="78"/>
  <c r="BW9" i="78"/>
  <c r="BW46" i="78" s="1"/>
  <c r="BW10" i="78"/>
  <c r="BW11" i="78"/>
  <c r="BW48" i="78" s="1"/>
  <c r="BW12" i="78"/>
  <c r="BW49" i="78" s="1"/>
  <c r="BW13" i="78"/>
  <c r="BW14" i="78"/>
  <c r="BW88" i="78" s="1"/>
  <c r="BW15" i="78"/>
  <c r="BW52" i="78" s="1"/>
  <c r="BW16" i="78"/>
  <c r="BW17" i="78"/>
  <c r="BW54" i="78" s="1"/>
  <c r="BW18" i="78"/>
  <c r="BW92" i="78" s="1"/>
  <c r="BW19" i="78"/>
  <c r="BW56" i="78" s="1"/>
  <c r="BW20" i="78"/>
  <c r="BW94" i="78" s="1"/>
  <c r="BW21" i="78"/>
  <c r="BW95" i="78" s="1"/>
  <c r="BW22" i="78"/>
  <c r="BW96" i="78" s="1"/>
  <c r="BW23" i="78"/>
  <c r="BW97" i="78" s="1"/>
  <c r="BW24" i="78"/>
  <c r="BW61" i="78" s="1"/>
  <c r="BW25" i="78"/>
  <c r="BW99" i="78" s="1"/>
  <c r="BW26" i="78"/>
  <c r="BW63" i="78" s="1"/>
  <c r="BW27" i="78"/>
  <c r="BW64" i="78" s="1"/>
  <c r="BW28" i="78"/>
  <c r="BW65" i="78" s="1"/>
  <c r="BW29" i="78"/>
  <c r="BW66" i="78" s="1"/>
  <c r="BW30" i="78"/>
  <c r="BW104" i="78" s="1"/>
  <c r="BW31" i="78"/>
  <c r="BW32" i="78"/>
  <c r="BW69" i="78" s="1"/>
  <c r="BW8" i="78"/>
  <c r="BL9" i="78"/>
  <c r="BL46" i="78" s="1"/>
  <c r="BL10" i="78"/>
  <c r="BL47" i="78" s="1"/>
  <c r="BL11" i="78"/>
  <c r="BL85" i="78" s="1"/>
  <c r="BL12" i="78"/>
  <c r="BL86" i="78" s="1"/>
  <c r="BL13" i="78"/>
  <c r="BL50" i="78" s="1"/>
  <c r="BL14" i="78"/>
  <c r="BL88" i="78" s="1"/>
  <c r="BL15" i="78"/>
  <c r="BL89" i="78" s="1"/>
  <c r="BL16" i="78"/>
  <c r="BL17" i="78"/>
  <c r="BL91" i="78" s="1"/>
  <c r="BL18" i="78"/>
  <c r="BL55" i="78" s="1"/>
  <c r="BL19" i="78"/>
  <c r="BL93" i="78" s="1"/>
  <c r="BL20" i="78"/>
  <c r="BL94" i="78" s="1"/>
  <c r="BL21" i="78"/>
  <c r="BL58" i="78" s="1"/>
  <c r="BL22" i="78"/>
  <c r="BL59" i="78" s="1"/>
  <c r="BL23" i="78"/>
  <c r="BL60" i="78" s="1"/>
  <c r="BL24" i="78"/>
  <c r="BL25" i="78"/>
  <c r="BL62" i="78" s="1"/>
  <c r="BL26" i="78"/>
  <c r="BL63" i="78" s="1"/>
  <c r="BL27" i="78"/>
  <c r="BL101" i="78" s="1"/>
  <c r="BL28" i="78"/>
  <c r="BL65" i="78" s="1"/>
  <c r="BL29" i="78"/>
  <c r="BL66" i="78" s="1"/>
  <c r="BL30" i="78"/>
  <c r="BL104" i="78" s="1"/>
  <c r="BL31" i="78"/>
  <c r="BL68" i="78" s="1"/>
  <c r="BL32" i="78"/>
  <c r="BL8" i="78"/>
  <c r="BA9" i="78"/>
  <c r="BA83" i="78" s="1"/>
  <c r="BA10" i="78"/>
  <c r="BA47" i="78" s="1"/>
  <c r="BA11" i="78"/>
  <c r="BA48" i="78" s="1"/>
  <c r="BA12" i="78"/>
  <c r="BA49" i="78" s="1"/>
  <c r="BA13" i="78"/>
  <c r="BA87" i="78" s="1"/>
  <c r="BA14" i="78"/>
  <c r="BA88" i="78" s="1"/>
  <c r="BA15" i="78"/>
  <c r="BA89" i="78" s="1"/>
  <c r="BA16" i="78"/>
  <c r="BA53" i="78" s="1"/>
  <c r="BA17" i="78"/>
  <c r="BA91" i="78" s="1"/>
  <c r="BA18" i="78"/>
  <c r="BA92" i="78" s="1"/>
  <c r="BA19" i="78"/>
  <c r="BA56" i="78" s="1"/>
  <c r="BA20" i="78"/>
  <c r="BA57" i="78" s="1"/>
  <c r="BA21" i="78"/>
  <c r="BA58" i="78" s="1"/>
  <c r="BA22" i="78"/>
  <c r="BA96" i="78" s="1"/>
  <c r="BA23" i="78"/>
  <c r="BA97" i="78" s="1"/>
  <c r="BA24" i="78"/>
  <c r="BA98" i="78" s="1"/>
  <c r="BA25" i="78"/>
  <c r="BA99" i="78" s="1"/>
  <c r="BA26" i="78"/>
  <c r="BA100" i="78" s="1"/>
  <c r="BA27" i="78"/>
  <c r="BA64" i="78" s="1"/>
  <c r="BA28" i="78"/>
  <c r="BA65" i="78" s="1"/>
  <c r="BA29" i="78"/>
  <c r="BA103" i="78" s="1"/>
  <c r="BA30" i="78"/>
  <c r="BA104" i="78" s="1"/>
  <c r="BA31" i="78"/>
  <c r="BA32" i="78"/>
  <c r="BA106" i="78" s="1"/>
  <c r="BA8" i="78"/>
  <c r="AP9" i="78"/>
  <c r="AP83" i="78" s="1"/>
  <c r="AP10" i="78"/>
  <c r="AP84" i="78" s="1"/>
  <c r="AP11" i="78"/>
  <c r="AP48" i="78" s="1"/>
  <c r="AP12" i="78"/>
  <c r="AP49" i="78" s="1"/>
  <c r="AP13" i="78"/>
  <c r="AP50" i="78" s="1"/>
  <c r="AP14" i="78"/>
  <c r="AP88" i="78" s="1"/>
  <c r="AP15" i="78"/>
  <c r="AP89" i="78" s="1"/>
  <c r="AP16" i="78"/>
  <c r="AP17" i="78"/>
  <c r="AP91" i="78" s="1"/>
  <c r="AP18" i="78"/>
  <c r="AP55" i="78" s="1"/>
  <c r="AP19" i="78"/>
  <c r="AP56" i="78" s="1"/>
  <c r="AP20" i="78"/>
  <c r="AP57" i="78" s="1"/>
  <c r="AP21" i="78"/>
  <c r="AP95" i="78" s="1"/>
  <c r="AP22" i="78"/>
  <c r="AP96" i="78" s="1"/>
  <c r="AP23" i="78"/>
  <c r="AP97" i="78" s="1"/>
  <c r="AP24" i="78"/>
  <c r="AP98" i="78" s="1"/>
  <c r="AP25" i="78"/>
  <c r="AP99" i="78" s="1"/>
  <c r="AP26" i="78"/>
  <c r="AP100" i="78" s="1"/>
  <c r="AP27" i="78"/>
  <c r="AP64" i="78" s="1"/>
  <c r="AP28" i="78"/>
  <c r="AP65" i="78" s="1"/>
  <c r="AP29" i="78"/>
  <c r="AP66" i="78" s="1"/>
  <c r="AP30" i="78"/>
  <c r="AP104" i="78" s="1"/>
  <c r="AP31" i="78"/>
  <c r="AP68" i="78" s="1"/>
  <c r="AP32" i="78"/>
  <c r="AP69" i="78" s="1"/>
  <c r="AP8" i="78"/>
  <c r="AE9" i="78"/>
  <c r="AE10" i="78"/>
  <c r="AE47" i="78" s="1"/>
  <c r="AE11" i="78"/>
  <c r="AE85" i="78" s="1"/>
  <c r="AE12" i="78"/>
  <c r="AE86" i="78" s="1"/>
  <c r="AE13" i="78"/>
  <c r="AE50" i="78" s="1"/>
  <c r="AE14" i="78"/>
  <c r="AE51" i="78" s="1"/>
  <c r="AE15" i="78"/>
  <c r="AE89" i="78" s="1"/>
  <c r="AE16" i="78"/>
  <c r="AE53" i="78" s="1"/>
  <c r="AE17" i="78"/>
  <c r="AE91" i="78" s="1"/>
  <c r="AE18" i="78"/>
  <c r="AE55" i="78" s="1"/>
  <c r="AE19" i="78"/>
  <c r="AE93" i="78" s="1"/>
  <c r="AE20" i="78"/>
  <c r="AE94" i="78" s="1"/>
  <c r="AE21" i="78"/>
  <c r="AE58" i="78" s="1"/>
  <c r="AE22" i="78"/>
  <c r="AE59" i="78" s="1"/>
  <c r="AE23" i="78"/>
  <c r="AE97" i="78" s="1"/>
  <c r="AE24" i="78"/>
  <c r="AE61" i="78" s="1"/>
  <c r="AE25" i="78"/>
  <c r="AE99" i="78" s="1"/>
  <c r="AE26" i="78"/>
  <c r="AE27" i="78"/>
  <c r="AE64" i="78" s="1"/>
  <c r="AE28" i="78"/>
  <c r="AE102" i="78" s="1"/>
  <c r="AE29" i="78"/>
  <c r="AE66" i="78" s="1"/>
  <c r="AE30" i="78"/>
  <c r="AE67" i="78" s="1"/>
  <c r="AE31" i="78"/>
  <c r="AE105" i="78" s="1"/>
  <c r="AE32" i="78"/>
  <c r="AE69" i="78" s="1"/>
  <c r="AE8" i="78"/>
  <c r="CS106" i="78"/>
  <c r="CS55" i="78"/>
  <c r="CS47" i="78"/>
  <c r="CT43" i="78"/>
  <c r="CT80" i="78" s="1"/>
  <c r="CS43" i="78"/>
  <c r="CS80" i="78" s="1"/>
  <c r="CR43" i="78"/>
  <c r="CR80" i="78" s="1"/>
  <c r="CT42" i="78"/>
  <c r="CT79" i="78" s="1"/>
  <c r="CS42" i="78"/>
  <c r="CS79" i="78" s="1"/>
  <c r="CR42" i="78"/>
  <c r="CR79" i="78" s="1"/>
  <c r="CR32" i="78"/>
  <c r="CR69" i="78" s="1"/>
  <c r="CR106" i="78" s="1"/>
  <c r="CR31" i="78"/>
  <c r="CR68" i="78" s="1"/>
  <c r="CR105" i="78" s="1"/>
  <c r="CR30" i="78"/>
  <c r="CR67" i="78" s="1"/>
  <c r="CR104" i="78" s="1"/>
  <c r="CR29" i="78"/>
  <c r="CR66" i="78" s="1"/>
  <c r="CR103" i="78" s="1"/>
  <c r="CR28" i="78"/>
  <c r="CS64" i="78"/>
  <c r="CR27" i="78"/>
  <c r="CR64" i="78" s="1"/>
  <c r="CR101" i="78" s="1"/>
  <c r="CS100" i="78"/>
  <c r="CR26" i="78"/>
  <c r="CT26" i="78" s="1"/>
  <c r="CT63" i="78" s="1"/>
  <c r="CT100" i="78" s="1"/>
  <c r="CR25" i="78"/>
  <c r="CR62" i="78" s="1"/>
  <c r="CR99" i="78" s="1"/>
  <c r="CR24" i="78"/>
  <c r="CR61" i="78" s="1"/>
  <c r="CR98" i="78" s="1"/>
  <c r="CR23" i="78"/>
  <c r="CR60" i="78" s="1"/>
  <c r="CR97" i="78" s="1"/>
  <c r="CR22" i="78"/>
  <c r="CR59" i="78" s="1"/>
  <c r="CR96" i="78" s="1"/>
  <c r="CR21" i="78"/>
  <c r="CR58" i="78" s="1"/>
  <c r="CR95" i="78" s="1"/>
  <c r="CR20" i="78"/>
  <c r="CR19" i="78"/>
  <c r="CR56" i="78" s="1"/>
  <c r="CR93" i="78" s="1"/>
  <c r="CS92" i="78"/>
  <c r="CR18" i="78"/>
  <c r="CR55" i="78" s="1"/>
  <c r="CR92" i="78" s="1"/>
  <c r="CR17" i="78"/>
  <c r="CR16" i="78"/>
  <c r="CR53" i="78" s="1"/>
  <c r="CR90" i="78" s="1"/>
  <c r="CR15" i="78"/>
  <c r="CR52" i="78" s="1"/>
  <c r="CR89" i="78" s="1"/>
  <c r="CR14" i="78"/>
  <c r="CR51" i="78" s="1"/>
  <c r="CR88" i="78" s="1"/>
  <c r="CR13" i="78"/>
  <c r="CR50" i="78" s="1"/>
  <c r="CR87" i="78" s="1"/>
  <c r="CR12" i="78"/>
  <c r="CR11" i="78"/>
  <c r="CR48" i="78" s="1"/>
  <c r="CR85" i="78" s="1"/>
  <c r="CR10" i="78"/>
  <c r="CR47" i="78" s="1"/>
  <c r="CR84" i="78" s="1"/>
  <c r="CR9" i="78"/>
  <c r="CR46" i="78" s="1"/>
  <c r="CR83" i="78" s="1"/>
  <c r="CR8" i="78"/>
  <c r="CT8" i="78" s="1"/>
  <c r="CT45" i="78" s="1"/>
  <c r="CT82" i="78" s="1"/>
  <c r="CH62" i="78"/>
  <c r="CI43" i="78"/>
  <c r="CI80" i="78" s="1"/>
  <c r="CH43" i="78"/>
  <c r="CH80" i="78" s="1"/>
  <c r="CG43" i="78"/>
  <c r="CG80" i="78" s="1"/>
  <c r="CI42" i="78"/>
  <c r="CI79" i="78" s="1"/>
  <c r="CH42" i="78"/>
  <c r="CH79" i="78" s="1"/>
  <c r="CG42" i="78"/>
  <c r="CG79" i="78" s="1"/>
  <c r="CG32" i="78"/>
  <c r="CG31" i="78"/>
  <c r="CG68" i="78" s="1"/>
  <c r="CG105" i="78" s="1"/>
  <c r="CG30" i="78"/>
  <c r="CG67" i="78" s="1"/>
  <c r="CG104" i="78" s="1"/>
  <c r="CG29" i="78"/>
  <c r="CG66" i="78" s="1"/>
  <c r="CG103" i="78" s="1"/>
  <c r="CG28" i="78"/>
  <c r="CG65" i="78" s="1"/>
  <c r="CG102" i="78" s="1"/>
  <c r="CG27" i="78"/>
  <c r="CG26" i="78"/>
  <c r="CG63" i="78" s="1"/>
  <c r="CG100" i="78" s="1"/>
  <c r="CG25" i="78"/>
  <c r="CG62" i="78" s="1"/>
  <c r="CG99" i="78" s="1"/>
  <c r="CG24" i="78"/>
  <c r="CG23" i="78"/>
  <c r="CG60" i="78" s="1"/>
  <c r="CG97" i="78" s="1"/>
  <c r="CG22" i="78"/>
  <c r="CG59" i="78" s="1"/>
  <c r="CG96" i="78" s="1"/>
  <c r="CG21" i="78"/>
  <c r="CG58" i="78" s="1"/>
  <c r="CG95" i="78" s="1"/>
  <c r="CG20" i="78"/>
  <c r="CG57" i="78" s="1"/>
  <c r="CG94" i="78" s="1"/>
  <c r="CG19" i="78"/>
  <c r="CG18" i="78"/>
  <c r="CG55" i="78" s="1"/>
  <c r="CG92" i="78" s="1"/>
  <c r="CH91" i="78"/>
  <c r="CG17" i="78"/>
  <c r="CI17" i="78" s="1"/>
  <c r="CI54" i="78" s="1"/>
  <c r="CI91" i="78" s="1"/>
  <c r="CG16" i="78"/>
  <c r="CG15" i="78"/>
  <c r="CG52" i="78" s="1"/>
  <c r="CG89" i="78" s="1"/>
  <c r="CG14" i="78"/>
  <c r="CG51" i="78" s="1"/>
  <c r="CG88" i="78" s="1"/>
  <c r="CG13" i="78"/>
  <c r="CG50" i="78" s="1"/>
  <c r="CG87" i="78" s="1"/>
  <c r="CG12" i="78"/>
  <c r="CG49" i="78" s="1"/>
  <c r="CG86" i="78" s="1"/>
  <c r="CG11" i="78"/>
  <c r="CG48" i="78" s="1"/>
  <c r="CG85" i="78" s="1"/>
  <c r="CG10" i="78"/>
  <c r="CG47" i="78" s="1"/>
  <c r="CG84" i="78" s="1"/>
  <c r="CH83" i="78"/>
  <c r="CG9" i="78"/>
  <c r="CG46" i="78" s="1"/>
  <c r="CG83" i="78" s="1"/>
  <c r="CG8" i="78"/>
  <c r="BW62" i="78"/>
  <c r="BX43" i="78"/>
  <c r="BX80" i="78" s="1"/>
  <c r="BW43" i="78"/>
  <c r="BW80" i="78" s="1"/>
  <c r="BV43" i="78"/>
  <c r="BV80" i="78" s="1"/>
  <c r="BX42" i="78"/>
  <c r="BX79" i="78" s="1"/>
  <c r="BW42" i="78"/>
  <c r="BW79" i="78" s="1"/>
  <c r="BV42" i="78"/>
  <c r="BV79" i="78" s="1"/>
  <c r="BV32" i="78"/>
  <c r="BV31" i="78"/>
  <c r="BV68" i="78" s="1"/>
  <c r="BV105" i="78" s="1"/>
  <c r="BV30" i="78"/>
  <c r="BV67" i="78" s="1"/>
  <c r="BV104" i="78" s="1"/>
  <c r="BV29" i="78"/>
  <c r="BV66" i="78" s="1"/>
  <c r="BV103" i="78" s="1"/>
  <c r="BV28" i="78"/>
  <c r="BV65" i="78" s="1"/>
  <c r="BV102" i="78" s="1"/>
  <c r="BV27" i="78"/>
  <c r="BV64" i="78" s="1"/>
  <c r="BV101" i="78" s="1"/>
  <c r="BV26" i="78"/>
  <c r="BV63" i="78" s="1"/>
  <c r="BV100" i="78" s="1"/>
  <c r="BV25" i="78"/>
  <c r="BV62" i="78" s="1"/>
  <c r="BV99" i="78" s="1"/>
  <c r="BV24" i="78"/>
  <c r="BX24" i="78" s="1"/>
  <c r="BX61" i="78" s="1"/>
  <c r="BX98" i="78" s="1"/>
  <c r="BV23" i="78"/>
  <c r="BV60" i="78" s="1"/>
  <c r="BV97" i="78" s="1"/>
  <c r="BV22" i="78"/>
  <c r="BV59" i="78" s="1"/>
  <c r="BV96" i="78" s="1"/>
  <c r="BV21" i="78"/>
  <c r="BV58" i="78" s="1"/>
  <c r="BV95" i="78" s="1"/>
  <c r="BV20" i="78"/>
  <c r="BV57" i="78" s="1"/>
  <c r="BV94" i="78" s="1"/>
  <c r="BV19" i="78"/>
  <c r="BV18" i="78"/>
  <c r="BV55" i="78" s="1"/>
  <c r="BV92" i="78" s="1"/>
  <c r="BW91" i="78"/>
  <c r="BV17" i="78"/>
  <c r="BV54" i="78" s="1"/>
  <c r="BV91" i="78" s="1"/>
  <c r="BW53" i="78"/>
  <c r="BV16" i="78"/>
  <c r="BV15" i="78"/>
  <c r="BV52" i="78" s="1"/>
  <c r="BV89" i="78" s="1"/>
  <c r="BV14" i="78"/>
  <c r="BV51" i="78" s="1"/>
  <c r="BV88" i="78" s="1"/>
  <c r="BV13" i="78"/>
  <c r="BV50" i="78" s="1"/>
  <c r="BV87" i="78" s="1"/>
  <c r="BV12" i="78"/>
  <c r="BV49" i="78" s="1"/>
  <c r="BV86" i="78" s="1"/>
  <c r="BV11" i="78"/>
  <c r="BV48" i="78" s="1"/>
  <c r="BV85" i="78" s="1"/>
  <c r="BV10" i="78"/>
  <c r="BV47" i="78" s="1"/>
  <c r="BV84" i="78" s="1"/>
  <c r="BV9" i="78"/>
  <c r="BV46" i="78" s="1"/>
  <c r="BV83" i="78" s="1"/>
  <c r="BV8" i="78"/>
  <c r="BV45" i="78" s="1"/>
  <c r="BV82" i="78" s="1"/>
  <c r="BM43" i="78"/>
  <c r="BM80" i="78" s="1"/>
  <c r="BL43" i="78"/>
  <c r="BL80" i="78" s="1"/>
  <c r="BK43" i="78"/>
  <c r="BK80" i="78" s="1"/>
  <c r="BM42" i="78"/>
  <c r="BM79" i="78" s="1"/>
  <c r="BL42" i="78"/>
  <c r="BL79" i="78" s="1"/>
  <c r="BK42" i="78"/>
  <c r="BK79" i="78" s="1"/>
  <c r="BK32" i="78"/>
  <c r="BK69" i="78" s="1"/>
  <c r="BK106" i="78" s="1"/>
  <c r="BK31" i="78"/>
  <c r="BK68" i="78" s="1"/>
  <c r="BK105" i="78" s="1"/>
  <c r="BK30" i="78"/>
  <c r="BK67" i="78" s="1"/>
  <c r="BK104" i="78" s="1"/>
  <c r="BK29" i="78"/>
  <c r="BK66" i="78" s="1"/>
  <c r="BK103" i="78" s="1"/>
  <c r="BK28" i="78"/>
  <c r="BK65" i="78" s="1"/>
  <c r="BK102" i="78" s="1"/>
  <c r="BK27" i="78"/>
  <c r="BK64" i="78" s="1"/>
  <c r="BK101" i="78" s="1"/>
  <c r="BK26" i="78"/>
  <c r="BK63" i="78" s="1"/>
  <c r="BK100" i="78" s="1"/>
  <c r="BK25" i="78"/>
  <c r="BK24" i="78"/>
  <c r="BK61" i="78" s="1"/>
  <c r="BK98" i="78" s="1"/>
  <c r="BK23" i="78"/>
  <c r="BK60" i="78" s="1"/>
  <c r="BK97" i="78" s="1"/>
  <c r="BK22" i="78"/>
  <c r="BK21" i="78"/>
  <c r="BK58" i="78" s="1"/>
  <c r="BK95" i="78" s="1"/>
  <c r="BK20" i="78"/>
  <c r="BK57" i="78" s="1"/>
  <c r="BK94" i="78" s="1"/>
  <c r="BK19" i="78"/>
  <c r="BK56" i="78" s="1"/>
  <c r="BK93" i="78" s="1"/>
  <c r="BK18" i="78"/>
  <c r="BK55" i="78" s="1"/>
  <c r="BK92" i="78" s="1"/>
  <c r="BK17" i="78"/>
  <c r="BK16" i="78"/>
  <c r="BK53" i="78" s="1"/>
  <c r="BK90" i="78" s="1"/>
  <c r="BK15" i="78"/>
  <c r="BK52" i="78" s="1"/>
  <c r="BK89" i="78" s="1"/>
  <c r="BK14" i="78"/>
  <c r="BK51" i="78" s="1"/>
  <c r="BK88" i="78" s="1"/>
  <c r="BK13" i="78"/>
  <c r="BK50" i="78" s="1"/>
  <c r="BK87" i="78" s="1"/>
  <c r="BK12" i="78"/>
  <c r="BK49" i="78" s="1"/>
  <c r="BK86" i="78" s="1"/>
  <c r="BK11" i="78"/>
  <c r="BK48" i="78" s="1"/>
  <c r="BK85" i="78" s="1"/>
  <c r="BK10" i="78"/>
  <c r="BK47" i="78" s="1"/>
  <c r="BK84" i="78" s="1"/>
  <c r="BK9" i="78"/>
  <c r="BK8" i="78"/>
  <c r="BK45" i="78" s="1"/>
  <c r="BK82" i="78" s="1"/>
  <c r="BB43" i="78"/>
  <c r="BB80" i="78" s="1"/>
  <c r="BA43" i="78"/>
  <c r="BA80" i="78" s="1"/>
  <c r="AZ43" i="78"/>
  <c r="AZ80" i="78" s="1"/>
  <c r="BB42" i="78"/>
  <c r="BB79" i="78" s="1"/>
  <c r="BA42" i="78"/>
  <c r="BA79" i="78" s="1"/>
  <c r="AZ42" i="78"/>
  <c r="AZ79" i="78" s="1"/>
  <c r="AZ32" i="78"/>
  <c r="AZ69" i="78" s="1"/>
  <c r="AZ106" i="78" s="1"/>
  <c r="AZ31" i="78"/>
  <c r="AZ68" i="78" s="1"/>
  <c r="AZ105" i="78" s="1"/>
  <c r="AZ30" i="78"/>
  <c r="AZ67" i="78" s="1"/>
  <c r="AZ104" i="78" s="1"/>
  <c r="AZ29" i="78"/>
  <c r="AZ66" i="78" s="1"/>
  <c r="AZ103" i="78" s="1"/>
  <c r="AZ28" i="78"/>
  <c r="AZ27" i="78"/>
  <c r="AZ64" i="78" s="1"/>
  <c r="AZ101" i="78" s="1"/>
  <c r="AZ26" i="78"/>
  <c r="AZ63" i="78" s="1"/>
  <c r="AZ100" i="78" s="1"/>
  <c r="AZ25" i="78"/>
  <c r="AZ24" i="78"/>
  <c r="AZ61" i="78" s="1"/>
  <c r="AZ98" i="78" s="1"/>
  <c r="AZ23" i="78"/>
  <c r="AZ60" i="78" s="1"/>
  <c r="AZ97" i="78" s="1"/>
  <c r="AZ22" i="78"/>
  <c r="AZ59" i="78" s="1"/>
  <c r="AZ96" i="78" s="1"/>
  <c r="AZ21" i="78"/>
  <c r="AZ58" i="78" s="1"/>
  <c r="AZ95" i="78" s="1"/>
  <c r="AZ20" i="78"/>
  <c r="AZ19" i="78"/>
  <c r="AZ56" i="78" s="1"/>
  <c r="AZ93" i="78" s="1"/>
  <c r="AZ18" i="78"/>
  <c r="AZ55" i="78" s="1"/>
  <c r="AZ92" i="78" s="1"/>
  <c r="AZ17" i="78"/>
  <c r="AZ16" i="78"/>
  <c r="AZ53" i="78" s="1"/>
  <c r="AZ90" i="78" s="1"/>
  <c r="AZ15" i="78"/>
  <c r="AZ52" i="78" s="1"/>
  <c r="AZ89" i="78" s="1"/>
  <c r="AZ14" i="78"/>
  <c r="AZ51" i="78" s="1"/>
  <c r="AZ88" i="78" s="1"/>
  <c r="AZ13" i="78"/>
  <c r="AZ50" i="78" s="1"/>
  <c r="AZ87" i="78" s="1"/>
  <c r="AZ12" i="78"/>
  <c r="AZ11" i="78"/>
  <c r="AZ48" i="78" s="1"/>
  <c r="AZ85" i="78" s="1"/>
  <c r="AZ10" i="78"/>
  <c r="AZ47" i="78" s="1"/>
  <c r="AZ84" i="78" s="1"/>
  <c r="AZ9" i="78"/>
  <c r="AZ8" i="78"/>
  <c r="AZ45" i="78" s="1"/>
  <c r="AZ82" i="78" s="1"/>
  <c r="AQ43" i="78"/>
  <c r="AQ80" i="78" s="1"/>
  <c r="AP43" i="78"/>
  <c r="AP80" i="78" s="1"/>
  <c r="AO43" i="78"/>
  <c r="AO80" i="78" s="1"/>
  <c r="AQ42" i="78"/>
  <c r="AQ79" i="78" s="1"/>
  <c r="AP42" i="78"/>
  <c r="AP79" i="78" s="1"/>
  <c r="AO42" i="78"/>
  <c r="AO79" i="78" s="1"/>
  <c r="AO32" i="78"/>
  <c r="AO69" i="78" s="1"/>
  <c r="AO106" i="78" s="1"/>
  <c r="AO31" i="78"/>
  <c r="AO68" i="78" s="1"/>
  <c r="AO105" i="78" s="1"/>
  <c r="AO30" i="78"/>
  <c r="AO67" i="78" s="1"/>
  <c r="AO104" i="78" s="1"/>
  <c r="AO29" i="78"/>
  <c r="AO66" i="78" s="1"/>
  <c r="AO103" i="78" s="1"/>
  <c r="AP102" i="78"/>
  <c r="AO28" i="78"/>
  <c r="AO27" i="78"/>
  <c r="AO64" i="78" s="1"/>
  <c r="AO101" i="78" s="1"/>
  <c r="AO26" i="78"/>
  <c r="AO63" i="78" s="1"/>
  <c r="AO100" i="78" s="1"/>
  <c r="AO25" i="78"/>
  <c r="AO24" i="78"/>
  <c r="AO61" i="78" s="1"/>
  <c r="AO98" i="78" s="1"/>
  <c r="AO23" i="78"/>
  <c r="AO60" i="78" s="1"/>
  <c r="AO97" i="78" s="1"/>
  <c r="AO22" i="78"/>
  <c r="AO59" i="78" s="1"/>
  <c r="AO96" i="78" s="1"/>
  <c r="AO21" i="78"/>
  <c r="AO58" i="78" s="1"/>
  <c r="AO95" i="78" s="1"/>
  <c r="AO20" i="78"/>
  <c r="AO19" i="78"/>
  <c r="AO56" i="78" s="1"/>
  <c r="AO93" i="78" s="1"/>
  <c r="AO18" i="78"/>
  <c r="AO55" i="78" s="1"/>
  <c r="AO92" i="78" s="1"/>
  <c r="AO17" i="78"/>
  <c r="AO16" i="78"/>
  <c r="AO53" i="78" s="1"/>
  <c r="AO90" i="78" s="1"/>
  <c r="AO15" i="78"/>
  <c r="AO52" i="78" s="1"/>
  <c r="AO89" i="78" s="1"/>
  <c r="AO14" i="78"/>
  <c r="AO51" i="78" s="1"/>
  <c r="AO88" i="78" s="1"/>
  <c r="AO13" i="78"/>
  <c r="AO50" i="78" s="1"/>
  <c r="AO87" i="78" s="1"/>
  <c r="AO12" i="78"/>
  <c r="AO11" i="78"/>
  <c r="AO48" i="78" s="1"/>
  <c r="AO85" i="78" s="1"/>
  <c r="AO10" i="78"/>
  <c r="AO47" i="78" s="1"/>
  <c r="AO84" i="78" s="1"/>
  <c r="AO9" i="78"/>
  <c r="AO8" i="78"/>
  <c r="AO45" i="78" s="1"/>
  <c r="AO82" i="78" s="1"/>
  <c r="AF43" i="78"/>
  <c r="AF80" i="78" s="1"/>
  <c r="AE43" i="78"/>
  <c r="AE80" i="78" s="1"/>
  <c r="AD43" i="78"/>
  <c r="AD80" i="78" s="1"/>
  <c r="AF42" i="78"/>
  <c r="AF79" i="78" s="1"/>
  <c r="AE42" i="78"/>
  <c r="AE79" i="78" s="1"/>
  <c r="AD42" i="78"/>
  <c r="AD79" i="78" s="1"/>
  <c r="AD32" i="78"/>
  <c r="AD69" i="78" s="1"/>
  <c r="AD106" i="78" s="1"/>
  <c r="AD31" i="78"/>
  <c r="AD30" i="78"/>
  <c r="AD67" i="78" s="1"/>
  <c r="AD104" i="78" s="1"/>
  <c r="AD29" i="78"/>
  <c r="AD66" i="78" s="1"/>
  <c r="AD103" i="78" s="1"/>
  <c r="AD28" i="78"/>
  <c r="AD27" i="78"/>
  <c r="AD64" i="78" s="1"/>
  <c r="AD101" i="78" s="1"/>
  <c r="AD26" i="78"/>
  <c r="AD63" i="78" s="1"/>
  <c r="AD100" i="78" s="1"/>
  <c r="AD25" i="78"/>
  <c r="AD62" i="78" s="1"/>
  <c r="AD99" i="78" s="1"/>
  <c r="AD24" i="78"/>
  <c r="AD61" i="78" s="1"/>
  <c r="AD98" i="78" s="1"/>
  <c r="AD23" i="78"/>
  <c r="AD22" i="78"/>
  <c r="AD59" i="78" s="1"/>
  <c r="AD96" i="78" s="1"/>
  <c r="AD21" i="78"/>
  <c r="AD58" i="78" s="1"/>
  <c r="AD95" i="78" s="1"/>
  <c r="AD20" i="78"/>
  <c r="AD19" i="78"/>
  <c r="AD56" i="78" s="1"/>
  <c r="AD93" i="78" s="1"/>
  <c r="AD18" i="78"/>
  <c r="AD55" i="78" s="1"/>
  <c r="AD92" i="78" s="1"/>
  <c r="AD17" i="78"/>
  <c r="AD54" i="78" s="1"/>
  <c r="AD91" i="78" s="1"/>
  <c r="AD16" i="78"/>
  <c r="AD53" i="78" s="1"/>
  <c r="AD90" i="78" s="1"/>
  <c r="AD15" i="78"/>
  <c r="AD14" i="78"/>
  <c r="AD51" i="78" s="1"/>
  <c r="AD88" i="78" s="1"/>
  <c r="AD13" i="78"/>
  <c r="AD50" i="78" s="1"/>
  <c r="AD87" i="78" s="1"/>
  <c r="AD12" i="78"/>
  <c r="AD11" i="78"/>
  <c r="AD48" i="78" s="1"/>
  <c r="AD85" i="78" s="1"/>
  <c r="AD10" i="78"/>
  <c r="AD47" i="78" s="1"/>
  <c r="AD84" i="78" s="1"/>
  <c r="AD9" i="78"/>
  <c r="AD46" i="78" s="1"/>
  <c r="AD83" i="78" s="1"/>
  <c r="AD8" i="78"/>
  <c r="AD45" i="78" s="1"/>
  <c r="AD82" i="78" s="1"/>
  <c r="I106" i="49"/>
  <c r="I95" i="49"/>
  <c r="I84" i="49"/>
  <c r="I73" i="49"/>
  <c r="I62" i="49"/>
  <c r="I51" i="49"/>
  <c r="A267" i="49"/>
  <c r="G292" i="49"/>
  <c r="D292" i="49"/>
  <c r="F292" i="49" s="1"/>
  <c r="G291" i="49"/>
  <c r="D291" i="49"/>
  <c r="F291" i="49" s="1"/>
  <c r="G290" i="49"/>
  <c r="D290" i="49"/>
  <c r="F290" i="49" s="1"/>
  <c r="G289" i="49"/>
  <c r="D289" i="49"/>
  <c r="F289" i="49" s="1"/>
  <c r="G288" i="49"/>
  <c r="D288" i="49"/>
  <c r="F288" i="49" s="1"/>
  <c r="G287" i="49"/>
  <c r="D287" i="49"/>
  <c r="F287" i="49" s="1"/>
  <c r="G286" i="49"/>
  <c r="D286" i="49"/>
  <c r="F286" i="49" s="1"/>
  <c r="G285" i="49"/>
  <c r="D285" i="49"/>
  <c r="F285" i="49" s="1"/>
  <c r="G284" i="49"/>
  <c r="D284" i="49"/>
  <c r="F284" i="49" s="1"/>
  <c r="G283" i="49"/>
  <c r="D283" i="49"/>
  <c r="F283" i="49" s="1"/>
  <c r="G282" i="49"/>
  <c r="D282" i="49"/>
  <c r="F282" i="49" s="1"/>
  <c r="G281" i="49"/>
  <c r="D281" i="49"/>
  <c r="F281" i="49" s="1"/>
  <c r="G280" i="49"/>
  <c r="D280" i="49"/>
  <c r="F280" i="49" s="1"/>
  <c r="G279" i="49"/>
  <c r="D279" i="49"/>
  <c r="F279" i="49" s="1"/>
  <c r="G278" i="49"/>
  <c r="D278" i="49"/>
  <c r="F278" i="49" s="1"/>
  <c r="G277" i="49"/>
  <c r="D277" i="49"/>
  <c r="F277" i="49" s="1"/>
  <c r="G276" i="49"/>
  <c r="D276" i="49"/>
  <c r="F276" i="49" s="1"/>
  <c r="G275" i="49"/>
  <c r="D275" i="49"/>
  <c r="F275" i="49" s="1"/>
  <c r="G274" i="49"/>
  <c r="D274" i="49"/>
  <c r="F274" i="49" s="1"/>
  <c r="G273" i="49"/>
  <c r="D273" i="49"/>
  <c r="F273" i="49" s="1"/>
  <c r="G272" i="49"/>
  <c r="D272" i="49"/>
  <c r="F272" i="49" s="1"/>
  <c r="G271" i="49"/>
  <c r="D271" i="49"/>
  <c r="F271" i="49" s="1"/>
  <c r="G270" i="49"/>
  <c r="D270" i="49"/>
  <c r="F270" i="49" s="1"/>
  <c r="G269" i="49"/>
  <c r="D269" i="49"/>
  <c r="G268" i="49"/>
  <c r="D268" i="49"/>
  <c r="G245" i="49"/>
  <c r="A238" i="49"/>
  <c r="G263" i="49"/>
  <c r="D263" i="49"/>
  <c r="F263" i="49" s="1"/>
  <c r="G262" i="49"/>
  <c r="D262" i="49"/>
  <c r="F262" i="49" s="1"/>
  <c r="G261" i="49"/>
  <c r="D261" i="49"/>
  <c r="F261" i="49" s="1"/>
  <c r="G260" i="49"/>
  <c r="D260" i="49"/>
  <c r="F260" i="49" s="1"/>
  <c r="G259" i="49"/>
  <c r="D259" i="49"/>
  <c r="F259" i="49" s="1"/>
  <c r="G258" i="49"/>
  <c r="D258" i="49"/>
  <c r="F258" i="49" s="1"/>
  <c r="G257" i="49"/>
  <c r="D257" i="49"/>
  <c r="F257" i="49" s="1"/>
  <c r="G256" i="49"/>
  <c r="D256" i="49"/>
  <c r="F256" i="49" s="1"/>
  <c r="G255" i="49"/>
  <c r="D255" i="49"/>
  <c r="F255" i="49" s="1"/>
  <c r="G254" i="49"/>
  <c r="D254" i="49"/>
  <c r="F254" i="49" s="1"/>
  <c r="G253" i="49"/>
  <c r="D253" i="49"/>
  <c r="F253" i="49" s="1"/>
  <c r="G252" i="49"/>
  <c r="D252" i="49"/>
  <c r="F252" i="49" s="1"/>
  <c r="G251" i="49"/>
  <c r="D251" i="49"/>
  <c r="F251" i="49" s="1"/>
  <c r="G250" i="49"/>
  <c r="D250" i="49"/>
  <c r="F250" i="49" s="1"/>
  <c r="G249" i="49"/>
  <c r="D249" i="49"/>
  <c r="F249" i="49" s="1"/>
  <c r="G248" i="49"/>
  <c r="D248" i="49"/>
  <c r="F248" i="49" s="1"/>
  <c r="G247" i="49"/>
  <c r="D247" i="49"/>
  <c r="F247" i="49" s="1"/>
  <c r="G246" i="49"/>
  <c r="D246" i="49"/>
  <c r="F246" i="49" s="1"/>
  <c r="D245" i="49"/>
  <c r="F245" i="49" s="1"/>
  <c r="G244" i="49"/>
  <c r="D244" i="49"/>
  <c r="F244" i="49" s="1"/>
  <c r="G243" i="49"/>
  <c r="D243" i="49"/>
  <c r="F243" i="49" s="1"/>
  <c r="G242" i="49"/>
  <c r="D242" i="49"/>
  <c r="F242" i="49" s="1"/>
  <c r="G241" i="49"/>
  <c r="D241" i="49"/>
  <c r="F241" i="49" s="1"/>
  <c r="G240" i="49"/>
  <c r="D240" i="49"/>
  <c r="F240" i="49" s="1"/>
  <c r="G239" i="49"/>
  <c r="D239" i="49"/>
  <c r="A209" i="49"/>
  <c r="G234" i="49"/>
  <c r="D234" i="49"/>
  <c r="F234" i="49" s="1"/>
  <c r="G233" i="49"/>
  <c r="D233" i="49"/>
  <c r="F233" i="49" s="1"/>
  <c r="G232" i="49"/>
  <c r="D232" i="49"/>
  <c r="F232" i="49" s="1"/>
  <c r="G231" i="49"/>
  <c r="D231" i="49"/>
  <c r="F231" i="49" s="1"/>
  <c r="G230" i="49"/>
  <c r="D230" i="49"/>
  <c r="F230" i="49" s="1"/>
  <c r="G229" i="49"/>
  <c r="D229" i="49"/>
  <c r="F229" i="49" s="1"/>
  <c r="G228" i="49"/>
  <c r="D228" i="49"/>
  <c r="F228" i="49" s="1"/>
  <c r="G227" i="49"/>
  <c r="D227" i="49"/>
  <c r="F227" i="49" s="1"/>
  <c r="G226" i="49"/>
  <c r="D226" i="49"/>
  <c r="F226" i="49" s="1"/>
  <c r="G225" i="49"/>
  <c r="D225" i="49"/>
  <c r="F225" i="49" s="1"/>
  <c r="G224" i="49"/>
  <c r="D224" i="49"/>
  <c r="F224" i="49" s="1"/>
  <c r="G223" i="49"/>
  <c r="D223" i="49"/>
  <c r="F223" i="49" s="1"/>
  <c r="G222" i="49"/>
  <c r="D222" i="49"/>
  <c r="F222" i="49" s="1"/>
  <c r="G221" i="49"/>
  <c r="D221" i="49"/>
  <c r="F221" i="49" s="1"/>
  <c r="G220" i="49"/>
  <c r="D220" i="49"/>
  <c r="F220" i="49" s="1"/>
  <c r="G219" i="49"/>
  <c r="D219" i="49"/>
  <c r="F219" i="49" s="1"/>
  <c r="G218" i="49"/>
  <c r="D218" i="49"/>
  <c r="F218" i="49" s="1"/>
  <c r="G217" i="49"/>
  <c r="D217" i="49"/>
  <c r="F217" i="49" s="1"/>
  <c r="G216" i="49"/>
  <c r="D216" i="49"/>
  <c r="F216" i="49" s="1"/>
  <c r="G215" i="49"/>
  <c r="D215" i="49"/>
  <c r="F215" i="49" s="1"/>
  <c r="G214" i="49"/>
  <c r="D214" i="49"/>
  <c r="F214" i="49" s="1"/>
  <c r="G213" i="49"/>
  <c r="D213" i="49"/>
  <c r="F213" i="49" s="1"/>
  <c r="G212" i="49"/>
  <c r="D212" i="49"/>
  <c r="F212" i="49" s="1"/>
  <c r="G211" i="49"/>
  <c r="D211" i="49"/>
  <c r="G210" i="49"/>
  <c r="D210" i="49"/>
  <c r="A180" i="49"/>
  <c r="G205" i="49"/>
  <c r="D205" i="49"/>
  <c r="F205" i="49" s="1"/>
  <c r="G204" i="49"/>
  <c r="D204" i="49"/>
  <c r="F204" i="49" s="1"/>
  <c r="G203" i="49"/>
  <c r="D203" i="49"/>
  <c r="F203" i="49" s="1"/>
  <c r="G202" i="49"/>
  <c r="D202" i="49"/>
  <c r="F202" i="49" s="1"/>
  <c r="G201" i="49"/>
  <c r="D201" i="49"/>
  <c r="F201" i="49" s="1"/>
  <c r="G200" i="49"/>
  <c r="D200" i="49"/>
  <c r="F200" i="49" s="1"/>
  <c r="G199" i="49"/>
  <c r="D199" i="49"/>
  <c r="F199" i="49" s="1"/>
  <c r="G198" i="49"/>
  <c r="D198" i="49"/>
  <c r="F198" i="49" s="1"/>
  <c r="G197" i="49"/>
  <c r="D197" i="49"/>
  <c r="F197" i="49" s="1"/>
  <c r="G196" i="49"/>
  <c r="D196" i="49"/>
  <c r="F196" i="49" s="1"/>
  <c r="G195" i="49"/>
  <c r="D195" i="49"/>
  <c r="F195" i="49" s="1"/>
  <c r="G194" i="49"/>
  <c r="D194" i="49"/>
  <c r="F194" i="49" s="1"/>
  <c r="G193" i="49"/>
  <c r="D193" i="49"/>
  <c r="F193" i="49" s="1"/>
  <c r="G192" i="49"/>
  <c r="D192" i="49"/>
  <c r="F192" i="49" s="1"/>
  <c r="G191" i="49"/>
  <c r="D191" i="49"/>
  <c r="F191" i="49" s="1"/>
  <c r="G190" i="49"/>
  <c r="D190" i="49"/>
  <c r="F190" i="49" s="1"/>
  <c r="G189" i="49"/>
  <c r="D189" i="49"/>
  <c r="F189" i="49" s="1"/>
  <c r="G188" i="49"/>
  <c r="D188" i="49"/>
  <c r="F188" i="49" s="1"/>
  <c r="G187" i="49"/>
  <c r="D187" i="49"/>
  <c r="F187" i="49" s="1"/>
  <c r="G186" i="49"/>
  <c r="D186" i="49"/>
  <c r="F186" i="49" s="1"/>
  <c r="G185" i="49"/>
  <c r="D185" i="49"/>
  <c r="F185" i="49" s="1"/>
  <c r="G184" i="49"/>
  <c r="D184" i="49"/>
  <c r="F184" i="49" s="1"/>
  <c r="G183" i="49"/>
  <c r="D183" i="49"/>
  <c r="F183" i="49" s="1"/>
  <c r="G182" i="49"/>
  <c r="D182" i="49"/>
  <c r="G181" i="49"/>
  <c r="D181" i="49"/>
  <c r="G152" i="49"/>
  <c r="D152" i="49"/>
  <c r="A151" i="49"/>
  <c r="G176" i="49"/>
  <c r="D176" i="49"/>
  <c r="F176" i="49" s="1"/>
  <c r="G175" i="49"/>
  <c r="D175" i="49"/>
  <c r="F175" i="49" s="1"/>
  <c r="G174" i="49"/>
  <c r="D174" i="49"/>
  <c r="F174" i="49" s="1"/>
  <c r="G173" i="49"/>
  <c r="D173" i="49"/>
  <c r="F173" i="49" s="1"/>
  <c r="G172" i="49"/>
  <c r="D172" i="49"/>
  <c r="F172" i="49" s="1"/>
  <c r="G171" i="49"/>
  <c r="D171" i="49"/>
  <c r="F171" i="49" s="1"/>
  <c r="G170" i="49"/>
  <c r="D170" i="49"/>
  <c r="F170" i="49" s="1"/>
  <c r="G169" i="49"/>
  <c r="D169" i="49"/>
  <c r="F169" i="49" s="1"/>
  <c r="G168" i="49"/>
  <c r="D168" i="49"/>
  <c r="F168" i="49" s="1"/>
  <c r="G167" i="49"/>
  <c r="D167" i="49"/>
  <c r="F167" i="49" s="1"/>
  <c r="G166" i="49"/>
  <c r="D166" i="49"/>
  <c r="F166" i="49" s="1"/>
  <c r="G165" i="49"/>
  <c r="D165" i="49"/>
  <c r="F165" i="49" s="1"/>
  <c r="G164" i="49"/>
  <c r="D164" i="49"/>
  <c r="F164" i="49" s="1"/>
  <c r="G163" i="49"/>
  <c r="D163" i="49"/>
  <c r="F163" i="49" s="1"/>
  <c r="G162" i="49"/>
  <c r="D162" i="49"/>
  <c r="F162" i="49" s="1"/>
  <c r="G161" i="49"/>
  <c r="D161" i="49"/>
  <c r="F161" i="49" s="1"/>
  <c r="G160" i="49"/>
  <c r="D160" i="49"/>
  <c r="F160" i="49" s="1"/>
  <c r="G159" i="49"/>
  <c r="D159" i="49"/>
  <c r="F159" i="49" s="1"/>
  <c r="G158" i="49"/>
  <c r="D158" i="49"/>
  <c r="F158" i="49" s="1"/>
  <c r="G157" i="49"/>
  <c r="D157" i="49"/>
  <c r="F157" i="49" s="1"/>
  <c r="G156" i="49"/>
  <c r="D156" i="49"/>
  <c r="F156" i="49" s="1"/>
  <c r="G155" i="49"/>
  <c r="D155" i="49"/>
  <c r="F155" i="49" s="1"/>
  <c r="G154" i="49"/>
  <c r="D154" i="49"/>
  <c r="F154" i="49" s="1"/>
  <c r="G153" i="49"/>
  <c r="D153" i="49"/>
  <c r="S9" i="78"/>
  <c r="S46" i="78" s="1"/>
  <c r="S83" i="78" s="1"/>
  <c r="S10" i="78"/>
  <c r="S47" i="78" s="1"/>
  <c r="S84" i="78" s="1"/>
  <c r="S11" i="78"/>
  <c r="S48" i="78" s="1"/>
  <c r="S85" i="78" s="1"/>
  <c r="S12" i="78"/>
  <c r="S49" i="78" s="1"/>
  <c r="S86" i="78" s="1"/>
  <c r="S13" i="78"/>
  <c r="S50" i="78" s="1"/>
  <c r="S87" i="78" s="1"/>
  <c r="S14" i="78"/>
  <c r="S51" i="78" s="1"/>
  <c r="S88" i="78" s="1"/>
  <c r="S15" i="78"/>
  <c r="S52" i="78" s="1"/>
  <c r="S89" i="78" s="1"/>
  <c r="S16" i="78"/>
  <c r="S53" i="78" s="1"/>
  <c r="S90" i="78" s="1"/>
  <c r="S17" i="78"/>
  <c r="S54" i="78" s="1"/>
  <c r="S91" i="78" s="1"/>
  <c r="S18" i="78"/>
  <c r="S55" i="78" s="1"/>
  <c r="S92" i="78" s="1"/>
  <c r="S19" i="78"/>
  <c r="S56" i="78" s="1"/>
  <c r="S93" i="78" s="1"/>
  <c r="S20" i="78"/>
  <c r="S57" i="78" s="1"/>
  <c r="S94" i="78" s="1"/>
  <c r="S21" i="78"/>
  <c r="S58" i="78" s="1"/>
  <c r="S95" i="78" s="1"/>
  <c r="S22" i="78"/>
  <c r="S59" i="78" s="1"/>
  <c r="S96" i="78" s="1"/>
  <c r="S23" i="78"/>
  <c r="S60" i="78" s="1"/>
  <c r="S97" i="78" s="1"/>
  <c r="S24" i="78"/>
  <c r="S61" i="78" s="1"/>
  <c r="S98" i="78" s="1"/>
  <c r="S25" i="78"/>
  <c r="S62" i="78" s="1"/>
  <c r="S99" i="78" s="1"/>
  <c r="S26" i="78"/>
  <c r="S63" i="78" s="1"/>
  <c r="S100" i="78" s="1"/>
  <c r="S27" i="78"/>
  <c r="S64" i="78" s="1"/>
  <c r="S101" i="78" s="1"/>
  <c r="S28" i="78"/>
  <c r="S65" i="78" s="1"/>
  <c r="S102" i="78" s="1"/>
  <c r="S29" i="78"/>
  <c r="S66" i="78" s="1"/>
  <c r="S103" i="78" s="1"/>
  <c r="S30" i="78"/>
  <c r="S67" i="78" s="1"/>
  <c r="S104" i="78" s="1"/>
  <c r="S31" i="78"/>
  <c r="S68" i="78" s="1"/>
  <c r="S105" i="78" s="1"/>
  <c r="S32" i="78"/>
  <c r="S69" i="78" s="1"/>
  <c r="S106" i="78" s="1"/>
  <c r="T8" i="78"/>
  <c r="S8" i="78"/>
  <c r="S45" i="78" s="1"/>
  <c r="S82" i="78" s="1"/>
  <c r="F120" i="78"/>
  <c r="F121" i="78"/>
  <c r="F122" i="78"/>
  <c r="F123" i="78"/>
  <c r="F124" i="78"/>
  <c r="F125" i="78"/>
  <c r="F126" i="78"/>
  <c r="F127" i="78"/>
  <c r="F128" i="78"/>
  <c r="F129" i="78"/>
  <c r="F130" i="78"/>
  <c r="F131" i="78"/>
  <c r="F132" i="78"/>
  <c r="F133" i="78"/>
  <c r="F134" i="78"/>
  <c r="F135" i="78"/>
  <c r="F136" i="78"/>
  <c r="F137" i="78"/>
  <c r="F138" i="78"/>
  <c r="F139" i="78"/>
  <c r="F140" i="78"/>
  <c r="F141" i="78"/>
  <c r="F142" i="78"/>
  <c r="F143" i="78"/>
  <c r="F119" i="78"/>
  <c r="F117" i="78"/>
  <c r="H29" i="78"/>
  <c r="H66" i="78" s="1"/>
  <c r="H103" i="78" s="1"/>
  <c r="I8" i="78"/>
  <c r="H45" i="78"/>
  <c r="H82" i="78" s="1"/>
  <c r="H8" i="71"/>
  <c r="H9" i="71"/>
  <c r="H10" i="71"/>
  <c r="H11" i="71"/>
  <c r="H12" i="71"/>
  <c r="H13" i="71"/>
  <c r="H14" i="71"/>
  <c r="H15" i="71"/>
  <c r="H16" i="71"/>
  <c r="H17" i="71"/>
  <c r="H18" i="71"/>
  <c r="H19" i="71"/>
  <c r="H20" i="71"/>
  <c r="H21" i="71"/>
  <c r="H22" i="71"/>
  <c r="H23" i="71"/>
  <c r="H24" i="71"/>
  <c r="H25" i="71"/>
  <c r="H26" i="71"/>
  <c r="H27" i="71"/>
  <c r="H28" i="71"/>
  <c r="H29" i="71"/>
  <c r="H30" i="71"/>
  <c r="H31" i="71"/>
  <c r="H32" i="71"/>
  <c r="H9" i="78"/>
  <c r="H46" i="78" s="1"/>
  <c r="H83" i="78" s="1"/>
  <c r="H10" i="78"/>
  <c r="H47" i="78" s="1"/>
  <c r="H84" i="78" s="1"/>
  <c r="H11" i="78"/>
  <c r="H48" i="78" s="1"/>
  <c r="H85" i="78" s="1"/>
  <c r="H12" i="78"/>
  <c r="H49" i="78" s="1"/>
  <c r="H86" i="78" s="1"/>
  <c r="H13" i="78"/>
  <c r="H50" i="78" s="1"/>
  <c r="H87" i="78" s="1"/>
  <c r="H14" i="78"/>
  <c r="H51" i="78" s="1"/>
  <c r="H88" i="78" s="1"/>
  <c r="H15" i="78"/>
  <c r="H52" i="78" s="1"/>
  <c r="H89" i="78" s="1"/>
  <c r="H16" i="78"/>
  <c r="H53" i="78" s="1"/>
  <c r="H90" i="78" s="1"/>
  <c r="H17" i="78"/>
  <c r="H54" i="78" s="1"/>
  <c r="H91" i="78" s="1"/>
  <c r="H18" i="78"/>
  <c r="H55" i="78" s="1"/>
  <c r="H92" i="78" s="1"/>
  <c r="H19" i="78"/>
  <c r="H56" i="78" s="1"/>
  <c r="H93" i="78" s="1"/>
  <c r="H20" i="78"/>
  <c r="H57" i="78" s="1"/>
  <c r="H94" i="78" s="1"/>
  <c r="H21" i="78"/>
  <c r="H58" i="78" s="1"/>
  <c r="H95" i="78" s="1"/>
  <c r="H22" i="78"/>
  <c r="H59" i="78" s="1"/>
  <c r="H96" i="78" s="1"/>
  <c r="H23" i="78"/>
  <c r="H60" i="78" s="1"/>
  <c r="H97" i="78" s="1"/>
  <c r="H24" i="78"/>
  <c r="H61" i="78" s="1"/>
  <c r="H98" i="78" s="1"/>
  <c r="H25" i="78"/>
  <c r="H62" i="78" s="1"/>
  <c r="H99" i="78" s="1"/>
  <c r="H26" i="78"/>
  <c r="H63" i="78" s="1"/>
  <c r="H100" i="78" s="1"/>
  <c r="H27" i="78"/>
  <c r="H64" i="78" s="1"/>
  <c r="H101" i="78" s="1"/>
  <c r="H28" i="78"/>
  <c r="H65" i="78" s="1"/>
  <c r="H102" i="78" s="1"/>
  <c r="H30" i="78"/>
  <c r="H67" i="78" s="1"/>
  <c r="H104" i="78" s="1"/>
  <c r="H31" i="78"/>
  <c r="H68" i="78" s="1"/>
  <c r="H105" i="78" s="1"/>
  <c r="H32" i="78"/>
  <c r="H69" i="78" s="1"/>
  <c r="H106" i="78" s="1"/>
  <c r="H4" i="78"/>
  <c r="BV41" i="78" s="1"/>
  <c r="M5" i="76"/>
  <c r="M9" i="76"/>
  <c r="M15" i="76"/>
  <c r="F120" i="71"/>
  <c r="N83" i="75" s="1"/>
  <c r="F121" i="71"/>
  <c r="N84" i="75" s="1"/>
  <c r="F122" i="71"/>
  <c r="N85" i="75" s="1"/>
  <c r="F123" i="71"/>
  <c r="N86" i="75" s="1"/>
  <c r="F124" i="71"/>
  <c r="N87" i="75" s="1"/>
  <c r="F125" i="71"/>
  <c r="N88" i="75" s="1"/>
  <c r="F126" i="71"/>
  <c r="N89" i="75" s="1"/>
  <c r="F127" i="71"/>
  <c r="N90" i="75" s="1"/>
  <c r="F128" i="71"/>
  <c r="N91" i="75" s="1"/>
  <c r="F129" i="71"/>
  <c r="N92" i="75" s="1"/>
  <c r="F130" i="71"/>
  <c r="N93" i="75" s="1"/>
  <c r="F131" i="71"/>
  <c r="N94" i="75" s="1"/>
  <c r="F132" i="71"/>
  <c r="N95" i="75" s="1"/>
  <c r="F133" i="71"/>
  <c r="N96" i="75" s="1"/>
  <c r="F134" i="71"/>
  <c r="N97" i="75" s="1"/>
  <c r="F135" i="71"/>
  <c r="N98" i="75" s="1"/>
  <c r="F136" i="71"/>
  <c r="N99" i="75" s="1"/>
  <c r="F137" i="71"/>
  <c r="N100" i="75" s="1"/>
  <c r="F138" i="71"/>
  <c r="N101" i="75" s="1"/>
  <c r="F139" i="71"/>
  <c r="N102" i="75" s="1"/>
  <c r="F140" i="71"/>
  <c r="N103" i="75" s="1"/>
  <c r="F141" i="71"/>
  <c r="N104" i="75" s="1"/>
  <c r="F142" i="71"/>
  <c r="N105" i="75" s="1"/>
  <c r="F143" i="71"/>
  <c r="N106" i="75" s="1"/>
  <c r="F119" i="71"/>
  <c r="N82" i="75" s="1"/>
  <c r="F117" i="71"/>
  <c r="F83" i="71"/>
  <c r="F84" i="71"/>
  <c r="F85" i="71"/>
  <c r="F86" i="71"/>
  <c r="F87" i="71"/>
  <c r="F88" i="71"/>
  <c r="F89" i="71"/>
  <c r="F90" i="71"/>
  <c r="F91" i="71"/>
  <c r="F92" i="71"/>
  <c r="F93" i="71"/>
  <c r="F94" i="71"/>
  <c r="F95" i="71"/>
  <c r="F96" i="71"/>
  <c r="F97" i="71"/>
  <c r="F98" i="71"/>
  <c r="F99" i="71"/>
  <c r="F100" i="71"/>
  <c r="F101" i="71"/>
  <c r="F102" i="71"/>
  <c r="F103" i="71"/>
  <c r="F104" i="71"/>
  <c r="F105" i="71"/>
  <c r="F106" i="71"/>
  <c r="F82" i="71"/>
  <c r="F80" i="71"/>
  <c r="D207" i="49" l="1"/>
  <c r="D236" i="49"/>
  <c r="D294" i="49"/>
  <c r="D178" i="49"/>
  <c r="D265" i="49"/>
  <c r="AE35" i="78"/>
  <c r="AP82" i="78"/>
  <c r="AP35" i="78"/>
  <c r="I45" i="78"/>
  <c r="BA45" i="78"/>
  <c r="BA35" i="78"/>
  <c r="BL35" i="78"/>
  <c r="T82" i="78"/>
  <c r="BW82" i="78"/>
  <c r="BW35" i="78"/>
  <c r="CH82" i="78"/>
  <c r="CH35" i="78"/>
  <c r="CS45" i="78"/>
  <c r="CS35" i="78"/>
  <c r="F268" i="49"/>
  <c r="L107" i="49" a="1"/>
  <c r="F210" i="49"/>
  <c r="L85" i="49" a="1"/>
  <c r="L63" i="49" a="1"/>
  <c r="F239" i="49"/>
  <c r="F265" i="49" s="1"/>
  <c r="L96" i="49" a="1"/>
  <c r="F181" i="49"/>
  <c r="L74" i="49" a="1"/>
  <c r="AE56" i="78"/>
  <c r="AQ20" i="78"/>
  <c r="AQ57" i="78" s="1"/>
  <c r="AQ94" i="78" s="1"/>
  <c r="AQ28" i="78"/>
  <c r="AQ65" i="78" s="1"/>
  <c r="AQ102" i="78" s="1"/>
  <c r="BA66" i="78"/>
  <c r="AE101" i="78"/>
  <c r="BL96" i="78"/>
  <c r="H61" i="71"/>
  <c r="H98" i="71" s="1"/>
  <c r="P53" i="31"/>
  <c r="H49" i="71"/>
  <c r="H86" i="71" s="1"/>
  <c r="P41" i="31"/>
  <c r="H59" i="71"/>
  <c r="H96" i="71" s="1"/>
  <c r="P51" i="31"/>
  <c r="H47" i="71"/>
  <c r="H84" i="71" s="1"/>
  <c r="P39" i="31"/>
  <c r="H58" i="71"/>
  <c r="H95" i="71" s="1"/>
  <c r="P50" i="31"/>
  <c r="H46" i="71"/>
  <c r="H83" i="71" s="1"/>
  <c r="P38" i="31"/>
  <c r="H69" i="71"/>
  <c r="H106" i="71" s="1"/>
  <c r="P61" i="31"/>
  <c r="H57" i="71"/>
  <c r="H94" i="71" s="1"/>
  <c r="P49" i="31"/>
  <c r="H45" i="71"/>
  <c r="H82" i="71" s="1"/>
  <c r="P37" i="31"/>
  <c r="H48" i="71"/>
  <c r="H85" i="71" s="1"/>
  <c r="P40" i="31"/>
  <c r="H68" i="71"/>
  <c r="H105" i="71" s="1"/>
  <c r="P60" i="31"/>
  <c r="H56" i="71"/>
  <c r="H93" i="71" s="1"/>
  <c r="P48" i="31"/>
  <c r="H67" i="71"/>
  <c r="H104" i="71" s="1"/>
  <c r="P59" i="31"/>
  <c r="H55" i="71"/>
  <c r="H92" i="71" s="1"/>
  <c r="P47" i="31"/>
  <c r="H66" i="71"/>
  <c r="H103" i="71" s="1"/>
  <c r="P58" i="31"/>
  <c r="H54" i="71"/>
  <c r="H91" i="71" s="1"/>
  <c r="P46" i="31"/>
  <c r="H60" i="71"/>
  <c r="H97" i="71" s="1"/>
  <c r="P52" i="31"/>
  <c r="H65" i="71"/>
  <c r="H102" i="71" s="1"/>
  <c r="P57" i="31"/>
  <c r="H53" i="71"/>
  <c r="H90" i="71" s="1"/>
  <c r="P45" i="31"/>
  <c r="H64" i="71"/>
  <c r="H101" i="71" s="1"/>
  <c r="P56" i="31"/>
  <c r="H52" i="71"/>
  <c r="H89" i="71" s="1"/>
  <c r="P44" i="31"/>
  <c r="H63" i="71"/>
  <c r="H100" i="71" s="1"/>
  <c r="P55" i="31"/>
  <c r="H51" i="71"/>
  <c r="H88" i="71" s="1"/>
  <c r="P43" i="31"/>
  <c r="H62" i="71"/>
  <c r="H99" i="71" s="1"/>
  <c r="P54" i="31"/>
  <c r="H50" i="71"/>
  <c r="H87" i="71" s="1"/>
  <c r="P42" i="31"/>
  <c r="M26" i="76"/>
  <c r="CH84" i="78"/>
  <c r="CR45" i="78"/>
  <c r="CR82" i="78" s="1"/>
  <c r="BV78" i="78"/>
  <c r="AQ16" i="78"/>
  <c r="AQ53" i="78" s="1"/>
  <c r="AQ90" i="78" s="1"/>
  <c r="AF26" i="78"/>
  <c r="AF63" i="78" s="1"/>
  <c r="AF100" i="78" s="1"/>
  <c r="CI31" i="78"/>
  <c r="CI68" i="78" s="1"/>
  <c r="CI105" i="78" s="1"/>
  <c r="CT16" i="78"/>
  <c r="CT53" i="78" s="1"/>
  <c r="CT90" i="78" s="1"/>
  <c r="AF9" i="78"/>
  <c r="AF46" i="78" s="1"/>
  <c r="AF83" i="78" s="1"/>
  <c r="BX13" i="78"/>
  <c r="BX50" i="78" s="1"/>
  <c r="BX87" i="78" s="1"/>
  <c r="AZ78" i="78"/>
  <c r="CR63" i="78"/>
  <c r="CR100" i="78" s="1"/>
  <c r="CT24" i="78"/>
  <c r="CT61" i="78" s="1"/>
  <c r="CT98" i="78" s="1"/>
  <c r="AD41" i="78"/>
  <c r="CI26" i="78"/>
  <c r="CI63" i="78" s="1"/>
  <c r="CI100" i="78" s="1"/>
  <c r="CG41" i="78"/>
  <c r="CG78" i="78"/>
  <c r="BK41" i="78"/>
  <c r="CI21" i="78"/>
  <c r="CI58" i="78" s="1"/>
  <c r="CI95" i="78" s="1"/>
  <c r="BX10" i="78"/>
  <c r="BX47" i="78" s="1"/>
  <c r="BX84" i="78" s="1"/>
  <c r="AZ41" i="78"/>
  <c r="BK78" i="78"/>
  <c r="CG54" i="78"/>
  <c r="CG91" i="78" s="1"/>
  <c r="CR78" i="78"/>
  <c r="BB31" i="78"/>
  <c r="BB68" i="78" s="1"/>
  <c r="BB105" i="78" s="1"/>
  <c r="CR41" i="78"/>
  <c r="AD78" i="78"/>
  <c r="AO41" i="78"/>
  <c r="AO78" i="78"/>
  <c r="BX31" i="78"/>
  <c r="BX68" i="78" s="1"/>
  <c r="BX105" i="78" s="1"/>
  <c r="BX15" i="78"/>
  <c r="BX52" i="78" s="1"/>
  <c r="BX89" i="78" s="1"/>
  <c r="CS66" i="78"/>
  <c r="AP87" i="78"/>
  <c r="CT10" i="78"/>
  <c r="CT47" i="78" s="1"/>
  <c r="CT84" i="78" s="1"/>
  <c r="BA84" i="78"/>
  <c r="BA82" i="78"/>
  <c r="BA63" i="78"/>
  <c r="I82" i="78"/>
  <c r="BA102" i="78"/>
  <c r="CH59" i="78"/>
  <c r="CS49" i="78"/>
  <c r="AP45" i="78"/>
  <c r="CH49" i="78"/>
  <c r="CH92" i="78"/>
  <c r="BW57" i="78"/>
  <c r="BA90" i="78"/>
  <c r="BW83" i="78"/>
  <c r="BW100" i="78"/>
  <c r="CI10" i="78"/>
  <c r="CI47" i="78" s="1"/>
  <c r="CI84" i="78" s="1"/>
  <c r="BA55" i="78"/>
  <c r="T45" i="78"/>
  <c r="AE84" i="78"/>
  <c r="AQ25" i="78"/>
  <c r="AQ62" i="78" s="1"/>
  <c r="AQ99" i="78" s="1"/>
  <c r="BL102" i="78"/>
  <c r="CS105" i="78"/>
  <c r="U8" i="78"/>
  <c r="U45" i="78" s="1"/>
  <c r="U82" i="78" s="1"/>
  <c r="AF10" i="78"/>
  <c r="AF47" i="78" s="1"/>
  <c r="AF84" i="78" s="1"/>
  <c r="BB18" i="78"/>
  <c r="BB55" i="78" s="1"/>
  <c r="BB92" i="78" s="1"/>
  <c r="AP63" i="78"/>
  <c r="BB8" i="78"/>
  <c r="BB45" i="78" s="1"/>
  <c r="BB82" i="78" s="1"/>
  <c r="BL49" i="78"/>
  <c r="CI20" i="78"/>
  <c r="CI57" i="78" s="1"/>
  <c r="CI94" i="78" s="1"/>
  <c r="CS95" i="78"/>
  <c r="AQ26" i="78"/>
  <c r="AQ63" i="78" s="1"/>
  <c r="AQ100" i="78" s="1"/>
  <c r="BB9" i="78"/>
  <c r="BB46" i="78" s="1"/>
  <c r="BB83" i="78" s="1"/>
  <c r="BX19" i="78"/>
  <c r="BX56" i="78" s="1"/>
  <c r="BX93" i="78" s="1"/>
  <c r="CH65" i="78"/>
  <c r="AF18" i="78"/>
  <c r="AF55" i="78" s="1"/>
  <c r="AF92" i="78" s="1"/>
  <c r="CS90" i="78"/>
  <c r="F152" i="49"/>
  <c r="AE63" i="78"/>
  <c r="AE100" i="78"/>
  <c r="AP47" i="78"/>
  <c r="BA86" i="78"/>
  <c r="BL87" i="78"/>
  <c r="BL103" i="78"/>
  <c r="CS53" i="78"/>
  <c r="J8" i="78"/>
  <c r="J45" i="78" s="1"/>
  <c r="J82" i="78" s="1"/>
  <c r="AQ10" i="78"/>
  <c r="AQ47" i="78" s="1"/>
  <c r="AQ84" i="78" s="1"/>
  <c r="BM12" i="78"/>
  <c r="BM49" i="78" s="1"/>
  <c r="BM86" i="78" s="1"/>
  <c r="BW86" i="78"/>
  <c r="BX32" i="78"/>
  <c r="BX69" i="78" s="1"/>
  <c r="BX106" i="78" s="1"/>
  <c r="CI25" i="78"/>
  <c r="CI62" i="78" s="1"/>
  <c r="CI99" i="78" s="1"/>
  <c r="AE92" i="78"/>
  <c r="BB10" i="78"/>
  <c r="BB47" i="78" s="1"/>
  <c r="BB84" i="78" s="1"/>
  <c r="BA94" i="78"/>
  <c r="BW84" i="78"/>
  <c r="CI8" i="78"/>
  <c r="CI45" i="78" s="1"/>
  <c r="CI82" i="78" s="1"/>
  <c r="CT23" i="78"/>
  <c r="CT60" i="78" s="1"/>
  <c r="CT97" i="78" s="1"/>
  <c r="CS98" i="78"/>
  <c r="CS61" i="78"/>
  <c r="AQ18" i="78"/>
  <c r="AQ55" i="78" s="1"/>
  <c r="AQ92" i="78" s="1"/>
  <c r="AQ8" i="78"/>
  <c r="AQ45" i="78" s="1"/>
  <c r="AQ82" i="78" s="1"/>
  <c r="AQ13" i="78"/>
  <c r="AQ50" i="78" s="1"/>
  <c r="AQ87" i="78" s="1"/>
  <c r="AP103" i="78"/>
  <c r="BX16" i="78"/>
  <c r="BX53" i="78" s="1"/>
  <c r="BX90" i="78" s="1"/>
  <c r="BX28" i="78"/>
  <c r="BX65" i="78" s="1"/>
  <c r="BX102" i="78" s="1"/>
  <c r="CI9" i="78"/>
  <c r="CI46" i="78" s="1"/>
  <c r="CI83" i="78" s="1"/>
  <c r="CH105" i="78"/>
  <c r="CT18" i="78"/>
  <c r="CT55" i="78" s="1"/>
  <c r="CT92" i="78" s="1"/>
  <c r="CT31" i="78"/>
  <c r="CT68" i="78" s="1"/>
  <c r="CT105" i="78" s="1"/>
  <c r="AE48" i="78"/>
  <c r="AQ9" i="78"/>
  <c r="AQ46" i="78" s="1"/>
  <c r="AQ83" i="78" s="1"/>
  <c r="AP86" i="78"/>
  <c r="AP92" i="78"/>
  <c r="AQ23" i="78"/>
  <c r="AQ60" i="78" s="1"/>
  <c r="AQ97" i="78" s="1"/>
  <c r="AP60" i="78"/>
  <c r="BA50" i="78"/>
  <c r="BB32" i="78"/>
  <c r="BB69" i="78" s="1"/>
  <c r="BB106" i="78" s="1"/>
  <c r="BL83" i="78"/>
  <c r="BM20" i="78"/>
  <c r="BM57" i="78" s="1"/>
  <c r="BM94" i="78" s="1"/>
  <c r="BL99" i="78"/>
  <c r="BL51" i="78"/>
  <c r="BX12" i="78"/>
  <c r="BX49" i="78" s="1"/>
  <c r="BX86" i="78" s="1"/>
  <c r="BX17" i="78"/>
  <c r="BX54" i="78" s="1"/>
  <c r="BX91" i="78" s="1"/>
  <c r="BX26" i="78"/>
  <c r="BX63" i="78" s="1"/>
  <c r="BX100" i="78" s="1"/>
  <c r="CH88" i="78"/>
  <c r="CH104" i="78"/>
  <c r="CS89" i="78"/>
  <c r="BB24" i="78"/>
  <c r="BB61" i="78" s="1"/>
  <c r="BB98" i="78" s="1"/>
  <c r="BM17" i="78"/>
  <c r="BM54" i="78" s="1"/>
  <c r="BM91" i="78" s="1"/>
  <c r="BL54" i="78"/>
  <c r="BX23" i="78"/>
  <c r="BX60" i="78" s="1"/>
  <c r="BX97" i="78" s="1"/>
  <c r="BW60" i="78"/>
  <c r="BW68" i="78"/>
  <c r="CT17" i="78"/>
  <c r="CT54" i="78" s="1"/>
  <c r="CT91" i="78" s="1"/>
  <c r="AE104" i="78"/>
  <c r="AP105" i="78"/>
  <c r="BB25" i="78"/>
  <c r="BB62" i="78" s="1"/>
  <c r="BB99" i="78" s="1"/>
  <c r="BA68" i="78"/>
  <c r="BA95" i="78"/>
  <c r="BM22" i="78"/>
  <c r="BM59" i="78" s="1"/>
  <c r="BM96" i="78" s="1"/>
  <c r="BX9" i="78"/>
  <c r="BX46" i="78" s="1"/>
  <c r="BX83" i="78" s="1"/>
  <c r="BX18" i="78"/>
  <c r="BX55" i="78" s="1"/>
  <c r="BX92" i="78" s="1"/>
  <c r="BW102" i="78"/>
  <c r="BW89" i="78"/>
  <c r="BW105" i="78"/>
  <c r="CI27" i="78"/>
  <c r="CI64" i="78" s="1"/>
  <c r="CI101" i="78" s="1"/>
  <c r="CS60" i="78"/>
  <c r="CS82" i="78"/>
  <c r="BB16" i="78"/>
  <c r="BB53" i="78" s="1"/>
  <c r="BB90" i="78" s="1"/>
  <c r="AQ17" i="78"/>
  <c r="AQ54" i="78" s="1"/>
  <c r="AQ91" i="78" s="1"/>
  <c r="AP94" i="78"/>
  <c r="BB17" i="78"/>
  <c r="BB54" i="78" s="1"/>
  <c r="BB91" i="78" s="1"/>
  <c r="BB26" i="78"/>
  <c r="BB63" i="78" s="1"/>
  <c r="BB100" i="78" s="1"/>
  <c r="BA60" i="78"/>
  <c r="BM28" i="78"/>
  <c r="BM65" i="78" s="1"/>
  <c r="BM102" i="78" s="1"/>
  <c r="BL57" i="78"/>
  <c r="BX20" i="78"/>
  <c r="BX57" i="78" s="1"/>
  <c r="BX94" i="78" s="1"/>
  <c r="BX25" i="78"/>
  <c r="BX62" i="78" s="1"/>
  <c r="BX99" i="78" s="1"/>
  <c r="BW47" i="78"/>
  <c r="BW55" i="78"/>
  <c r="CI12" i="78"/>
  <c r="CI49" i="78" s="1"/>
  <c r="CI86" i="78" s="1"/>
  <c r="CI28" i="78"/>
  <c r="CI65" i="78" s="1"/>
  <c r="CI102" i="78" s="1"/>
  <c r="AE88" i="78"/>
  <c r="AQ31" i="78"/>
  <c r="AQ68" i="78" s="1"/>
  <c r="AQ105" i="78" s="1"/>
  <c r="CI18" i="78"/>
  <c r="CI55" i="78" s="1"/>
  <c r="CI92" i="78" s="1"/>
  <c r="CH63" i="78"/>
  <c r="AQ12" i="78"/>
  <c r="AQ49" i="78" s="1"/>
  <c r="AQ86" i="78" s="1"/>
  <c r="BA52" i="78"/>
  <c r="BM9" i="78"/>
  <c r="BM46" i="78" s="1"/>
  <c r="BM83" i="78" s="1"/>
  <c r="BM25" i="78"/>
  <c r="BM62" i="78" s="1"/>
  <c r="BM99" i="78" s="1"/>
  <c r="CI19" i="78"/>
  <c r="CI56" i="78" s="1"/>
  <c r="CI93" i="78" s="1"/>
  <c r="CT15" i="78"/>
  <c r="CT52" i="78" s="1"/>
  <c r="CT89" i="78" s="1"/>
  <c r="CT13" i="78"/>
  <c r="CT50" i="78" s="1"/>
  <c r="CT87" i="78" s="1"/>
  <c r="CT21" i="78"/>
  <c r="CT29" i="78"/>
  <c r="CT66" i="78" s="1"/>
  <c r="CT103" i="78" s="1"/>
  <c r="CS65" i="78"/>
  <c r="CT28" i="78"/>
  <c r="CT65" i="78" s="1"/>
  <c r="CT102" i="78" s="1"/>
  <c r="CT12" i="78"/>
  <c r="CT49" i="78" s="1"/>
  <c r="CT86" i="78" s="1"/>
  <c r="CS94" i="78"/>
  <c r="CT32" i="78"/>
  <c r="CT69" i="78" s="1"/>
  <c r="CT106" i="78" s="1"/>
  <c r="CS50" i="78"/>
  <c r="CT20" i="78"/>
  <c r="CT57" i="78" s="1"/>
  <c r="CT94" i="78" s="1"/>
  <c r="CI15" i="78"/>
  <c r="CI52" i="78" s="1"/>
  <c r="CI89" i="78" s="1"/>
  <c r="CI16" i="78"/>
  <c r="CI53" i="78" s="1"/>
  <c r="CI90" i="78" s="1"/>
  <c r="CI24" i="78"/>
  <c r="CI61" i="78" s="1"/>
  <c r="CI98" i="78" s="1"/>
  <c r="CH94" i="78"/>
  <c r="CH68" i="78"/>
  <c r="CH89" i="78"/>
  <c r="CH60" i="78"/>
  <c r="CI23" i="78"/>
  <c r="CI60" i="78" s="1"/>
  <c r="CI97" i="78" s="1"/>
  <c r="CI32" i="78"/>
  <c r="CI69" i="78" s="1"/>
  <c r="CI106" i="78" s="1"/>
  <c r="BW67" i="78"/>
  <c r="BW59" i="78"/>
  <c r="BW51" i="78"/>
  <c r="BM31" i="78"/>
  <c r="BM68" i="78" s="1"/>
  <c r="BM105" i="78" s="1"/>
  <c r="BM14" i="78"/>
  <c r="BM51" i="78" s="1"/>
  <c r="BM88" i="78" s="1"/>
  <c r="BM23" i="78"/>
  <c r="BM60" i="78" s="1"/>
  <c r="BM97" i="78" s="1"/>
  <c r="BL97" i="78"/>
  <c r="BL105" i="78"/>
  <c r="BM15" i="78"/>
  <c r="BM52" i="78" s="1"/>
  <c r="BM89" i="78" s="1"/>
  <c r="BL48" i="78"/>
  <c r="BL52" i="78"/>
  <c r="BA69" i="78"/>
  <c r="BB15" i="78"/>
  <c r="BB52" i="78" s="1"/>
  <c r="BB89" i="78" s="1"/>
  <c r="BB23" i="78"/>
  <c r="BB60" i="78" s="1"/>
  <c r="BB97" i="78" s="1"/>
  <c r="BA61" i="78"/>
  <c r="BB12" i="78"/>
  <c r="BB49" i="78" s="1"/>
  <c r="BB86" i="78" s="1"/>
  <c r="BB20" i="78"/>
  <c r="BB57" i="78" s="1"/>
  <c r="BB94" i="78" s="1"/>
  <c r="BB28" i="78"/>
  <c r="BB65" i="78" s="1"/>
  <c r="BB102" i="78" s="1"/>
  <c r="AQ32" i="78"/>
  <c r="AQ69" i="78" s="1"/>
  <c r="AQ106" i="78" s="1"/>
  <c r="AP90" i="78"/>
  <c r="AP58" i="78"/>
  <c r="AQ29" i="78"/>
  <c r="AQ66" i="78" s="1"/>
  <c r="AQ103" i="78" s="1"/>
  <c r="AP52" i="78"/>
  <c r="AP106" i="78"/>
  <c r="AQ24" i="78"/>
  <c r="AQ61" i="78" s="1"/>
  <c r="AQ98" i="78" s="1"/>
  <c r="AQ21" i="78"/>
  <c r="AQ58" i="78" s="1"/>
  <c r="AQ95" i="78" s="1"/>
  <c r="AP53" i="78"/>
  <c r="AP61" i="78"/>
  <c r="AQ15" i="78"/>
  <c r="AQ52" i="78" s="1"/>
  <c r="AQ89" i="78" s="1"/>
  <c r="AF30" i="78"/>
  <c r="AF67" i="78" s="1"/>
  <c r="AF104" i="78" s="1"/>
  <c r="AF15" i="78"/>
  <c r="AF52" i="78" s="1"/>
  <c r="AF89" i="78" s="1"/>
  <c r="AE52" i="78"/>
  <c r="AE60" i="78"/>
  <c r="AE68" i="78"/>
  <c r="AF23" i="78"/>
  <c r="AF60" i="78" s="1"/>
  <c r="AF97" i="78" s="1"/>
  <c r="AF31" i="78"/>
  <c r="AF68" i="78" s="1"/>
  <c r="AF105" i="78" s="1"/>
  <c r="AF12" i="78"/>
  <c r="AF49" i="78" s="1"/>
  <c r="AF86" i="78" s="1"/>
  <c r="AF20" i="78"/>
  <c r="AF57" i="78" s="1"/>
  <c r="AF94" i="78" s="1"/>
  <c r="AF28" i="78"/>
  <c r="AF65" i="78" s="1"/>
  <c r="AF102" i="78" s="1"/>
  <c r="AE96" i="78"/>
  <c r="AF14" i="78"/>
  <c r="AF51" i="78" s="1"/>
  <c r="AF88" i="78" s="1"/>
  <c r="AF22" i="78"/>
  <c r="AF59" i="78" s="1"/>
  <c r="AF96" i="78" s="1"/>
  <c r="CT19" i="78"/>
  <c r="CT56" i="78" s="1"/>
  <c r="CT93" i="78" s="1"/>
  <c r="CT14" i="78"/>
  <c r="CT51" i="78" s="1"/>
  <c r="CT88" i="78" s="1"/>
  <c r="CS85" i="78"/>
  <c r="CS93" i="78"/>
  <c r="CT9" i="78"/>
  <c r="CT46" i="78" s="1"/>
  <c r="CT83" i="78" s="1"/>
  <c r="CT25" i="78"/>
  <c r="CT62" i="78" s="1"/>
  <c r="CT99" i="78" s="1"/>
  <c r="CS96" i="78"/>
  <c r="CS104" i="78"/>
  <c r="CS51" i="78"/>
  <c r="CR54" i="78"/>
  <c r="CR91" i="78" s="1"/>
  <c r="CS46" i="78"/>
  <c r="CR49" i="78"/>
  <c r="CR86" i="78" s="1"/>
  <c r="CS54" i="78"/>
  <c r="CR57" i="78"/>
  <c r="CR94" i="78" s="1"/>
  <c r="CS62" i="78"/>
  <c r="CR65" i="78"/>
  <c r="CR102" i="78" s="1"/>
  <c r="CT11" i="78"/>
  <c r="CT48" i="78" s="1"/>
  <c r="CT85" i="78" s="1"/>
  <c r="CT27" i="78"/>
  <c r="CT64" i="78" s="1"/>
  <c r="CT101" i="78" s="1"/>
  <c r="CT22" i="78"/>
  <c r="CT59" i="78" s="1"/>
  <c r="CT96" i="78" s="1"/>
  <c r="CT30" i="78"/>
  <c r="CT67" i="78" s="1"/>
  <c r="CT104" i="78" s="1"/>
  <c r="CS101" i="78"/>
  <c r="CH95" i="78"/>
  <c r="CH90" i="78"/>
  <c r="CH98" i="78"/>
  <c r="CH106" i="78"/>
  <c r="CH85" i="78"/>
  <c r="CH93" i="78"/>
  <c r="CG45" i="78"/>
  <c r="CG82" i="78" s="1"/>
  <c r="CH50" i="78"/>
  <c r="CG53" i="78"/>
  <c r="CG90" i="78" s="1"/>
  <c r="CH58" i="78"/>
  <c r="CG61" i="78"/>
  <c r="CG98" i="78" s="1"/>
  <c r="CH66" i="78"/>
  <c r="CG69" i="78"/>
  <c r="CG106" i="78" s="1"/>
  <c r="CI13" i="78"/>
  <c r="CI50" i="78" s="1"/>
  <c r="CI87" i="78" s="1"/>
  <c r="CI29" i="78"/>
  <c r="CI66" i="78" s="1"/>
  <c r="CI103" i="78" s="1"/>
  <c r="CI11" i="78"/>
  <c r="CI48" i="78" s="1"/>
  <c r="CI85" i="78" s="1"/>
  <c r="CI22" i="78"/>
  <c r="CI59" i="78" s="1"/>
  <c r="CI96" i="78" s="1"/>
  <c r="CH45" i="78"/>
  <c r="CG56" i="78"/>
  <c r="CG93" i="78" s="1"/>
  <c r="CG64" i="78"/>
  <c r="CG101" i="78" s="1"/>
  <c r="CI14" i="78"/>
  <c r="CI51" i="78" s="1"/>
  <c r="CI88" i="78" s="1"/>
  <c r="CI30" i="78"/>
  <c r="CI67" i="78" s="1"/>
  <c r="CI104" i="78" s="1"/>
  <c r="CH101" i="78"/>
  <c r="BX21" i="78"/>
  <c r="BX58" i="78" s="1"/>
  <c r="BX95" i="78" s="1"/>
  <c r="BX29" i="78"/>
  <c r="BX66" i="78" s="1"/>
  <c r="BX103" i="78" s="1"/>
  <c r="BX8" i="78"/>
  <c r="BX45" i="78" s="1"/>
  <c r="BX82" i="78" s="1"/>
  <c r="BW87" i="78"/>
  <c r="BW103" i="78"/>
  <c r="BX30" i="78"/>
  <c r="BX67" i="78" s="1"/>
  <c r="BX104" i="78" s="1"/>
  <c r="BW93" i="78"/>
  <c r="BW50" i="78"/>
  <c r="BV53" i="78"/>
  <c r="BV90" i="78" s="1"/>
  <c r="BW58" i="78"/>
  <c r="BV61" i="78"/>
  <c r="BV98" i="78" s="1"/>
  <c r="BV69" i="78"/>
  <c r="BV106" i="78" s="1"/>
  <c r="BX11" i="78"/>
  <c r="BX48" i="78" s="1"/>
  <c r="BX85" i="78" s="1"/>
  <c r="BX27" i="78"/>
  <c r="BX64" i="78" s="1"/>
  <c r="BX101" i="78" s="1"/>
  <c r="BW90" i="78"/>
  <c r="BW98" i="78"/>
  <c r="BW106" i="78"/>
  <c r="BX14" i="78"/>
  <c r="BX51" i="78" s="1"/>
  <c r="BX88" i="78" s="1"/>
  <c r="BX22" i="78"/>
  <c r="BX59" i="78" s="1"/>
  <c r="BX96" i="78" s="1"/>
  <c r="BW45" i="78"/>
  <c r="BV56" i="78"/>
  <c r="BV93" i="78" s="1"/>
  <c r="BW85" i="78"/>
  <c r="BW101" i="78"/>
  <c r="BL61" i="78"/>
  <c r="BL98" i="78"/>
  <c r="BK46" i="78"/>
  <c r="BK83" i="78" s="1"/>
  <c r="BM18" i="78"/>
  <c r="BM55" i="78" s="1"/>
  <c r="BM92" i="78" s="1"/>
  <c r="BL92" i="78"/>
  <c r="BL56" i="78"/>
  <c r="BM10" i="78"/>
  <c r="BM47" i="78" s="1"/>
  <c r="BM84" i="78" s="1"/>
  <c r="BM13" i="78"/>
  <c r="BM50" i="78" s="1"/>
  <c r="BM87" i="78" s="1"/>
  <c r="BM16" i="78"/>
  <c r="BM53" i="78" s="1"/>
  <c r="BM90" i="78" s="1"/>
  <c r="BM19" i="78"/>
  <c r="BM56" i="78" s="1"/>
  <c r="BM93" i="78" s="1"/>
  <c r="BL69" i="78"/>
  <c r="BL106" i="78"/>
  <c r="BK62" i="78"/>
  <c r="BK99" i="78" s="1"/>
  <c r="BL84" i="78"/>
  <c r="BL100" i="78"/>
  <c r="BL45" i="78"/>
  <c r="BL82" i="78"/>
  <c r="BM26" i="78"/>
  <c r="BM63" i="78" s="1"/>
  <c r="BM100" i="78" s="1"/>
  <c r="BM29" i="78"/>
  <c r="BM66" i="78" s="1"/>
  <c r="BM103" i="78" s="1"/>
  <c r="BM32" i="78"/>
  <c r="BM69" i="78" s="1"/>
  <c r="BM106" i="78" s="1"/>
  <c r="BL67" i="78"/>
  <c r="BL95" i="78"/>
  <c r="BM21" i="78"/>
  <c r="BM58" i="78" s="1"/>
  <c r="BM95" i="78" s="1"/>
  <c r="BM24" i="78"/>
  <c r="BM61" i="78" s="1"/>
  <c r="BM98" i="78" s="1"/>
  <c r="BM27" i="78"/>
  <c r="BM64" i="78" s="1"/>
  <c r="BM101" i="78" s="1"/>
  <c r="BL64" i="78"/>
  <c r="BL53" i="78"/>
  <c r="BL90" i="78"/>
  <c r="BM8" i="78"/>
  <c r="BM45" i="78" s="1"/>
  <c r="BM82" i="78" s="1"/>
  <c r="BM11" i="78"/>
  <c r="BM48" i="78" s="1"/>
  <c r="BM85" i="78" s="1"/>
  <c r="BM30" i="78"/>
  <c r="BM67" i="78" s="1"/>
  <c r="BM104" i="78" s="1"/>
  <c r="BK54" i="78"/>
  <c r="BK91" i="78" s="1"/>
  <c r="BK59" i="78"/>
  <c r="BK96" i="78" s="1"/>
  <c r="BB11" i="78"/>
  <c r="BB48" i="78" s="1"/>
  <c r="BB85" i="78" s="1"/>
  <c r="BB19" i="78"/>
  <c r="BB56" i="78" s="1"/>
  <c r="BB93" i="78" s="1"/>
  <c r="AZ46" i="78"/>
  <c r="AZ83" i="78" s="1"/>
  <c r="BA51" i="78"/>
  <c r="AZ54" i="78"/>
  <c r="AZ91" i="78" s="1"/>
  <c r="BA59" i="78"/>
  <c r="AZ62" i="78"/>
  <c r="AZ99" i="78" s="1"/>
  <c r="BA67" i="78"/>
  <c r="BA105" i="78"/>
  <c r="BB13" i="78"/>
  <c r="BB50" i="78" s="1"/>
  <c r="BB87" i="78" s="1"/>
  <c r="BB21" i="78"/>
  <c r="BB58" i="78" s="1"/>
  <c r="BB95" i="78" s="1"/>
  <c r="BB29" i="78"/>
  <c r="BB66" i="78" s="1"/>
  <c r="BB103" i="78" s="1"/>
  <c r="BA46" i="78"/>
  <c r="AZ49" i="78"/>
  <c r="AZ86" i="78" s="1"/>
  <c r="BA54" i="78"/>
  <c r="AZ57" i="78"/>
  <c r="AZ94" i="78" s="1"/>
  <c r="BA62" i="78"/>
  <c r="AZ65" i="78"/>
  <c r="AZ102" i="78" s="1"/>
  <c r="BB14" i="78"/>
  <c r="BB51" i="78" s="1"/>
  <c r="BB88" i="78" s="1"/>
  <c r="BB22" i="78"/>
  <c r="BB59" i="78" s="1"/>
  <c r="BB96" i="78" s="1"/>
  <c r="BB30" i="78"/>
  <c r="BB67" i="78" s="1"/>
  <c r="BB104" i="78" s="1"/>
  <c r="BA85" i="78"/>
  <c r="BA93" i="78"/>
  <c r="BA101" i="78"/>
  <c r="BB27" i="78"/>
  <c r="BB64" i="78" s="1"/>
  <c r="BB101" i="78" s="1"/>
  <c r="AP101" i="78"/>
  <c r="AO46" i="78"/>
  <c r="AO83" i="78" s="1"/>
  <c r="AP51" i="78"/>
  <c r="AO54" i="78"/>
  <c r="AO91" i="78" s="1"/>
  <c r="AP59" i="78"/>
  <c r="AO62" i="78"/>
  <c r="AO99" i="78" s="1"/>
  <c r="AP67" i="78"/>
  <c r="AP46" i="78"/>
  <c r="AO49" i="78"/>
  <c r="AO86" i="78" s="1"/>
  <c r="AP54" i="78"/>
  <c r="AO57" i="78"/>
  <c r="AO94" i="78" s="1"/>
  <c r="AP62" i="78"/>
  <c r="AO65" i="78"/>
  <c r="AO102" i="78" s="1"/>
  <c r="AQ11" i="78"/>
  <c r="AQ48" i="78" s="1"/>
  <c r="AQ85" i="78" s="1"/>
  <c r="AQ14" i="78"/>
  <c r="AQ51" i="78" s="1"/>
  <c r="AQ88" i="78" s="1"/>
  <c r="AQ30" i="78"/>
  <c r="AQ67" i="78" s="1"/>
  <c r="AQ104" i="78" s="1"/>
  <c r="AQ19" i="78"/>
  <c r="AQ56" i="78" s="1"/>
  <c r="AQ93" i="78" s="1"/>
  <c r="AQ27" i="78"/>
  <c r="AQ64" i="78" s="1"/>
  <c r="AQ101" i="78" s="1"/>
  <c r="AQ22" i="78"/>
  <c r="AQ59" i="78" s="1"/>
  <c r="AQ96" i="78" s="1"/>
  <c r="AP85" i="78"/>
  <c r="AP93" i="78"/>
  <c r="AF13" i="78"/>
  <c r="AF50" i="78" s="1"/>
  <c r="AF87" i="78" s="1"/>
  <c r="AF21" i="78"/>
  <c r="AF58" i="78" s="1"/>
  <c r="AF95" i="78" s="1"/>
  <c r="AF29" i="78"/>
  <c r="AF66" i="78" s="1"/>
  <c r="AF103" i="78" s="1"/>
  <c r="AE46" i="78"/>
  <c r="AD49" i="78"/>
  <c r="AD86" i="78" s="1"/>
  <c r="AE54" i="78"/>
  <c r="AD57" i="78"/>
  <c r="AD94" i="78" s="1"/>
  <c r="AE62" i="78"/>
  <c r="AD65" i="78"/>
  <c r="AD102" i="78" s="1"/>
  <c r="AF8" i="78"/>
  <c r="AF45" i="78" s="1"/>
  <c r="AF82" i="78" s="1"/>
  <c r="AF16" i="78"/>
  <c r="AF53" i="78" s="1"/>
  <c r="AF90" i="78" s="1"/>
  <c r="AF24" i="78"/>
  <c r="AF61" i="78" s="1"/>
  <c r="AF98" i="78" s="1"/>
  <c r="AF32" i="78"/>
  <c r="AF69" i="78" s="1"/>
  <c r="AF106" i="78" s="1"/>
  <c r="AE49" i="78"/>
  <c r="AD52" i="78"/>
  <c r="AD89" i="78" s="1"/>
  <c r="AE57" i="78"/>
  <c r="AD60" i="78"/>
  <c r="AD97" i="78" s="1"/>
  <c r="AE65" i="78"/>
  <c r="AD68" i="78"/>
  <c r="AD105" i="78" s="1"/>
  <c r="AE87" i="78"/>
  <c r="AE95" i="78"/>
  <c r="AE103" i="78"/>
  <c r="AF11" i="78"/>
  <c r="AF48" i="78" s="1"/>
  <c r="AF85" i="78" s="1"/>
  <c r="AF19" i="78"/>
  <c r="AF56" i="78" s="1"/>
  <c r="AF93" i="78" s="1"/>
  <c r="AF27" i="78"/>
  <c r="AF64" i="78" s="1"/>
  <c r="AF101" i="78" s="1"/>
  <c r="AE82" i="78"/>
  <c r="AE90" i="78"/>
  <c r="AE98" i="78"/>
  <c r="AE106" i="78"/>
  <c r="AF17" i="78"/>
  <c r="AF54" i="78" s="1"/>
  <c r="AF91" i="78" s="1"/>
  <c r="AF25" i="78"/>
  <c r="AF62" i="78" s="1"/>
  <c r="AF99" i="78" s="1"/>
  <c r="AE45" i="78"/>
  <c r="AE83" i="78"/>
  <c r="F269" i="49"/>
  <c r="F211" i="49"/>
  <c r="F182" i="49"/>
  <c r="F153" i="49"/>
  <c r="F207" i="49" l="1"/>
  <c r="F178" i="49"/>
  <c r="F236" i="49"/>
  <c r="F294" i="49"/>
  <c r="L64" i="49"/>
  <c r="L63" i="49"/>
  <c r="L67" i="49"/>
  <c r="L70" i="49"/>
  <c r="L71" i="49"/>
  <c r="L69" i="49"/>
  <c r="L68" i="49"/>
  <c r="L66" i="49"/>
  <c r="L65" i="49"/>
  <c r="N63" i="49" a="1"/>
  <c r="L74" i="49"/>
  <c r="L82" i="49"/>
  <c r="L81" i="49"/>
  <c r="L76" i="49"/>
  <c r="L80" i="49"/>
  <c r="L79" i="49"/>
  <c r="L78" i="49"/>
  <c r="L75" i="49"/>
  <c r="L77" i="49"/>
  <c r="L85" i="49"/>
  <c r="L93" i="49"/>
  <c r="L91" i="49"/>
  <c r="L92" i="49"/>
  <c r="L90" i="49"/>
  <c r="L86" i="49"/>
  <c r="L89" i="49"/>
  <c r="L88" i="49"/>
  <c r="L87" i="49"/>
  <c r="N74" i="49" a="1"/>
  <c r="N85" i="49" a="1"/>
  <c r="L96" i="49"/>
  <c r="L102" i="49"/>
  <c r="L103" i="49"/>
  <c r="L101" i="49"/>
  <c r="L100" i="49"/>
  <c r="L99" i="49"/>
  <c r="L98" i="49"/>
  <c r="L97" i="49"/>
  <c r="L104" i="49"/>
  <c r="L108" i="49"/>
  <c r="L115" i="49"/>
  <c r="L111" i="49"/>
  <c r="L107" i="49"/>
  <c r="L114" i="49"/>
  <c r="L110" i="49"/>
  <c r="L113" i="49"/>
  <c r="L109" i="49"/>
  <c r="L112" i="49"/>
  <c r="N96" i="49" a="1"/>
  <c r="N107" i="49" a="1"/>
  <c r="M22" i="76"/>
  <c r="CT58" i="78"/>
  <c r="CT95" i="78" s="1"/>
  <c r="H4" i="71"/>
  <c r="M2" i="21"/>
  <c r="G127" i="49"/>
  <c r="A122" i="49"/>
  <c r="G147" i="49"/>
  <c r="D147" i="49"/>
  <c r="F147" i="49" s="1"/>
  <c r="G146" i="49"/>
  <c r="D146" i="49"/>
  <c r="F146" i="49" s="1"/>
  <c r="G145" i="49"/>
  <c r="D145" i="49"/>
  <c r="F145" i="49" s="1"/>
  <c r="G144" i="49"/>
  <c r="D144" i="49"/>
  <c r="F144" i="49" s="1"/>
  <c r="G143" i="49"/>
  <c r="D143" i="49"/>
  <c r="F143" i="49" s="1"/>
  <c r="G142" i="49"/>
  <c r="D142" i="49"/>
  <c r="F142" i="49" s="1"/>
  <c r="G141" i="49"/>
  <c r="D141" i="49"/>
  <c r="F141" i="49" s="1"/>
  <c r="G140" i="49"/>
  <c r="D140" i="49"/>
  <c r="F140" i="49" s="1"/>
  <c r="G139" i="49"/>
  <c r="D139" i="49"/>
  <c r="F139" i="49" s="1"/>
  <c r="G138" i="49"/>
  <c r="D138" i="49"/>
  <c r="F138" i="49" s="1"/>
  <c r="G137" i="49"/>
  <c r="D137" i="49"/>
  <c r="F137" i="49" s="1"/>
  <c r="G136" i="49"/>
  <c r="D136" i="49"/>
  <c r="F136" i="49" s="1"/>
  <c r="G135" i="49"/>
  <c r="D135" i="49"/>
  <c r="F135" i="49" s="1"/>
  <c r="G134" i="49"/>
  <c r="D134" i="49"/>
  <c r="F134" i="49" s="1"/>
  <c r="G133" i="49"/>
  <c r="D133" i="49"/>
  <c r="F133" i="49" s="1"/>
  <c r="G132" i="49"/>
  <c r="D132" i="49"/>
  <c r="F132" i="49" s="1"/>
  <c r="G131" i="49"/>
  <c r="D131" i="49"/>
  <c r="F131" i="49" s="1"/>
  <c r="G130" i="49"/>
  <c r="D130" i="49"/>
  <c r="F130" i="49" s="1"/>
  <c r="G129" i="49"/>
  <c r="D129" i="49"/>
  <c r="F129" i="49" s="1"/>
  <c r="G128" i="49"/>
  <c r="D128" i="49"/>
  <c r="F128" i="49" s="1"/>
  <c r="D127" i="49"/>
  <c r="F127" i="49" s="1"/>
  <c r="G126" i="49"/>
  <c r="D126" i="49"/>
  <c r="F126" i="49" s="1"/>
  <c r="G125" i="49"/>
  <c r="D125" i="49"/>
  <c r="F125" i="49" s="1"/>
  <c r="G124" i="49"/>
  <c r="D124" i="49"/>
  <c r="F124" i="49" s="1"/>
  <c r="G123" i="49"/>
  <c r="D123" i="49"/>
  <c r="I7" i="49"/>
  <c r="D149" i="49" l="1"/>
  <c r="N86" i="49"/>
  <c r="N85" i="49"/>
  <c r="N88" i="49"/>
  <c r="N92" i="49"/>
  <c r="N93" i="49"/>
  <c r="N90" i="49"/>
  <c r="N89" i="49"/>
  <c r="N91" i="49"/>
  <c r="N87" i="49"/>
  <c r="N74" i="49"/>
  <c r="N75" i="49"/>
  <c r="N76" i="49"/>
  <c r="N81" i="49"/>
  <c r="N77" i="49"/>
  <c r="N82" i="49"/>
  <c r="N79" i="49"/>
  <c r="N78" i="49"/>
  <c r="N80" i="49"/>
  <c r="N108" i="49"/>
  <c r="N107" i="49"/>
  <c r="N111" i="49"/>
  <c r="N114" i="49"/>
  <c r="N115" i="49"/>
  <c r="N109" i="49"/>
  <c r="N112" i="49"/>
  <c r="N110" i="49"/>
  <c r="N113" i="49"/>
  <c r="N96" i="49"/>
  <c r="N103" i="49"/>
  <c r="N102" i="49"/>
  <c r="N99" i="49"/>
  <c r="N97" i="49"/>
  <c r="N98" i="49"/>
  <c r="N104" i="49"/>
  <c r="N101" i="49"/>
  <c r="N100" i="49"/>
  <c r="F123" i="49"/>
  <c r="F149" i="49" s="1"/>
  <c r="L52" i="49" a="1"/>
  <c r="N63" i="49"/>
  <c r="N70" i="49"/>
  <c r="N68" i="49"/>
  <c r="N67" i="49"/>
  <c r="N66" i="49"/>
  <c r="N65" i="49"/>
  <c r="N64" i="49"/>
  <c r="N69" i="49"/>
  <c r="N71" i="49"/>
  <c r="S78" i="71"/>
  <c r="AD78" i="71"/>
  <c r="AD41" i="71"/>
  <c r="S41" i="71"/>
  <c r="M49" i="76"/>
  <c r="M82" i="76" s="1"/>
  <c r="N52" i="49" l="1" a="1"/>
  <c r="L53" i="49"/>
  <c r="L56" i="49"/>
  <c r="L55" i="49"/>
  <c r="L54" i="49"/>
  <c r="L58" i="49"/>
  <c r="L60" i="49"/>
  <c r="L59" i="49"/>
  <c r="L57" i="49"/>
  <c r="L52" i="49"/>
  <c r="M54" i="76"/>
  <c r="M59" i="76"/>
  <c r="M64" i="76"/>
  <c r="M74" i="76"/>
  <c r="M85" i="76"/>
  <c r="M90" i="76"/>
  <c r="M96" i="76"/>
  <c r="M53" i="76"/>
  <c r="M58" i="76"/>
  <c r="M63" i="76"/>
  <c r="M67" i="76"/>
  <c r="M77" i="76"/>
  <c r="M57" i="76"/>
  <c r="M66" i="76"/>
  <c r="M71" i="76"/>
  <c r="M76" i="76"/>
  <c r="M81" i="76"/>
  <c r="M93" i="76"/>
  <c r="M86" i="76"/>
  <c r="M60" i="76"/>
  <c r="M65" i="76"/>
  <c r="M70" i="76"/>
  <c r="M75" i="76"/>
  <c r="M80" i="76"/>
  <c r="M94" i="76"/>
  <c r="M89" i="76"/>
  <c r="M92" i="76"/>
  <c r="M62" i="76"/>
  <c r="M52" i="76"/>
  <c r="M56" i="76"/>
  <c r="M79" i="76"/>
  <c r="M88" i="76"/>
  <c r="M84" i="76"/>
  <c r="M73" i="76"/>
  <c r="M69" i="76"/>
  <c r="I13" i="49"/>
  <c r="I24" i="49" s="1"/>
  <c r="I35" i="49" s="1"/>
  <c r="I46" i="49" s="1"/>
  <c r="I57" i="49" s="1"/>
  <c r="I68" i="49" s="1"/>
  <c r="I79" i="49" s="1"/>
  <c r="I90" i="49" s="1"/>
  <c r="I101" i="49" s="1"/>
  <c r="I112" i="49" s="1"/>
  <c r="I14" i="49"/>
  <c r="I25" i="49" s="1"/>
  <c r="I36" i="49" s="1"/>
  <c r="I47" i="49" s="1"/>
  <c r="I58" i="49" s="1"/>
  <c r="I69" i="49" s="1"/>
  <c r="I80" i="49" s="1"/>
  <c r="I91" i="49" s="1"/>
  <c r="I102" i="49" s="1"/>
  <c r="I113" i="49" s="1"/>
  <c r="I15" i="49"/>
  <c r="I26" i="49" s="1"/>
  <c r="I37" i="49" s="1"/>
  <c r="I48" i="49" s="1"/>
  <c r="I59" i="49" s="1"/>
  <c r="I70" i="49" s="1"/>
  <c r="I81" i="49" s="1"/>
  <c r="I92" i="49" s="1"/>
  <c r="I103" i="49" s="1"/>
  <c r="I114" i="49" s="1"/>
  <c r="I16" i="49"/>
  <c r="I27" i="49" s="1"/>
  <c r="I38" i="49" s="1"/>
  <c r="I49" i="49" s="1"/>
  <c r="I60" i="49" s="1"/>
  <c r="I71" i="49" s="1"/>
  <c r="I82" i="49" s="1"/>
  <c r="I93" i="49" s="1"/>
  <c r="I104" i="49" s="1"/>
  <c r="I115" i="49" s="1"/>
  <c r="I9" i="49"/>
  <c r="I10" i="49"/>
  <c r="I11" i="49"/>
  <c r="I12" i="49"/>
  <c r="I8" i="49"/>
  <c r="B82" i="78"/>
  <c r="A8" i="49"/>
  <c r="A9" i="49"/>
  <c r="A10" i="49"/>
  <c r="A11" i="49"/>
  <c r="A12" i="49"/>
  <c r="A13" i="49"/>
  <c r="A14" i="49"/>
  <c r="A15" i="49"/>
  <c r="A16" i="49"/>
  <c r="A17" i="49"/>
  <c r="A18" i="49"/>
  <c r="A19" i="49"/>
  <c r="A20" i="49"/>
  <c r="A21" i="49"/>
  <c r="A22" i="49"/>
  <c r="A23" i="49"/>
  <c r="A24" i="49"/>
  <c r="A25" i="49"/>
  <c r="A26" i="49"/>
  <c r="A27" i="49"/>
  <c r="A28" i="49"/>
  <c r="A29" i="49"/>
  <c r="A30" i="49"/>
  <c r="A31" i="49"/>
  <c r="A7" i="49"/>
  <c r="CO143" i="78"/>
  <c r="CN143" i="78"/>
  <c r="CM143" i="78"/>
  <c r="CL143" i="78"/>
  <c r="CO142" i="78"/>
  <c r="CN142" i="78"/>
  <c r="CM142" i="78"/>
  <c r="CL142" i="78"/>
  <c r="CO141" i="78"/>
  <c r="CN141" i="78"/>
  <c r="CM141" i="78"/>
  <c r="CL141" i="78"/>
  <c r="CO140" i="78"/>
  <c r="CN140" i="78"/>
  <c r="CM140" i="78"/>
  <c r="CL140" i="78"/>
  <c r="CO139" i="78"/>
  <c r="CN139" i="78"/>
  <c r="CM139" i="78"/>
  <c r="CL139" i="78"/>
  <c r="CO138" i="78"/>
  <c r="CN138" i="78"/>
  <c r="CM138" i="78"/>
  <c r="CL138" i="78"/>
  <c r="CO137" i="78"/>
  <c r="CN137" i="78"/>
  <c r="CM137" i="78"/>
  <c r="CL137" i="78"/>
  <c r="CO136" i="78"/>
  <c r="CN136" i="78"/>
  <c r="CM136" i="78"/>
  <c r="CL136" i="78"/>
  <c r="CO135" i="78"/>
  <c r="CN135" i="78"/>
  <c r="CM135" i="78"/>
  <c r="CL135" i="78"/>
  <c r="CO134" i="78"/>
  <c r="CN134" i="78"/>
  <c r="CM134" i="78"/>
  <c r="CL134" i="78"/>
  <c r="CO133" i="78"/>
  <c r="CN133" i="78"/>
  <c r="CM133" i="78"/>
  <c r="CL133" i="78"/>
  <c r="CO132" i="78"/>
  <c r="CN132" i="78"/>
  <c r="CM132" i="78"/>
  <c r="CL132" i="78"/>
  <c r="CO131" i="78"/>
  <c r="CN131" i="78"/>
  <c r="CM131" i="78"/>
  <c r="CL131" i="78"/>
  <c r="CO130" i="78"/>
  <c r="CN130" i="78"/>
  <c r="CM130" i="78"/>
  <c r="CL130" i="78"/>
  <c r="CO129" i="78"/>
  <c r="CN129" i="78"/>
  <c r="CM129" i="78"/>
  <c r="CL129" i="78"/>
  <c r="CO128" i="78"/>
  <c r="CN128" i="78"/>
  <c r="CM128" i="78"/>
  <c r="CL128" i="78"/>
  <c r="CO127" i="78"/>
  <c r="CN127" i="78"/>
  <c r="CM127" i="78"/>
  <c r="CL127" i="78"/>
  <c r="CO126" i="78"/>
  <c r="CN126" i="78"/>
  <c r="CM126" i="78"/>
  <c r="CL126" i="78"/>
  <c r="CO125" i="78"/>
  <c r="CN125" i="78"/>
  <c r="CM125" i="78"/>
  <c r="CL125" i="78"/>
  <c r="CO124" i="78"/>
  <c r="CN124" i="78"/>
  <c r="CM124" i="78"/>
  <c r="CL124" i="78"/>
  <c r="CO123" i="78"/>
  <c r="CN123" i="78"/>
  <c r="CM123" i="78"/>
  <c r="CL123" i="78"/>
  <c r="CO122" i="78"/>
  <c r="CN122" i="78"/>
  <c r="CM122" i="78"/>
  <c r="CL122" i="78"/>
  <c r="CO121" i="78"/>
  <c r="CN121" i="78"/>
  <c r="CM121" i="78"/>
  <c r="CL121" i="78"/>
  <c r="CO120" i="78"/>
  <c r="CN120" i="78"/>
  <c r="CM120" i="78"/>
  <c r="CL120" i="78"/>
  <c r="CO119" i="78"/>
  <c r="CN119" i="78"/>
  <c r="CM119" i="78"/>
  <c r="CL119" i="78"/>
  <c r="CP67" i="78"/>
  <c r="CO63" i="78"/>
  <c r="CN47" i="78"/>
  <c r="CM72" i="78"/>
  <c r="CL48" i="78"/>
  <c r="CD143" i="78"/>
  <c r="CC143" i="78"/>
  <c r="CB143" i="78"/>
  <c r="CA143" i="78"/>
  <c r="CD142" i="78"/>
  <c r="CC142" i="78"/>
  <c r="CB142" i="78"/>
  <c r="CA142" i="78"/>
  <c r="CD141" i="78"/>
  <c r="CC141" i="78"/>
  <c r="CB141" i="78"/>
  <c r="CA141" i="78"/>
  <c r="CD140" i="78"/>
  <c r="CC140" i="78"/>
  <c r="CB140" i="78"/>
  <c r="CA140" i="78"/>
  <c r="CD139" i="78"/>
  <c r="CC139" i="78"/>
  <c r="CB139" i="78"/>
  <c r="CA139" i="78"/>
  <c r="CD138" i="78"/>
  <c r="CC138" i="78"/>
  <c r="CB138" i="78"/>
  <c r="CA138" i="78"/>
  <c r="CD137" i="78"/>
  <c r="CC137" i="78"/>
  <c r="CB137" i="78"/>
  <c r="CA137" i="78"/>
  <c r="CD136" i="78"/>
  <c r="CC136" i="78"/>
  <c r="CB136" i="78"/>
  <c r="CA136" i="78"/>
  <c r="CD135" i="78"/>
  <c r="CC135" i="78"/>
  <c r="CB135" i="78"/>
  <c r="CA135" i="78"/>
  <c r="CD134" i="78"/>
  <c r="CC134" i="78"/>
  <c r="CB134" i="78"/>
  <c r="CA134" i="78"/>
  <c r="CD133" i="78"/>
  <c r="CC133" i="78"/>
  <c r="CB133" i="78"/>
  <c r="CA133" i="78"/>
  <c r="CD132" i="78"/>
  <c r="CC132" i="78"/>
  <c r="CB132" i="78"/>
  <c r="CA132" i="78"/>
  <c r="CD131" i="78"/>
  <c r="CC131" i="78"/>
  <c r="CB131" i="78"/>
  <c r="CA131" i="78"/>
  <c r="CD130" i="78"/>
  <c r="CC130" i="78"/>
  <c r="CB130" i="78"/>
  <c r="CA130" i="78"/>
  <c r="CD129" i="78"/>
  <c r="CC129" i="78"/>
  <c r="CB129" i="78"/>
  <c r="CA129" i="78"/>
  <c r="CD128" i="78"/>
  <c r="CC128" i="78"/>
  <c r="CB128" i="78"/>
  <c r="CA128" i="78"/>
  <c r="CD127" i="78"/>
  <c r="CC127" i="78"/>
  <c r="CB127" i="78"/>
  <c r="CA127" i="78"/>
  <c r="CD126" i="78"/>
  <c r="CC126" i="78"/>
  <c r="CB126" i="78"/>
  <c r="CA126" i="78"/>
  <c r="CD125" i="78"/>
  <c r="CC125" i="78"/>
  <c r="CB125" i="78"/>
  <c r="CA125" i="78"/>
  <c r="CD124" i="78"/>
  <c r="CC124" i="78"/>
  <c r="CB124" i="78"/>
  <c r="CA124" i="78"/>
  <c r="CD123" i="78"/>
  <c r="CC123" i="78"/>
  <c r="CB123" i="78"/>
  <c r="CA123" i="78"/>
  <c r="CD122" i="78"/>
  <c r="CC122" i="78"/>
  <c r="CB122" i="78"/>
  <c r="CA122" i="78"/>
  <c r="CD121" i="78"/>
  <c r="CC121" i="78"/>
  <c r="CB121" i="78"/>
  <c r="CA121" i="78"/>
  <c r="CD120" i="78"/>
  <c r="CC120" i="78"/>
  <c r="CB120" i="78"/>
  <c r="CA120" i="78"/>
  <c r="CD119" i="78"/>
  <c r="CC119" i="78"/>
  <c r="CB119" i="78"/>
  <c r="CA119" i="78"/>
  <c r="CE68" i="78"/>
  <c r="CD69" i="78"/>
  <c r="CC51" i="78"/>
  <c r="CB62" i="78"/>
  <c r="CA47" i="78"/>
  <c r="BS143" i="78"/>
  <c r="BR143" i="78"/>
  <c r="BQ143" i="78"/>
  <c r="BP143" i="78"/>
  <c r="BS142" i="78"/>
  <c r="BR142" i="78"/>
  <c r="BQ142" i="78"/>
  <c r="BP142" i="78"/>
  <c r="BS141" i="78"/>
  <c r="BR141" i="78"/>
  <c r="BQ141" i="78"/>
  <c r="BP141" i="78"/>
  <c r="BS140" i="78"/>
  <c r="BR140" i="78"/>
  <c r="BQ140" i="78"/>
  <c r="BP140" i="78"/>
  <c r="BS139" i="78"/>
  <c r="BR139" i="78"/>
  <c r="BQ139" i="78"/>
  <c r="BP139" i="78"/>
  <c r="BS138" i="78"/>
  <c r="BR138" i="78"/>
  <c r="BQ138" i="78"/>
  <c r="BP138" i="78"/>
  <c r="BS137" i="78"/>
  <c r="BR137" i="78"/>
  <c r="BQ137" i="78"/>
  <c r="BP137" i="78"/>
  <c r="BS136" i="78"/>
  <c r="BR136" i="78"/>
  <c r="BQ136" i="78"/>
  <c r="BP136" i="78"/>
  <c r="BS135" i="78"/>
  <c r="BR135" i="78"/>
  <c r="BQ135" i="78"/>
  <c r="BP135" i="78"/>
  <c r="BS134" i="78"/>
  <c r="BR134" i="78"/>
  <c r="BQ134" i="78"/>
  <c r="BP134" i="78"/>
  <c r="BS133" i="78"/>
  <c r="BR133" i="78"/>
  <c r="BQ133" i="78"/>
  <c r="BP133" i="78"/>
  <c r="BS132" i="78"/>
  <c r="BR132" i="78"/>
  <c r="BQ132" i="78"/>
  <c r="BP132" i="78"/>
  <c r="BS131" i="78"/>
  <c r="BR131" i="78"/>
  <c r="BQ131" i="78"/>
  <c r="BP131" i="78"/>
  <c r="BS130" i="78"/>
  <c r="BR130" i="78"/>
  <c r="BQ130" i="78"/>
  <c r="BP130" i="78"/>
  <c r="BS129" i="78"/>
  <c r="BR129" i="78"/>
  <c r="BQ129" i="78"/>
  <c r="BP129" i="78"/>
  <c r="BS128" i="78"/>
  <c r="BR128" i="78"/>
  <c r="BQ128" i="78"/>
  <c r="BP128" i="78"/>
  <c r="BS127" i="78"/>
  <c r="BR127" i="78"/>
  <c r="BQ127" i="78"/>
  <c r="BP127" i="78"/>
  <c r="BS126" i="78"/>
  <c r="BR126" i="78"/>
  <c r="BQ126" i="78"/>
  <c r="BP126" i="78"/>
  <c r="BS125" i="78"/>
  <c r="BR125" i="78"/>
  <c r="BQ125" i="78"/>
  <c r="BP125" i="78"/>
  <c r="BS124" i="78"/>
  <c r="BR124" i="78"/>
  <c r="BQ124" i="78"/>
  <c r="BP124" i="78"/>
  <c r="BS123" i="78"/>
  <c r="BR123" i="78"/>
  <c r="BQ123" i="78"/>
  <c r="BP123" i="78"/>
  <c r="BS122" i="78"/>
  <c r="BR122" i="78"/>
  <c r="BQ122" i="78"/>
  <c r="BP122" i="78"/>
  <c r="BS121" i="78"/>
  <c r="BR121" i="78"/>
  <c r="BQ121" i="78"/>
  <c r="BP121" i="78"/>
  <c r="BS120" i="78"/>
  <c r="BR120" i="78"/>
  <c r="BQ120" i="78"/>
  <c r="BP120" i="78"/>
  <c r="BS119" i="78"/>
  <c r="BR119" i="78"/>
  <c r="BQ119" i="78"/>
  <c r="BP119" i="78"/>
  <c r="BT67" i="78"/>
  <c r="BS69" i="78"/>
  <c r="BR69" i="78"/>
  <c r="BQ72" i="78"/>
  <c r="BP48" i="78"/>
  <c r="BH143" i="78"/>
  <c r="BG143" i="78"/>
  <c r="BF143" i="78"/>
  <c r="BE143" i="78"/>
  <c r="BH142" i="78"/>
  <c r="BG142" i="78"/>
  <c r="BF142" i="78"/>
  <c r="BE142" i="78"/>
  <c r="BH141" i="78"/>
  <c r="BG141" i="78"/>
  <c r="BF141" i="78"/>
  <c r="BE141" i="78"/>
  <c r="BH140" i="78"/>
  <c r="BG140" i="78"/>
  <c r="BF140" i="78"/>
  <c r="BE140" i="78"/>
  <c r="BH139" i="78"/>
  <c r="BG139" i="78"/>
  <c r="BF139" i="78"/>
  <c r="BE139" i="78"/>
  <c r="BH138" i="78"/>
  <c r="BG138" i="78"/>
  <c r="BF138" i="78"/>
  <c r="BE138" i="78"/>
  <c r="BH137" i="78"/>
  <c r="BG137" i="78"/>
  <c r="BF137" i="78"/>
  <c r="BE137" i="78"/>
  <c r="BH136" i="78"/>
  <c r="BG136" i="78"/>
  <c r="BF136" i="78"/>
  <c r="BE136" i="78"/>
  <c r="BH135" i="78"/>
  <c r="BG135" i="78"/>
  <c r="BF135" i="78"/>
  <c r="BE135" i="78"/>
  <c r="BH134" i="78"/>
  <c r="BG134" i="78"/>
  <c r="BF134" i="78"/>
  <c r="BE134" i="78"/>
  <c r="BH133" i="78"/>
  <c r="BG133" i="78"/>
  <c r="BF133" i="78"/>
  <c r="BE133" i="78"/>
  <c r="BH132" i="78"/>
  <c r="BG132" i="78"/>
  <c r="BF132" i="78"/>
  <c r="BE132" i="78"/>
  <c r="BH131" i="78"/>
  <c r="BG131" i="78"/>
  <c r="BF131" i="78"/>
  <c r="BE131" i="78"/>
  <c r="BH130" i="78"/>
  <c r="BG130" i="78"/>
  <c r="BF130" i="78"/>
  <c r="BE130" i="78"/>
  <c r="BH129" i="78"/>
  <c r="BG129" i="78"/>
  <c r="BF129" i="78"/>
  <c r="BE129" i="78"/>
  <c r="BH128" i="78"/>
  <c r="BG128" i="78"/>
  <c r="BF128" i="78"/>
  <c r="BE128" i="78"/>
  <c r="BH127" i="78"/>
  <c r="BG127" i="78"/>
  <c r="BF127" i="78"/>
  <c r="BE127" i="78"/>
  <c r="BH126" i="78"/>
  <c r="BG126" i="78"/>
  <c r="BF126" i="78"/>
  <c r="BE126" i="78"/>
  <c r="BH125" i="78"/>
  <c r="BG125" i="78"/>
  <c r="BF125" i="78"/>
  <c r="BE125" i="78"/>
  <c r="BH124" i="78"/>
  <c r="BG124" i="78"/>
  <c r="BF124" i="78"/>
  <c r="BE124" i="78"/>
  <c r="BH123" i="78"/>
  <c r="BG123" i="78"/>
  <c r="BF123" i="78"/>
  <c r="BE123" i="78"/>
  <c r="BH122" i="78"/>
  <c r="BG122" i="78"/>
  <c r="BF122" i="78"/>
  <c r="BE122" i="78"/>
  <c r="BH121" i="78"/>
  <c r="BG121" i="78"/>
  <c r="BF121" i="78"/>
  <c r="BE121" i="78"/>
  <c r="BH120" i="78"/>
  <c r="BG120" i="78"/>
  <c r="BF120" i="78"/>
  <c r="BE120" i="78"/>
  <c r="BH119" i="78"/>
  <c r="BG119" i="78"/>
  <c r="BF119" i="78"/>
  <c r="BE119" i="78"/>
  <c r="BI67" i="78"/>
  <c r="BH68" i="78"/>
  <c r="BG63" i="78"/>
  <c r="BF69" i="78"/>
  <c r="BE63" i="78"/>
  <c r="AW143" i="78"/>
  <c r="AV143" i="78"/>
  <c r="AU143" i="78"/>
  <c r="AT143" i="78"/>
  <c r="AW142" i="78"/>
  <c r="AV142" i="78"/>
  <c r="AU142" i="78"/>
  <c r="AT142" i="78"/>
  <c r="AW141" i="78"/>
  <c r="AV141" i="78"/>
  <c r="AU141" i="78"/>
  <c r="AT141" i="78"/>
  <c r="AW140" i="78"/>
  <c r="AV140" i="78"/>
  <c r="AU140" i="78"/>
  <c r="AT140" i="78"/>
  <c r="AW139" i="78"/>
  <c r="AV139" i="78"/>
  <c r="AU139" i="78"/>
  <c r="AT139" i="78"/>
  <c r="AW138" i="78"/>
  <c r="AV138" i="78"/>
  <c r="AU138" i="78"/>
  <c r="AT138" i="78"/>
  <c r="AW137" i="78"/>
  <c r="AV137" i="78"/>
  <c r="AU137" i="78"/>
  <c r="AT137" i="78"/>
  <c r="AW136" i="78"/>
  <c r="AV136" i="78"/>
  <c r="AU136" i="78"/>
  <c r="AT136" i="78"/>
  <c r="AW135" i="78"/>
  <c r="AV135" i="78"/>
  <c r="AU135" i="78"/>
  <c r="AT135" i="78"/>
  <c r="AW134" i="78"/>
  <c r="AV134" i="78"/>
  <c r="AU134" i="78"/>
  <c r="AT134" i="78"/>
  <c r="AW133" i="78"/>
  <c r="AV133" i="78"/>
  <c r="AU133" i="78"/>
  <c r="AT133" i="78"/>
  <c r="AW132" i="78"/>
  <c r="AV132" i="78"/>
  <c r="AU132" i="78"/>
  <c r="AT132" i="78"/>
  <c r="AW131" i="78"/>
  <c r="AV131" i="78"/>
  <c r="AU131" i="78"/>
  <c r="AT131" i="78"/>
  <c r="AW130" i="78"/>
  <c r="AV130" i="78"/>
  <c r="AU130" i="78"/>
  <c r="AT130" i="78"/>
  <c r="AW129" i="78"/>
  <c r="AV129" i="78"/>
  <c r="AU129" i="78"/>
  <c r="AT129" i="78"/>
  <c r="AW128" i="78"/>
  <c r="AV128" i="78"/>
  <c r="AU128" i="78"/>
  <c r="AT128" i="78"/>
  <c r="AW127" i="78"/>
  <c r="AV127" i="78"/>
  <c r="AU127" i="78"/>
  <c r="AT127" i="78"/>
  <c r="AW126" i="78"/>
  <c r="AV126" i="78"/>
  <c r="AU126" i="78"/>
  <c r="AT126" i="78"/>
  <c r="AW125" i="78"/>
  <c r="AV125" i="78"/>
  <c r="AU125" i="78"/>
  <c r="AT125" i="78"/>
  <c r="AW124" i="78"/>
  <c r="AV124" i="78"/>
  <c r="AU124" i="78"/>
  <c r="AT124" i="78"/>
  <c r="AW123" i="78"/>
  <c r="AV123" i="78"/>
  <c r="AU123" i="78"/>
  <c r="AT123" i="78"/>
  <c r="AW122" i="78"/>
  <c r="AV122" i="78"/>
  <c r="AU122" i="78"/>
  <c r="AT122" i="78"/>
  <c r="AW121" i="78"/>
  <c r="AV121" i="78"/>
  <c r="AU121" i="78"/>
  <c r="AT121" i="78"/>
  <c r="AW120" i="78"/>
  <c r="AV120" i="78"/>
  <c r="AU120" i="78"/>
  <c r="AT120" i="78"/>
  <c r="AW119" i="78"/>
  <c r="AV119" i="78"/>
  <c r="AU119" i="78"/>
  <c r="AT119" i="78"/>
  <c r="AW63" i="78"/>
  <c r="AV45" i="78"/>
  <c r="AU72" i="78"/>
  <c r="AT62" i="78"/>
  <c r="AL143" i="78"/>
  <c r="AK143" i="78"/>
  <c r="AJ143" i="78"/>
  <c r="AI143" i="78"/>
  <c r="AL142" i="78"/>
  <c r="AK142" i="78"/>
  <c r="AJ142" i="78"/>
  <c r="AI142" i="78"/>
  <c r="AL141" i="78"/>
  <c r="AK141" i="78"/>
  <c r="AJ141" i="78"/>
  <c r="AI141" i="78"/>
  <c r="AL140" i="78"/>
  <c r="AK140" i="78"/>
  <c r="AJ140" i="78"/>
  <c r="AI140" i="78"/>
  <c r="AL139" i="78"/>
  <c r="AK139" i="78"/>
  <c r="AJ139" i="78"/>
  <c r="AI139" i="78"/>
  <c r="AL138" i="78"/>
  <c r="AK138" i="78"/>
  <c r="AJ138" i="78"/>
  <c r="AI138" i="78"/>
  <c r="AL137" i="78"/>
  <c r="AK137" i="78"/>
  <c r="AJ137" i="78"/>
  <c r="AI137" i="78"/>
  <c r="AL136" i="78"/>
  <c r="AK136" i="78"/>
  <c r="AJ136" i="78"/>
  <c r="AI136" i="78"/>
  <c r="AL135" i="78"/>
  <c r="AK135" i="78"/>
  <c r="AJ135" i="78"/>
  <c r="AI135" i="78"/>
  <c r="AL134" i="78"/>
  <c r="AK134" i="78"/>
  <c r="AJ134" i="78"/>
  <c r="AI134" i="78"/>
  <c r="AL133" i="78"/>
  <c r="AK133" i="78"/>
  <c r="AJ133" i="78"/>
  <c r="AI133" i="78"/>
  <c r="AL132" i="78"/>
  <c r="AK132" i="78"/>
  <c r="AJ132" i="78"/>
  <c r="AI132" i="78"/>
  <c r="AL131" i="78"/>
  <c r="AK131" i="78"/>
  <c r="AJ131" i="78"/>
  <c r="AI131" i="78"/>
  <c r="AL130" i="78"/>
  <c r="AK130" i="78"/>
  <c r="AJ130" i="78"/>
  <c r="AI130" i="78"/>
  <c r="AL129" i="78"/>
  <c r="AK129" i="78"/>
  <c r="AJ129" i="78"/>
  <c r="AI129" i="78"/>
  <c r="AL128" i="78"/>
  <c r="AK128" i="78"/>
  <c r="AJ128" i="78"/>
  <c r="AI128" i="78"/>
  <c r="AL127" i="78"/>
  <c r="AK127" i="78"/>
  <c r="AJ127" i="78"/>
  <c r="AI127" i="78"/>
  <c r="AL126" i="78"/>
  <c r="AK126" i="78"/>
  <c r="AJ126" i="78"/>
  <c r="AI126" i="78"/>
  <c r="AL125" i="78"/>
  <c r="AK125" i="78"/>
  <c r="AJ125" i="78"/>
  <c r="AI125" i="78"/>
  <c r="AL124" i="78"/>
  <c r="AK124" i="78"/>
  <c r="AJ124" i="78"/>
  <c r="AI124" i="78"/>
  <c r="AL123" i="78"/>
  <c r="AK123" i="78"/>
  <c r="AJ123" i="78"/>
  <c r="AI123" i="78"/>
  <c r="AL122" i="78"/>
  <c r="AK122" i="78"/>
  <c r="AJ122" i="78"/>
  <c r="AI122" i="78"/>
  <c r="AL121" i="78"/>
  <c r="AK121" i="78"/>
  <c r="AJ121" i="78"/>
  <c r="AI121" i="78"/>
  <c r="AL120" i="78"/>
  <c r="AK120" i="78"/>
  <c r="AJ120" i="78"/>
  <c r="AI120" i="78"/>
  <c r="AL119" i="78"/>
  <c r="AK119" i="78"/>
  <c r="AJ119" i="78"/>
  <c r="AI119" i="78"/>
  <c r="AM59" i="78"/>
  <c r="AL72" i="78"/>
  <c r="AK56" i="78"/>
  <c r="AJ52" i="78"/>
  <c r="AI66" i="78"/>
  <c r="N53" i="49" l="1"/>
  <c r="N55" i="49"/>
  <c r="N56" i="49"/>
  <c r="N54" i="49"/>
  <c r="N57" i="49"/>
  <c r="N60" i="49"/>
  <c r="N59" i="49"/>
  <c r="N58" i="49"/>
  <c r="N52" i="49"/>
  <c r="BR45" i="78"/>
  <c r="CP68" i="78"/>
  <c r="CP54" i="78"/>
  <c r="CP45" i="78"/>
  <c r="CP51" i="78"/>
  <c r="BT51" i="78"/>
  <c r="CB48" i="78"/>
  <c r="CD57" i="78"/>
  <c r="AW67" i="78"/>
  <c r="CP72" i="78"/>
  <c r="BR54" i="78"/>
  <c r="BT61" i="78"/>
  <c r="CD65" i="78"/>
  <c r="CP59" i="78"/>
  <c r="CP62" i="78"/>
  <c r="AM65" i="78"/>
  <c r="CB46" i="78"/>
  <c r="CD52" i="78"/>
  <c r="CO47" i="78"/>
  <c r="BI45" i="78"/>
  <c r="BT54" i="78"/>
  <c r="BS61" i="78"/>
  <c r="AU50" i="78"/>
  <c r="AW64" i="78"/>
  <c r="BS52" i="78"/>
  <c r="BS62" i="78"/>
  <c r="CD49" i="78"/>
  <c r="CO60" i="78"/>
  <c r="AW50" i="78"/>
  <c r="BT52" i="78"/>
  <c r="BT69" i="78"/>
  <c r="CB56" i="78"/>
  <c r="CO55" i="78"/>
  <c r="CP60" i="78"/>
  <c r="BT45" i="78"/>
  <c r="CN64" i="78"/>
  <c r="AM53" i="78"/>
  <c r="BR63" i="78"/>
  <c r="BT72" i="78"/>
  <c r="CN45" i="78"/>
  <c r="CE51" i="78"/>
  <c r="CE60" i="78"/>
  <c r="AI48" i="78"/>
  <c r="BH48" i="78"/>
  <c r="BH54" i="78"/>
  <c r="BI64" i="78"/>
  <c r="CE48" i="78"/>
  <c r="AJ48" i="78"/>
  <c r="AU47" i="78"/>
  <c r="AW57" i="78"/>
  <c r="AW68" i="78"/>
  <c r="BI54" i="78"/>
  <c r="BI59" i="78"/>
  <c r="CE45" i="78"/>
  <c r="CA66" i="78"/>
  <c r="BI55" i="78"/>
  <c r="AW65" i="78"/>
  <c r="BH46" i="78"/>
  <c r="BI51" i="78"/>
  <c r="BE67" i="78"/>
  <c r="CA50" i="78"/>
  <c r="CB54" i="78"/>
  <c r="CB63" i="78"/>
  <c r="CA68" i="78"/>
  <c r="CP53" i="78"/>
  <c r="CN56" i="78"/>
  <c r="AW52" i="78"/>
  <c r="CA63" i="78"/>
  <c r="CM56" i="78"/>
  <c r="AJ57" i="78"/>
  <c r="AW49" i="78"/>
  <c r="AW60" i="78"/>
  <c r="BI46" i="78"/>
  <c r="BI56" i="78"/>
  <c r="BT53" i="78"/>
  <c r="BT62" i="78"/>
  <c r="BS68" i="78"/>
  <c r="CB47" i="78"/>
  <c r="CE54" i="78"/>
  <c r="AV47" i="78"/>
  <c r="AM62" i="78"/>
  <c r="AW72" i="78"/>
  <c r="AI69" i="78"/>
  <c r="AM52" i="78"/>
  <c r="AM72" i="78"/>
  <c r="AW45" i="78"/>
  <c r="BT59" i="78"/>
  <c r="BT68" i="78"/>
  <c r="CD60" i="78"/>
  <c r="CM54" i="78"/>
  <c r="CO62" i="78"/>
  <c r="AK65" i="78"/>
  <c r="BF59" i="78"/>
  <c r="AL50" i="78"/>
  <c r="AK49" i="78"/>
  <c r="AI65" i="78"/>
  <c r="AU45" i="78"/>
  <c r="AU54" i="78"/>
  <c r="AU56" i="78"/>
  <c r="AU62" i="78"/>
  <c r="BF50" i="78"/>
  <c r="BF58" i="78"/>
  <c r="BF62" i="78"/>
  <c r="BF64" i="78"/>
  <c r="CE146" i="78"/>
  <c r="CG35" i="78"/>
  <c r="CI35" i="78" s="1"/>
  <c r="CI72" i="78" s="1"/>
  <c r="CI109" i="78" s="1"/>
  <c r="CE53" i="78"/>
  <c r="CE59" i="78"/>
  <c r="CE62" i="78"/>
  <c r="CM47" i="78"/>
  <c r="CM49" i="78"/>
  <c r="CL64" i="78"/>
  <c r="CN72" i="78"/>
  <c r="AM49" i="78"/>
  <c r="AL56" i="78"/>
  <c r="AL62" i="78"/>
  <c r="AJ65" i="78"/>
  <c r="AL68" i="78"/>
  <c r="AT47" i="78"/>
  <c r="AT52" i="78"/>
  <c r="AW54" i="78"/>
  <c r="AW56" i="78"/>
  <c r="AT60" i="78"/>
  <c r="AW62" i="78"/>
  <c r="BE146" i="78"/>
  <c r="BF48" i="78"/>
  <c r="BG50" i="78"/>
  <c r="BH62" i="78"/>
  <c r="BH64" i="78"/>
  <c r="BF67" i="78"/>
  <c r="BS45" i="78"/>
  <c r="BS47" i="78"/>
  <c r="BS54" i="78"/>
  <c r="BS63" i="78"/>
  <c r="BS72" i="78"/>
  <c r="CE56" i="78"/>
  <c r="CE65" i="78"/>
  <c r="CB68" i="78"/>
  <c r="CM62" i="78"/>
  <c r="CM64" i="78"/>
  <c r="CO72" i="78"/>
  <c r="AK53" i="78"/>
  <c r="AP109" i="78"/>
  <c r="AP72" i="78"/>
  <c r="BF54" i="78"/>
  <c r="AT55" i="78"/>
  <c r="CM46" i="78"/>
  <c r="AO35" i="78"/>
  <c r="AQ35" i="78" s="1"/>
  <c r="AQ72" i="78" s="1"/>
  <c r="AQ109" i="78" s="1"/>
  <c r="AM146" i="78"/>
  <c r="AL63" i="78"/>
  <c r="BA109" i="78"/>
  <c r="BA72" i="78"/>
  <c r="AU53" i="78"/>
  <c r="AU69" i="78"/>
  <c r="BQ46" i="78"/>
  <c r="BP49" i="78"/>
  <c r="BQ55" i="78"/>
  <c r="BR64" i="78"/>
  <c r="CA69" i="78"/>
  <c r="CN63" i="78"/>
  <c r="CS109" i="78"/>
  <c r="CS72" i="78"/>
  <c r="CM48" i="78"/>
  <c r="CN69" i="78"/>
  <c r="AM63" i="78"/>
  <c r="AU46" i="78"/>
  <c r="AU48" i="78"/>
  <c r="AT51" i="78"/>
  <c r="AW53" i="78"/>
  <c r="AV55" i="78"/>
  <c r="AW58" i="78"/>
  <c r="AW61" i="78"/>
  <c r="AW66" i="78"/>
  <c r="AW69" i="78"/>
  <c r="BI62" i="78"/>
  <c r="BI146" i="78"/>
  <c r="BK35" i="78"/>
  <c r="BM35" i="78" s="1"/>
  <c r="BM72" i="78" s="1"/>
  <c r="BM109" i="78" s="1"/>
  <c r="BH49" i="78"/>
  <c r="BF57" i="78"/>
  <c r="BF60" i="78"/>
  <c r="BH63" i="78"/>
  <c r="BF72" i="78"/>
  <c r="BR46" i="78"/>
  <c r="BQ49" i="78"/>
  <c r="BR55" i="78"/>
  <c r="BS60" i="78"/>
  <c r="CE46" i="78"/>
  <c r="CA55" i="78"/>
  <c r="CE61" i="78"/>
  <c r="CB64" i="78"/>
  <c r="CB67" i="78"/>
  <c r="CE69" i="78"/>
  <c r="CO46" i="78"/>
  <c r="CN48" i="78"/>
  <c r="CO52" i="78"/>
  <c r="CL55" i="78"/>
  <c r="CN61" i="78"/>
  <c r="CL63" i="78"/>
  <c r="CO69" i="78"/>
  <c r="AT65" i="78"/>
  <c r="AL60" i="78"/>
  <c r="BG69" i="78"/>
  <c r="BL72" i="78"/>
  <c r="BL109" i="78"/>
  <c r="AK57" i="78"/>
  <c r="AU63" i="78"/>
  <c r="BF49" i="78"/>
  <c r="BF65" i="78"/>
  <c r="AL48" i="78"/>
  <c r="AM57" i="78"/>
  <c r="AL66" i="78"/>
  <c r="AX53" i="78"/>
  <c r="AX146" i="78"/>
  <c r="AZ35" i="78"/>
  <c r="BB35" i="78" s="1"/>
  <c r="BB72" i="78" s="1"/>
  <c r="BB109" i="78" s="1"/>
  <c r="AV46" i="78"/>
  <c r="AW48" i="78"/>
  <c r="AU51" i="78"/>
  <c r="AT64" i="78"/>
  <c r="AT72" i="78"/>
  <c r="BH47" i="78"/>
  <c r="BF52" i="78"/>
  <c r="BG55" i="78"/>
  <c r="BH57" i="78"/>
  <c r="BI63" i="78"/>
  <c r="BF66" i="78"/>
  <c r="BH72" i="78"/>
  <c r="BV35" i="78"/>
  <c r="BX35" i="78" s="1"/>
  <c r="BX72" i="78" s="1"/>
  <c r="BX109" i="78" s="1"/>
  <c r="BT146" i="78"/>
  <c r="BS46" i="78"/>
  <c r="BS55" i="78"/>
  <c r="BT60" i="78"/>
  <c r="BP63" i="78"/>
  <c r="CC69" i="78"/>
  <c r="CH109" i="78"/>
  <c r="CH72" i="78"/>
  <c r="CE49" i="78"/>
  <c r="CE52" i="78"/>
  <c r="CB55" i="78"/>
  <c r="CA58" i="78"/>
  <c r="CE64" i="78"/>
  <c r="CE67" i="78"/>
  <c r="CP146" i="78"/>
  <c r="CR35" i="78"/>
  <c r="CT35" i="78" s="1"/>
  <c r="CP46" i="78"/>
  <c r="CP52" i="78"/>
  <c r="CM55" i="78"/>
  <c r="CL58" i="78"/>
  <c r="CO61" i="78"/>
  <c r="CM63" i="78"/>
  <c r="CL66" i="78"/>
  <c r="CP69" i="78"/>
  <c r="BF46" i="78"/>
  <c r="BF56" i="78"/>
  <c r="AT63" i="78"/>
  <c r="BF51" i="78"/>
  <c r="BQ64" i="78"/>
  <c r="AK48" i="78"/>
  <c r="AK69" i="78"/>
  <c r="AT46" i="78"/>
  <c r="AU55" i="78"/>
  <c r="AU61" i="78"/>
  <c r="BW72" i="78"/>
  <c r="BW109" i="78"/>
  <c r="CE57" i="78"/>
  <c r="CN46" i="78"/>
  <c r="CM65" i="78"/>
  <c r="AK51" i="78"/>
  <c r="AI61" i="78"/>
  <c r="AM69" i="78"/>
  <c r="AM45" i="78"/>
  <c r="AM51" i="78"/>
  <c r="AI56" i="78"/>
  <c r="AK61" i="78"/>
  <c r="AJ49" i="78"/>
  <c r="AJ56" i="78"/>
  <c r="AL58" i="78"/>
  <c r="AM61" i="78"/>
  <c r="AM67" i="78"/>
  <c r="AW46" i="78"/>
  <c r="AW51" i="78"/>
  <c r="AT54" i="78"/>
  <c r="AT56" i="78"/>
  <c r="AW59" i="78"/>
  <c r="AU64" i="78"/>
  <c r="AU67" i="78"/>
  <c r="BG45" i="78"/>
  <c r="BI47" i="78"/>
  <c r="BE50" i="78"/>
  <c r="BH52" i="78"/>
  <c r="BH55" i="78"/>
  <c r="BI72" i="78"/>
  <c r="BT46" i="78"/>
  <c r="BQ54" i="78"/>
  <c r="BQ63" i="78"/>
  <c r="BP66" i="78"/>
  <c r="CE72" i="78"/>
  <c r="CL49" i="78"/>
  <c r="CN55" i="78"/>
  <c r="CP61" i="78"/>
  <c r="CL57" i="78"/>
  <c r="CM69" i="78"/>
  <c r="CM61" i="78"/>
  <c r="CM53" i="78"/>
  <c r="CM45" i="78"/>
  <c r="CM58" i="78"/>
  <c r="CM50" i="78"/>
  <c r="CM68" i="78"/>
  <c r="CM60" i="78"/>
  <c r="CM52" i="78"/>
  <c r="CL146" i="78"/>
  <c r="CM67" i="78"/>
  <c r="CM59" i="78"/>
  <c r="CM51" i="78"/>
  <c r="CM66" i="78"/>
  <c r="CO45" i="78"/>
  <c r="CN54" i="78"/>
  <c r="CM57" i="78"/>
  <c r="CO68" i="78"/>
  <c r="CL72" i="78"/>
  <c r="CL62" i="78"/>
  <c r="CL54" i="78"/>
  <c r="CL46" i="78"/>
  <c r="CL59" i="78"/>
  <c r="CL51" i="78"/>
  <c r="CL69" i="78"/>
  <c r="CL61" i="78"/>
  <c r="CL53" i="78"/>
  <c r="CL45" i="78"/>
  <c r="CL68" i="78"/>
  <c r="CL60" i="78"/>
  <c r="CL52" i="78"/>
  <c r="CL67" i="78"/>
  <c r="CN68" i="78"/>
  <c r="CN60" i="78"/>
  <c r="CN52" i="78"/>
  <c r="CN57" i="78"/>
  <c r="CN49" i="78"/>
  <c r="CN67" i="78"/>
  <c r="CN59" i="78"/>
  <c r="CN51" i="78"/>
  <c r="CN66" i="78"/>
  <c r="CN58" i="78"/>
  <c r="CN50" i="78"/>
  <c r="CM146" i="78"/>
  <c r="CN65" i="78"/>
  <c r="CN53" i="78"/>
  <c r="CO54" i="78"/>
  <c r="CL65" i="78"/>
  <c r="CO67" i="78"/>
  <c r="CO59" i="78"/>
  <c r="CO51" i="78"/>
  <c r="CO56" i="78"/>
  <c r="CO48" i="78"/>
  <c r="CO66" i="78"/>
  <c r="CO58" i="78"/>
  <c r="CO50" i="78"/>
  <c r="CN146" i="78"/>
  <c r="CO65" i="78"/>
  <c r="CO57" i="78"/>
  <c r="CO49" i="78"/>
  <c r="CO64" i="78"/>
  <c r="CL47" i="78"/>
  <c r="CL50" i="78"/>
  <c r="CO53" i="78"/>
  <c r="CL56" i="78"/>
  <c r="CN62" i="78"/>
  <c r="CP48" i="78"/>
  <c r="CP56" i="78"/>
  <c r="CP64" i="78"/>
  <c r="CP49" i="78"/>
  <c r="CP57" i="78"/>
  <c r="CP65" i="78"/>
  <c r="CO146" i="78"/>
  <c r="CP47" i="78"/>
  <c r="CP55" i="78"/>
  <c r="CP63" i="78"/>
  <c r="CP50" i="78"/>
  <c r="CP58" i="78"/>
  <c r="CP66" i="78"/>
  <c r="CC59" i="78"/>
  <c r="CC72" i="78"/>
  <c r="CA72" i="78"/>
  <c r="CA62" i="78"/>
  <c r="CA54" i="78"/>
  <c r="CA46" i="78"/>
  <c r="CA67" i="78"/>
  <c r="CA59" i="78"/>
  <c r="CA51" i="78"/>
  <c r="CA49" i="78"/>
  <c r="CC50" i="78"/>
  <c r="CA57" i="78"/>
  <c r="CC58" i="78"/>
  <c r="CA65" i="78"/>
  <c r="CC66" i="78"/>
  <c r="CB69" i="78"/>
  <c r="CB61" i="78"/>
  <c r="CB53" i="78"/>
  <c r="CB45" i="78"/>
  <c r="CB66" i="78"/>
  <c r="CB58" i="78"/>
  <c r="CB50" i="78"/>
  <c r="CA146" i="78"/>
  <c r="CA48" i="78"/>
  <c r="CB49" i="78"/>
  <c r="CD50" i="78"/>
  <c r="CA56" i="78"/>
  <c r="CB57" i="78"/>
  <c r="CD58" i="78"/>
  <c r="CA64" i="78"/>
  <c r="CB65" i="78"/>
  <c r="CD66" i="78"/>
  <c r="CC68" i="78"/>
  <c r="CC60" i="78"/>
  <c r="CC52" i="78"/>
  <c r="CB146" i="78"/>
  <c r="CC65" i="78"/>
  <c r="CC57" i="78"/>
  <c r="CC49" i="78"/>
  <c r="CD67" i="78"/>
  <c r="CD59" i="78"/>
  <c r="CD51" i="78"/>
  <c r="CD146" i="78"/>
  <c r="CD64" i="78"/>
  <c r="CD56" i="78"/>
  <c r="CD48" i="78"/>
  <c r="CD72" i="78"/>
  <c r="CC48" i="78"/>
  <c r="CC56" i="78"/>
  <c r="CC64" i="78"/>
  <c r="CA45" i="78"/>
  <c r="CC46" i="78"/>
  <c r="CC47" i="78"/>
  <c r="CA53" i="78"/>
  <c r="CC54" i="78"/>
  <c r="CA61" i="78"/>
  <c r="CC62" i="78"/>
  <c r="CC63" i="78"/>
  <c r="CD68" i="78"/>
  <c r="CC45" i="78"/>
  <c r="CD46" i="78"/>
  <c r="CD47" i="78"/>
  <c r="CA52" i="78"/>
  <c r="CC53" i="78"/>
  <c r="CD54" i="78"/>
  <c r="CD55" i="78"/>
  <c r="CA60" i="78"/>
  <c r="CC61" i="78"/>
  <c r="CD62" i="78"/>
  <c r="CD63" i="78"/>
  <c r="CC55" i="78"/>
  <c r="CD45" i="78"/>
  <c r="CB51" i="78"/>
  <c r="CB52" i="78"/>
  <c r="CD53" i="78"/>
  <c r="CB59" i="78"/>
  <c r="CB60" i="78"/>
  <c r="CD61" i="78"/>
  <c r="CC67" i="78"/>
  <c r="CB72" i="78"/>
  <c r="CC146" i="78"/>
  <c r="CE47" i="78"/>
  <c r="CE55" i="78"/>
  <c r="CE63" i="78"/>
  <c r="CE50" i="78"/>
  <c r="CE58" i="78"/>
  <c r="CE66" i="78"/>
  <c r="BP57" i="78"/>
  <c r="BR68" i="78"/>
  <c r="BR60" i="78"/>
  <c r="BR52" i="78"/>
  <c r="BR67" i="78"/>
  <c r="BR59" i="78"/>
  <c r="BR51" i="78"/>
  <c r="BR49" i="78"/>
  <c r="BR66" i="78"/>
  <c r="BR58" i="78"/>
  <c r="BR50" i="78"/>
  <c r="BQ146" i="78"/>
  <c r="BR65" i="78"/>
  <c r="BR57" i="78"/>
  <c r="BQ48" i="78"/>
  <c r="BR53" i="78"/>
  <c r="BQ62" i="78"/>
  <c r="BP65" i="78"/>
  <c r="BS67" i="78"/>
  <c r="BS59" i="78"/>
  <c r="BS51" i="78"/>
  <c r="BS66" i="78"/>
  <c r="BS58" i="78"/>
  <c r="BS50" i="78"/>
  <c r="BS56" i="78"/>
  <c r="BS48" i="78"/>
  <c r="BR146" i="78"/>
  <c r="BS65" i="78"/>
  <c r="BS57" i="78"/>
  <c r="BS49" i="78"/>
  <c r="BS64" i="78"/>
  <c r="BP47" i="78"/>
  <c r="BR48" i="78"/>
  <c r="BP50" i="78"/>
  <c r="BS53" i="78"/>
  <c r="BP56" i="78"/>
  <c r="BR62" i="78"/>
  <c r="BQ65" i="78"/>
  <c r="BQ69" i="78"/>
  <c r="BQ61" i="78"/>
  <c r="BQ53" i="78"/>
  <c r="BQ45" i="78"/>
  <c r="BQ68" i="78"/>
  <c r="BQ60" i="78"/>
  <c r="BQ52" i="78"/>
  <c r="BQ50" i="78"/>
  <c r="BQ67" i="78"/>
  <c r="BQ59" i="78"/>
  <c r="BQ51" i="78"/>
  <c r="BQ66" i="78"/>
  <c r="BQ58" i="78"/>
  <c r="BP146" i="78"/>
  <c r="BQ57" i="78"/>
  <c r="BQ47" i="78"/>
  <c r="BQ56" i="78"/>
  <c r="BR61" i="78"/>
  <c r="BR72" i="78"/>
  <c r="BP72" i="78"/>
  <c r="BP62" i="78"/>
  <c r="BP54" i="78"/>
  <c r="BP46" i="78"/>
  <c r="BP69" i="78"/>
  <c r="BP61" i="78"/>
  <c r="BP53" i="78"/>
  <c r="BP45" i="78"/>
  <c r="BP51" i="78"/>
  <c r="BP68" i="78"/>
  <c r="BP60" i="78"/>
  <c r="BP52" i="78"/>
  <c r="BP67" i="78"/>
  <c r="BP59" i="78"/>
  <c r="BR47" i="78"/>
  <c r="BP55" i="78"/>
  <c r="BR56" i="78"/>
  <c r="BP58" i="78"/>
  <c r="BP64" i="78"/>
  <c r="BT55" i="78"/>
  <c r="BT63" i="78"/>
  <c r="BT48" i="78"/>
  <c r="BT56" i="78"/>
  <c r="BT64" i="78"/>
  <c r="BT47" i="78"/>
  <c r="BT49" i="78"/>
  <c r="BT57" i="78"/>
  <c r="BT65" i="78"/>
  <c r="BS146" i="78"/>
  <c r="BT50" i="78"/>
  <c r="BT58" i="78"/>
  <c r="BT66" i="78"/>
  <c r="BE58" i="78"/>
  <c r="BE47" i="78"/>
  <c r="BE51" i="78"/>
  <c r="BG56" i="78"/>
  <c r="BG65" i="78"/>
  <c r="BE68" i="78"/>
  <c r="BG47" i="78"/>
  <c r="BI48" i="78"/>
  <c r="BE55" i="78"/>
  <c r="BH56" i="78"/>
  <c r="BE59" i="78"/>
  <c r="BH60" i="78"/>
  <c r="BG64" i="78"/>
  <c r="BH65" i="78"/>
  <c r="BE66" i="78"/>
  <c r="BG53" i="78"/>
  <c r="BH67" i="78"/>
  <c r="BH59" i="78"/>
  <c r="BH51" i="78"/>
  <c r="BH66" i="78"/>
  <c r="BH58" i="78"/>
  <c r="BH50" i="78"/>
  <c r="BG146" i="78"/>
  <c r="BH69" i="78"/>
  <c r="BH61" i="78"/>
  <c r="BH53" i="78"/>
  <c r="BH45" i="78"/>
  <c r="BG49" i="78"/>
  <c r="BE52" i="78"/>
  <c r="BI53" i="78"/>
  <c r="BG61" i="78"/>
  <c r="BE65" i="78"/>
  <c r="BG66" i="78"/>
  <c r="BE72" i="78"/>
  <c r="BE62" i="78"/>
  <c r="BE54" i="78"/>
  <c r="BE46" i="78"/>
  <c r="BE69" i="78"/>
  <c r="BE61" i="78"/>
  <c r="BE53" i="78"/>
  <c r="BE45" i="78"/>
  <c r="BE64" i="78"/>
  <c r="BE56" i="78"/>
  <c r="BE48" i="78"/>
  <c r="BE49" i="78"/>
  <c r="BG68" i="78"/>
  <c r="BG60" i="78"/>
  <c r="BG52" i="78"/>
  <c r="BG67" i="78"/>
  <c r="BG59" i="78"/>
  <c r="BG51" i="78"/>
  <c r="BG72" i="78"/>
  <c r="BG62" i="78"/>
  <c r="BG54" i="78"/>
  <c r="BG46" i="78"/>
  <c r="BE57" i="78"/>
  <c r="BG58" i="78"/>
  <c r="BI66" i="78"/>
  <c r="BI58" i="78"/>
  <c r="BI50" i="78"/>
  <c r="BH146" i="78"/>
  <c r="BI65" i="78"/>
  <c r="BI57" i="78"/>
  <c r="BI49" i="78"/>
  <c r="BI68" i="78"/>
  <c r="BI60" i="78"/>
  <c r="BI52" i="78"/>
  <c r="BG48" i="78"/>
  <c r="BG57" i="78"/>
  <c r="BE60" i="78"/>
  <c r="BI61" i="78"/>
  <c r="BI69" i="78"/>
  <c r="BF146" i="78"/>
  <c r="BF47" i="78"/>
  <c r="BF55" i="78"/>
  <c r="BF63" i="78"/>
  <c r="BF68" i="78"/>
  <c r="BF45" i="78"/>
  <c r="BF53" i="78"/>
  <c r="BF61" i="78"/>
  <c r="AX66" i="78"/>
  <c r="AX67" i="78"/>
  <c r="AV67" i="78"/>
  <c r="AV59" i="78"/>
  <c r="AV51" i="78"/>
  <c r="AV146" i="78"/>
  <c r="AV64" i="78"/>
  <c r="AV56" i="78"/>
  <c r="AV48" i="78"/>
  <c r="AX50" i="78"/>
  <c r="AX51" i="78"/>
  <c r="AV57" i="78"/>
  <c r="AX60" i="78"/>
  <c r="AV66" i="78"/>
  <c r="AX58" i="78"/>
  <c r="AX59" i="78"/>
  <c r="AV65" i="78"/>
  <c r="AX68" i="78"/>
  <c r="AX48" i="78"/>
  <c r="AV54" i="78"/>
  <c r="AV63" i="78"/>
  <c r="AV72" i="78"/>
  <c r="AV52" i="78"/>
  <c r="AV62" i="78"/>
  <c r="AT69" i="78"/>
  <c r="AT61" i="78"/>
  <c r="AT53" i="78"/>
  <c r="AT45" i="78"/>
  <c r="AT66" i="78"/>
  <c r="AT58" i="78"/>
  <c r="AT50" i="78"/>
  <c r="AT49" i="78"/>
  <c r="AV50" i="78"/>
  <c r="AU58" i="78"/>
  <c r="AT59" i="78"/>
  <c r="AV60" i="78"/>
  <c r="AT68" i="78"/>
  <c r="AV69" i="78"/>
  <c r="AW146" i="78"/>
  <c r="AX65" i="78"/>
  <c r="AX57" i="78"/>
  <c r="AX49" i="78"/>
  <c r="AX72" i="78"/>
  <c r="AX62" i="78"/>
  <c r="AX54" i="78"/>
  <c r="AX46" i="78"/>
  <c r="AX69" i="78"/>
  <c r="AX47" i="78"/>
  <c r="AX56" i="78"/>
  <c r="AV53" i="78"/>
  <c r="AX55" i="78"/>
  <c r="AX64" i="78"/>
  <c r="AX45" i="78"/>
  <c r="AV61" i="78"/>
  <c r="AX63" i="78"/>
  <c r="AU68" i="78"/>
  <c r="AU60" i="78"/>
  <c r="AU52" i="78"/>
  <c r="AT146" i="78"/>
  <c r="AU65" i="78"/>
  <c r="AU57" i="78"/>
  <c r="AU49" i="78"/>
  <c r="AT48" i="78"/>
  <c r="AV49" i="78"/>
  <c r="AX52" i="78"/>
  <c r="AT57" i="78"/>
  <c r="AV58" i="78"/>
  <c r="AU59" i="78"/>
  <c r="AX61" i="78"/>
  <c r="AU66" i="78"/>
  <c r="AT67" i="78"/>
  <c r="AV68" i="78"/>
  <c r="AU146" i="78"/>
  <c r="AW47" i="78"/>
  <c r="AW55" i="78"/>
  <c r="AJ46" i="78"/>
  <c r="AJ55" i="78"/>
  <c r="AJ60" i="78"/>
  <c r="AJ64" i="78"/>
  <c r="AI45" i="78"/>
  <c r="AK47" i="78"/>
  <c r="AI53" i="78"/>
  <c r="AK55" i="78"/>
  <c r="AL67" i="78"/>
  <c r="AL59" i="78"/>
  <c r="AL51" i="78"/>
  <c r="AK146" i="78"/>
  <c r="AL65" i="78"/>
  <c r="AL57" i="78"/>
  <c r="AL49" i="78"/>
  <c r="AL69" i="78"/>
  <c r="AL61" i="78"/>
  <c r="AK45" i="78"/>
  <c r="AL46" i="78"/>
  <c r="AL47" i="78"/>
  <c r="AL54" i="78"/>
  <c r="AL55" i="78"/>
  <c r="AI59" i="78"/>
  <c r="AI63" i="78"/>
  <c r="AL64" i="78"/>
  <c r="AI67" i="78"/>
  <c r="AI47" i="78"/>
  <c r="AJ69" i="78"/>
  <c r="AJ61" i="78"/>
  <c r="AJ53" i="78"/>
  <c r="AJ45" i="78"/>
  <c r="AJ67" i="78"/>
  <c r="AJ59" i="78"/>
  <c r="AJ51" i="78"/>
  <c r="AJ63" i="78"/>
  <c r="AJ47" i="78"/>
  <c r="AJ54" i="78"/>
  <c r="AJ68" i="78"/>
  <c r="AK68" i="78"/>
  <c r="AK60" i="78"/>
  <c r="AK52" i="78"/>
  <c r="AK66" i="78"/>
  <c r="AK58" i="78"/>
  <c r="AK50" i="78"/>
  <c r="AJ146" i="78"/>
  <c r="AK72" i="78"/>
  <c r="AK62" i="78"/>
  <c r="AK46" i="78"/>
  <c r="AK54" i="78"/>
  <c r="AK64" i="78"/>
  <c r="AM66" i="78"/>
  <c r="AM58" i="78"/>
  <c r="AM50" i="78"/>
  <c r="AL146" i="78"/>
  <c r="AM64" i="78"/>
  <c r="AM56" i="78"/>
  <c r="AM48" i="78"/>
  <c r="AM68" i="78"/>
  <c r="AM60" i="78"/>
  <c r="AL45" i="78"/>
  <c r="AM46" i="78"/>
  <c r="AM47" i="78"/>
  <c r="AI51" i="78"/>
  <c r="AL52" i="78"/>
  <c r="AL53" i="78"/>
  <c r="AM54" i="78"/>
  <c r="AM55" i="78"/>
  <c r="AK59" i="78"/>
  <c r="AK63" i="78"/>
  <c r="AK67" i="78"/>
  <c r="AJ62" i="78"/>
  <c r="AJ72" i="78"/>
  <c r="AI72" i="78"/>
  <c r="AI62" i="78"/>
  <c r="AI54" i="78"/>
  <c r="AI46" i="78"/>
  <c r="AI68" i="78"/>
  <c r="AI60" i="78"/>
  <c r="AI52" i="78"/>
  <c r="AI64" i="78"/>
  <c r="AI55" i="78"/>
  <c r="AI50" i="78"/>
  <c r="AI58" i="78"/>
  <c r="AI49" i="78"/>
  <c r="AJ50" i="78"/>
  <c r="AI57" i="78"/>
  <c r="AJ58" i="78"/>
  <c r="AJ66" i="78"/>
  <c r="AI146" i="78"/>
  <c r="CG72" i="78" l="1"/>
  <c r="CG109" i="78" s="1"/>
  <c r="BV72" i="78"/>
  <c r="BV109" i="78" s="1"/>
  <c r="AO72" i="78"/>
  <c r="AO109" i="78" s="1"/>
  <c r="AZ72" i="78"/>
  <c r="AZ109" i="78" s="1"/>
  <c r="BK72" i="78"/>
  <c r="BK109" i="78" s="1"/>
  <c r="CR72" i="78"/>
  <c r="CR109" i="78" s="1"/>
  <c r="CT72" i="78"/>
  <c r="CT109" i="78" s="1"/>
  <c r="D99" i="52"/>
  <c r="B94" i="52"/>
  <c r="C94" i="52"/>
  <c r="D94" i="52"/>
  <c r="B95" i="52"/>
  <c r="C95" i="52"/>
  <c r="D95" i="52"/>
  <c r="B96" i="52"/>
  <c r="C96" i="52"/>
  <c r="D96" i="52"/>
  <c r="B97" i="52"/>
  <c r="C97" i="52"/>
  <c r="D97" i="52"/>
  <c r="B98" i="52"/>
  <c r="C98" i="52"/>
  <c r="D98" i="52"/>
  <c r="B99" i="52"/>
  <c r="C99" i="52"/>
  <c r="B100" i="52"/>
  <c r="C100" i="52"/>
  <c r="D100" i="52"/>
  <c r="B101" i="52"/>
  <c r="C101" i="52"/>
  <c r="D101" i="52"/>
  <c r="C93" i="52"/>
  <c r="D93" i="52"/>
  <c r="B93" i="52"/>
  <c r="AN92" i="52"/>
  <c r="AM92" i="52"/>
  <c r="AL92" i="52"/>
  <c r="AJ92" i="52"/>
  <c r="AI92" i="52"/>
  <c r="AH92" i="52"/>
  <c r="AF92" i="52"/>
  <c r="AE92" i="52"/>
  <c r="AD92" i="52"/>
  <c r="D76" i="52"/>
  <c r="D83" i="52"/>
  <c r="C83" i="52"/>
  <c r="B83" i="52"/>
  <c r="D82" i="52"/>
  <c r="C82" i="52"/>
  <c r="B82" i="52"/>
  <c r="D81" i="52"/>
  <c r="C81" i="52"/>
  <c r="B81" i="52"/>
  <c r="D80" i="52"/>
  <c r="C80" i="52"/>
  <c r="B80" i="52"/>
  <c r="D79" i="52"/>
  <c r="C79" i="52"/>
  <c r="B79" i="52"/>
  <c r="D78" i="52"/>
  <c r="C78" i="52"/>
  <c r="B78" i="52"/>
  <c r="D77" i="52"/>
  <c r="C77" i="52"/>
  <c r="B77" i="52"/>
  <c r="C76" i="52"/>
  <c r="B76" i="52"/>
  <c r="D75" i="52"/>
  <c r="C75" i="52"/>
  <c r="B75" i="52"/>
  <c r="D71" i="52"/>
  <c r="C71" i="52"/>
  <c r="B71" i="52"/>
  <c r="D70" i="52"/>
  <c r="C70" i="52"/>
  <c r="B70" i="52"/>
  <c r="D69" i="52"/>
  <c r="C69" i="52"/>
  <c r="B69" i="52"/>
  <c r="D68" i="52"/>
  <c r="C68" i="52"/>
  <c r="B68" i="52"/>
  <c r="D67" i="52"/>
  <c r="C67" i="52"/>
  <c r="B67" i="52"/>
  <c r="D66" i="52"/>
  <c r="C66" i="52"/>
  <c r="B66" i="52"/>
  <c r="D65" i="52"/>
  <c r="C65" i="52"/>
  <c r="B65" i="52"/>
  <c r="D64" i="52"/>
  <c r="C64" i="52"/>
  <c r="B64" i="52"/>
  <c r="D63" i="52"/>
  <c r="C63" i="52"/>
  <c r="B63" i="52"/>
  <c r="B52" i="52"/>
  <c r="C52" i="52"/>
  <c r="D52" i="52"/>
  <c r="B53" i="52"/>
  <c r="C53" i="52"/>
  <c r="D53" i="52"/>
  <c r="B54" i="52"/>
  <c r="C54" i="52"/>
  <c r="D54" i="52"/>
  <c r="B55" i="52"/>
  <c r="C55" i="52"/>
  <c r="D55" i="52"/>
  <c r="B56" i="52"/>
  <c r="C56" i="52"/>
  <c r="D56" i="52"/>
  <c r="B57" i="52"/>
  <c r="C57" i="52"/>
  <c r="D57" i="52"/>
  <c r="B58" i="52"/>
  <c r="C58" i="52"/>
  <c r="D58" i="52"/>
  <c r="B59" i="52"/>
  <c r="C59" i="52"/>
  <c r="D59" i="52"/>
  <c r="C51" i="52"/>
  <c r="D51" i="52"/>
  <c r="B51" i="52"/>
  <c r="AN74" i="52"/>
  <c r="AM74" i="52"/>
  <c r="AL74" i="52"/>
  <c r="AN62" i="52"/>
  <c r="AM62" i="52"/>
  <c r="AL62" i="52"/>
  <c r="AN50" i="52"/>
  <c r="AM50" i="52"/>
  <c r="AL50" i="52"/>
  <c r="AJ74" i="52"/>
  <c r="AI74" i="52"/>
  <c r="AH74" i="52"/>
  <c r="AJ62" i="52"/>
  <c r="AI62" i="52"/>
  <c r="AH62" i="52"/>
  <c r="AJ50" i="52"/>
  <c r="AI50" i="52"/>
  <c r="AH50" i="52"/>
  <c r="AF74" i="52"/>
  <c r="AE74" i="52"/>
  <c r="AD74" i="52"/>
  <c r="AF62" i="52"/>
  <c r="AE62" i="52"/>
  <c r="AD62" i="52"/>
  <c r="AF50" i="52"/>
  <c r="AE50" i="52"/>
  <c r="AD50" i="52"/>
  <c r="AD9" i="52"/>
  <c r="D41" i="52"/>
  <c r="C41" i="52"/>
  <c r="B41" i="52"/>
  <c r="D40" i="52"/>
  <c r="C40" i="52"/>
  <c r="B40" i="52"/>
  <c r="D39" i="52"/>
  <c r="C39" i="52"/>
  <c r="B39" i="52"/>
  <c r="D38" i="52"/>
  <c r="C38" i="52"/>
  <c r="B38" i="52"/>
  <c r="D37" i="52"/>
  <c r="C37" i="52"/>
  <c r="B37" i="52"/>
  <c r="D36" i="52"/>
  <c r="C36" i="52"/>
  <c r="B36" i="52"/>
  <c r="D35" i="52"/>
  <c r="C35" i="52"/>
  <c r="B35" i="52"/>
  <c r="D34" i="52"/>
  <c r="C34" i="52"/>
  <c r="B34" i="52"/>
  <c r="D33" i="52"/>
  <c r="C33" i="52"/>
  <c r="B33" i="52"/>
  <c r="B22" i="52"/>
  <c r="C22" i="52"/>
  <c r="D22" i="52"/>
  <c r="B23" i="52"/>
  <c r="C23" i="52"/>
  <c r="D23" i="52"/>
  <c r="B24" i="52"/>
  <c r="C24" i="52"/>
  <c r="D24" i="52"/>
  <c r="B25" i="52"/>
  <c r="C25" i="52"/>
  <c r="D25" i="52"/>
  <c r="B26" i="52"/>
  <c r="C26" i="52"/>
  <c r="D26" i="52"/>
  <c r="B27" i="52"/>
  <c r="C27" i="52"/>
  <c r="D27" i="52"/>
  <c r="B28" i="52"/>
  <c r="C28" i="52"/>
  <c r="D28" i="52"/>
  <c r="B29" i="52"/>
  <c r="C29" i="52"/>
  <c r="D29" i="52"/>
  <c r="C21" i="52"/>
  <c r="D21" i="52"/>
  <c r="AL4" i="52"/>
  <c r="AM88" i="52" s="1"/>
  <c r="AH4" i="52"/>
  <c r="AH46" i="52" s="1"/>
  <c r="AD4" i="52"/>
  <c r="AD88" i="52" s="1"/>
  <c r="AN32" i="52"/>
  <c r="AM32" i="52"/>
  <c r="AL32" i="52"/>
  <c r="AN20" i="52"/>
  <c r="AM20" i="52"/>
  <c r="AL20" i="52"/>
  <c r="AN17" i="52"/>
  <c r="AM17" i="52"/>
  <c r="AL17" i="52"/>
  <c r="AN16" i="52"/>
  <c r="AM16" i="52"/>
  <c r="AL16" i="52"/>
  <c r="AN15" i="52"/>
  <c r="AM15" i="52"/>
  <c r="AL15" i="52"/>
  <c r="AN14" i="52"/>
  <c r="AM14" i="52"/>
  <c r="AL14" i="52"/>
  <c r="AN13" i="52"/>
  <c r="AM13" i="52"/>
  <c r="AL13" i="52"/>
  <c r="AN12" i="52"/>
  <c r="AM12" i="52"/>
  <c r="AL12" i="52"/>
  <c r="AN11" i="52"/>
  <c r="AM11" i="52"/>
  <c r="AL11" i="52"/>
  <c r="AN10" i="52"/>
  <c r="AM10" i="52"/>
  <c r="AL10" i="52"/>
  <c r="AN9" i="52"/>
  <c r="AM9" i="52"/>
  <c r="AL9" i="52"/>
  <c r="AJ32" i="52"/>
  <c r="AI32" i="52"/>
  <c r="AH32" i="52"/>
  <c r="AJ20" i="52"/>
  <c r="AI20" i="52"/>
  <c r="AH20" i="52"/>
  <c r="AJ17" i="52"/>
  <c r="AI17" i="52"/>
  <c r="AH17" i="52"/>
  <c r="AJ16" i="52"/>
  <c r="AI16" i="52"/>
  <c r="AH16" i="52"/>
  <c r="AJ15" i="52"/>
  <c r="AI15" i="52"/>
  <c r="AH15" i="52"/>
  <c r="AJ14" i="52"/>
  <c r="AI14" i="52"/>
  <c r="AH14" i="52"/>
  <c r="AJ13" i="52"/>
  <c r="AI13" i="52"/>
  <c r="AH13" i="52"/>
  <c r="AJ12" i="52"/>
  <c r="AI12" i="52"/>
  <c r="AH12" i="52"/>
  <c r="AJ11" i="52"/>
  <c r="AI11" i="52"/>
  <c r="AH11" i="52"/>
  <c r="AJ10" i="52"/>
  <c r="AI10" i="52"/>
  <c r="AH10" i="52"/>
  <c r="AJ9" i="52"/>
  <c r="AI9" i="52"/>
  <c r="AH9" i="52"/>
  <c r="AF32" i="52"/>
  <c r="AE32" i="52"/>
  <c r="AD32" i="52"/>
  <c r="AF20" i="52"/>
  <c r="AE20" i="52"/>
  <c r="AD20" i="52"/>
  <c r="AF17" i="52"/>
  <c r="AE17" i="52"/>
  <c r="AD17" i="52"/>
  <c r="AF16" i="52"/>
  <c r="AE16" i="52"/>
  <c r="AD16" i="52"/>
  <c r="AF15" i="52"/>
  <c r="AE15" i="52"/>
  <c r="AD15" i="52"/>
  <c r="AF14" i="52"/>
  <c r="AE14" i="52"/>
  <c r="AD14" i="52"/>
  <c r="AF13" i="52"/>
  <c r="AE13" i="52"/>
  <c r="AD13" i="52"/>
  <c r="AF12" i="52"/>
  <c r="AE12" i="52"/>
  <c r="AD12" i="52"/>
  <c r="AF11" i="52"/>
  <c r="AE11" i="52"/>
  <c r="AD11" i="52"/>
  <c r="AF10" i="52"/>
  <c r="AE10" i="52"/>
  <c r="AD10" i="52"/>
  <c r="AF9" i="52"/>
  <c r="AE9" i="52"/>
  <c r="Z4" i="52"/>
  <c r="Z88" i="52" s="1"/>
  <c r="V4" i="52"/>
  <c r="V46" i="52" s="1"/>
  <c r="R4" i="52"/>
  <c r="R88" i="52" s="1"/>
  <c r="N5" i="52"/>
  <c r="Z5" i="52" s="1"/>
  <c r="AL5" i="52" s="1"/>
  <c r="N4" i="52"/>
  <c r="J4" i="52"/>
  <c r="F4" i="52"/>
  <c r="A35" i="78"/>
  <c r="A9" i="78"/>
  <c r="A10" i="78"/>
  <c r="A11" i="78"/>
  <c r="A12" i="78"/>
  <c r="A13" i="78"/>
  <c r="A14" i="78"/>
  <c r="A15" i="78"/>
  <c r="A16" i="78"/>
  <c r="A17" i="78"/>
  <c r="A18" i="78"/>
  <c r="A19" i="78"/>
  <c r="A20" i="78"/>
  <c r="A21" i="78"/>
  <c r="A22" i="78"/>
  <c r="A23" i="78"/>
  <c r="A24" i="78"/>
  <c r="A25" i="78"/>
  <c r="A26" i="78"/>
  <c r="A27" i="78"/>
  <c r="A28" i="78"/>
  <c r="A29" i="78"/>
  <c r="A30" i="78"/>
  <c r="A31" i="78"/>
  <c r="A32" i="78"/>
  <c r="A8" i="78"/>
  <c r="AB92" i="52"/>
  <c r="AA92" i="52"/>
  <c r="Z92" i="52"/>
  <c r="X92" i="52"/>
  <c r="W92" i="52"/>
  <c r="V92" i="52"/>
  <c r="T92" i="52"/>
  <c r="S92" i="52"/>
  <c r="R92" i="52"/>
  <c r="AB12" i="52"/>
  <c r="AB74" i="52"/>
  <c r="AA74" i="52"/>
  <c r="Z74" i="52"/>
  <c r="AB62" i="52"/>
  <c r="AA62" i="52"/>
  <c r="Z62" i="52"/>
  <c r="AB50" i="52"/>
  <c r="AA50" i="52"/>
  <c r="Z50" i="52"/>
  <c r="X74" i="52"/>
  <c r="W74" i="52"/>
  <c r="V74" i="52"/>
  <c r="X62" i="52"/>
  <c r="W62" i="52"/>
  <c r="V62" i="52"/>
  <c r="X50" i="52"/>
  <c r="W50" i="52"/>
  <c r="V50" i="52"/>
  <c r="T74" i="52"/>
  <c r="S74" i="52"/>
  <c r="R74" i="52"/>
  <c r="T62" i="52"/>
  <c r="S62" i="52"/>
  <c r="R62" i="52"/>
  <c r="T50" i="52"/>
  <c r="S50" i="52"/>
  <c r="R50" i="52"/>
  <c r="R14" i="52"/>
  <c r="AB32" i="52"/>
  <c r="AA32" i="52"/>
  <c r="Z32" i="52"/>
  <c r="AB20" i="52"/>
  <c r="AA20" i="52"/>
  <c r="Z20" i="52"/>
  <c r="AB17" i="52"/>
  <c r="AA17" i="52"/>
  <c r="Z17" i="52"/>
  <c r="AB16" i="52"/>
  <c r="AA16" i="52"/>
  <c r="Z16" i="52"/>
  <c r="AB15" i="52"/>
  <c r="AA15" i="52"/>
  <c r="Z15" i="52"/>
  <c r="AB14" i="52"/>
  <c r="AA14" i="52"/>
  <c r="Z14" i="52"/>
  <c r="AB13" i="52"/>
  <c r="AA13" i="52"/>
  <c r="Z13" i="52"/>
  <c r="AA12" i="52"/>
  <c r="Z12" i="52"/>
  <c r="AB11" i="52"/>
  <c r="AA11" i="52"/>
  <c r="Z11" i="52"/>
  <c r="AB10" i="52"/>
  <c r="AA10" i="52"/>
  <c r="Z10" i="52"/>
  <c r="AB9" i="52"/>
  <c r="AA9" i="52"/>
  <c r="Z9" i="52"/>
  <c r="X32" i="52"/>
  <c r="W32" i="52"/>
  <c r="V32" i="52"/>
  <c r="X20" i="52"/>
  <c r="W20" i="52"/>
  <c r="V20" i="52"/>
  <c r="X17" i="52"/>
  <c r="W17" i="52"/>
  <c r="V17" i="52"/>
  <c r="X16" i="52"/>
  <c r="W16" i="52"/>
  <c r="V16" i="52"/>
  <c r="X15" i="52"/>
  <c r="W15" i="52"/>
  <c r="V15" i="52"/>
  <c r="X14" i="52"/>
  <c r="W14" i="52"/>
  <c r="V14" i="52"/>
  <c r="X13" i="52"/>
  <c r="W13" i="52"/>
  <c r="V13" i="52"/>
  <c r="X12" i="52"/>
  <c r="W12" i="52"/>
  <c r="V12" i="52"/>
  <c r="X11" i="52"/>
  <c r="W11" i="52"/>
  <c r="V11" i="52"/>
  <c r="X10" i="52"/>
  <c r="W10" i="52"/>
  <c r="V10" i="52"/>
  <c r="X9" i="52"/>
  <c r="W9" i="52"/>
  <c r="V9" i="52"/>
  <c r="T32" i="52"/>
  <c r="S32" i="52"/>
  <c r="R32" i="52"/>
  <c r="T20" i="52"/>
  <c r="S20" i="52"/>
  <c r="R20" i="52"/>
  <c r="T17" i="52"/>
  <c r="S17" i="52"/>
  <c r="R17" i="52"/>
  <c r="T16" i="52"/>
  <c r="S16" i="52"/>
  <c r="R16" i="52"/>
  <c r="T15" i="52"/>
  <c r="S15" i="52"/>
  <c r="R15" i="52"/>
  <c r="T14" i="52"/>
  <c r="S14" i="52"/>
  <c r="T13" i="52"/>
  <c r="S13" i="52"/>
  <c r="R13" i="52"/>
  <c r="T12" i="52"/>
  <c r="S12" i="52"/>
  <c r="R12" i="52"/>
  <c r="T11" i="52"/>
  <c r="S11" i="52"/>
  <c r="R11" i="52"/>
  <c r="T10" i="52"/>
  <c r="S10" i="52"/>
  <c r="R10" i="52"/>
  <c r="T9" i="52"/>
  <c r="S9" i="52"/>
  <c r="R9" i="52"/>
  <c r="AL46" i="52" l="1"/>
  <c r="AD46" i="52"/>
  <c r="R46" i="52"/>
  <c r="Z46" i="52"/>
  <c r="AH88" i="52"/>
  <c r="B92" i="52"/>
  <c r="AA8" i="52"/>
  <c r="AN8" i="52"/>
  <c r="AJ8" i="52"/>
  <c r="AE8" i="52"/>
  <c r="B11" i="52"/>
  <c r="B50" i="52"/>
  <c r="AL8" i="52"/>
  <c r="AM8" i="52"/>
  <c r="AH8" i="52"/>
  <c r="AI8" i="52"/>
  <c r="AD8" i="52"/>
  <c r="AF8" i="52"/>
  <c r="B9" i="52"/>
  <c r="D11" i="52"/>
  <c r="V88" i="52"/>
  <c r="T8" i="52"/>
  <c r="AB8" i="52"/>
  <c r="Z8" i="52"/>
  <c r="V8" i="52"/>
  <c r="W8" i="52"/>
  <c r="X8" i="52"/>
  <c r="R8" i="52"/>
  <c r="S8" i="52"/>
  <c r="A13" i="44"/>
  <c r="A27" i="44" s="1"/>
  <c r="A41" i="44" s="1"/>
  <c r="A55" i="44" s="1"/>
  <c r="A12" i="44"/>
  <c r="A26" i="44" s="1"/>
  <c r="A40" i="44" s="1"/>
  <c r="A54" i="44" s="1"/>
  <c r="A8" i="44"/>
  <c r="A22" i="44" s="1"/>
  <c r="A36" i="44" s="1"/>
  <c r="A50" i="44" s="1"/>
  <c r="A9" i="44"/>
  <c r="A23" i="44" s="1"/>
  <c r="A37" i="44" s="1"/>
  <c r="A51" i="44" s="1"/>
  <c r="A10" i="44"/>
  <c r="A24" i="44" s="1"/>
  <c r="A38" i="44" s="1"/>
  <c r="A52" i="44" s="1"/>
  <c r="A11" i="44"/>
  <c r="A25" i="44" s="1"/>
  <c r="A39" i="44" s="1"/>
  <c r="A53" i="44" s="1"/>
  <c r="O15" i="76"/>
  <c r="P15" i="76"/>
  <c r="Q15" i="76"/>
  <c r="R15" i="76"/>
  <c r="S15" i="76"/>
  <c r="T15" i="76"/>
  <c r="U15" i="76"/>
  <c r="V15" i="76"/>
  <c r="W15" i="76"/>
  <c r="X15" i="76"/>
  <c r="Y15" i="76"/>
  <c r="Z15" i="76"/>
  <c r="AA15" i="76"/>
  <c r="AB15" i="76"/>
  <c r="AC15" i="76"/>
  <c r="AD15" i="76"/>
  <c r="N15" i="76"/>
  <c r="N9" i="76"/>
  <c r="O5" i="76"/>
  <c r="P5" i="76"/>
  <c r="Q5" i="76"/>
  <c r="R5" i="76"/>
  <c r="S5" i="76"/>
  <c r="T5" i="76"/>
  <c r="U5" i="76"/>
  <c r="V5" i="76"/>
  <c r="W5" i="76"/>
  <c r="X5" i="76"/>
  <c r="Y5" i="76"/>
  <c r="Z5" i="76"/>
  <c r="AA5" i="76"/>
  <c r="AB5" i="76"/>
  <c r="AC5" i="76"/>
  <c r="AD5" i="76"/>
  <c r="N5" i="76"/>
  <c r="B35" i="18" l="1"/>
  <c r="C35" i="18"/>
  <c r="D35" i="18"/>
  <c r="E35" i="18"/>
  <c r="F35" i="18"/>
  <c r="C36" i="18"/>
  <c r="D36" i="18"/>
  <c r="E36" i="18"/>
  <c r="F36" i="18"/>
  <c r="B29" i="18"/>
  <c r="C29" i="18"/>
  <c r="D29" i="18"/>
  <c r="E29" i="18"/>
  <c r="F29" i="18"/>
  <c r="B30" i="18"/>
  <c r="C30" i="18"/>
  <c r="D30" i="18"/>
  <c r="E30" i="18"/>
  <c r="F30" i="18"/>
  <c r="B31" i="18"/>
  <c r="C31" i="18"/>
  <c r="D31" i="18"/>
  <c r="E31" i="18"/>
  <c r="F31" i="18"/>
  <c r="B32" i="18"/>
  <c r="C32" i="18"/>
  <c r="D32" i="18"/>
  <c r="E32" i="18"/>
  <c r="F32" i="18"/>
  <c r="B18" i="18"/>
  <c r="C18" i="18"/>
  <c r="D18" i="18"/>
  <c r="E18" i="18"/>
  <c r="F18" i="18"/>
  <c r="B19" i="18"/>
  <c r="C19" i="18"/>
  <c r="D19" i="18"/>
  <c r="E19" i="18"/>
  <c r="F19" i="18"/>
  <c r="B20" i="18"/>
  <c r="C20" i="18"/>
  <c r="D20" i="18"/>
  <c r="E20" i="18"/>
  <c r="F20" i="18"/>
  <c r="B21" i="18"/>
  <c r="C21" i="18"/>
  <c r="D21" i="18"/>
  <c r="E21" i="18"/>
  <c r="F21" i="18"/>
  <c r="B22" i="18"/>
  <c r="C22" i="18"/>
  <c r="D22" i="18"/>
  <c r="E22" i="18"/>
  <c r="F22" i="18"/>
  <c r="B12" i="18"/>
  <c r="C12" i="18"/>
  <c r="D12" i="18"/>
  <c r="E12" i="18"/>
  <c r="F12" i="18"/>
  <c r="B13" i="18"/>
  <c r="C13" i="18"/>
  <c r="D13" i="18"/>
  <c r="E13" i="18"/>
  <c r="F13" i="18"/>
  <c r="B14" i="18"/>
  <c r="C14" i="18"/>
  <c r="D14" i="18"/>
  <c r="E14" i="18"/>
  <c r="F14" i="18"/>
  <c r="B15" i="18"/>
  <c r="C15" i="18"/>
  <c r="D15" i="18"/>
  <c r="E15" i="18"/>
  <c r="F15" i="18"/>
  <c r="B9" i="18"/>
  <c r="C9" i="18"/>
  <c r="D9" i="18"/>
  <c r="E9" i="18"/>
  <c r="F9" i="18"/>
  <c r="C8" i="18"/>
  <c r="D8" i="18"/>
  <c r="E8" i="18"/>
  <c r="F8" i="18"/>
  <c r="B8" i="18"/>
  <c r="F180" i="71"/>
  <c r="B180" i="71"/>
  <c r="B80" i="16"/>
  <c r="B106" i="71"/>
  <c r="A35" i="71"/>
  <c r="A180" i="71" s="1"/>
  <c r="A9" i="71"/>
  <c r="A10" i="71"/>
  <c r="A11" i="71"/>
  <c r="A12" i="71"/>
  <c r="A13" i="71"/>
  <c r="A158" i="71" s="1"/>
  <c r="A14" i="71"/>
  <c r="A15" i="71"/>
  <c r="A160" i="71" s="1"/>
  <c r="A16" i="71"/>
  <c r="A17" i="71"/>
  <c r="A18" i="71"/>
  <c r="A19" i="71"/>
  <c r="A164" i="71" s="1"/>
  <c r="A20" i="71"/>
  <c r="A21" i="71"/>
  <c r="A22" i="71"/>
  <c r="A167" i="71" s="1"/>
  <c r="A23" i="71"/>
  <c r="A24" i="71"/>
  <c r="A25" i="71"/>
  <c r="A26" i="71"/>
  <c r="A27" i="71"/>
  <c r="A28" i="71"/>
  <c r="A29" i="71"/>
  <c r="A30" i="71"/>
  <c r="A31" i="71"/>
  <c r="A32" i="71"/>
  <c r="A8" i="18"/>
  <c r="L53" i="76" s="1"/>
  <c r="A28" i="12"/>
  <c r="A21" i="12"/>
  <c r="A48" i="12" s="1"/>
  <c r="A22" i="12"/>
  <c r="A49" i="12" s="1"/>
  <c r="A23" i="12"/>
  <c r="A50" i="12" s="1"/>
  <c r="A24" i="12"/>
  <c r="A51" i="12" s="1"/>
  <c r="A25" i="12"/>
  <c r="A52" i="12" s="1"/>
  <c r="A26" i="12"/>
  <c r="A53" i="12" s="1"/>
  <c r="A6" i="12"/>
  <c r="A7" i="12"/>
  <c r="A8" i="12"/>
  <c r="A9" i="12"/>
  <c r="A10" i="12"/>
  <c r="A11" i="12"/>
  <c r="A11" i="15" s="1"/>
  <c r="A93" i="15" s="1"/>
  <c r="A12" i="12"/>
  <c r="A13" i="12"/>
  <c r="A21" i="15" s="1"/>
  <c r="A103" i="15" s="1"/>
  <c r="A14" i="12"/>
  <c r="A22" i="15" s="1"/>
  <c r="A104" i="15" s="1"/>
  <c r="A15" i="12"/>
  <c r="A23" i="15" s="1"/>
  <c r="A105" i="15" s="1"/>
  <c r="A16" i="12"/>
  <c r="A26" i="15" s="1"/>
  <c r="A108" i="15" s="1"/>
  <c r="A17" i="12"/>
  <c r="A27" i="15" s="1"/>
  <c r="A109" i="15" s="1"/>
  <c r="A18" i="12"/>
  <c r="A28" i="15" s="1"/>
  <c r="A110" i="15" s="1"/>
  <c r="A19" i="12"/>
  <c r="A29" i="15" s="1"/>
  <c r="A111" i="15" s="1"/>
  <c r="A20" i="12"/>
  <c r="A47" i="12" s="1"/>
  <c r="A5" i="12"/>
  <c r="A35" i="18" l="1"/>
  <c r="A170" i="71"/>
  <c r="A21" i="18"/>
  <c r="A162" i="71"/>
  <c r="A9" i="18"/>
  <c r="L54" i="76" s="1"/>
  <c r="A154" i="71"/>
  <c r="A177" i="71"/>
  <c r="A32" i="18"/>
  <c r="A169" i="71"/>
  <c r="A20" i="18"/>
  <c r="A161" i="71"/>
  <c r="A176" i="71"/>
  <c r="A31" i="18"/>
  <c r="A168" i="71"/>
  <c r="A15" i="18"/>
  <c r="A175" i="71"/>
  <c r="A18" i="18"/>
  <c r="A159" i="71"/>
  <c r="A19" i="18"/>
  <c r="A30" i="18"/>
  <c r="A174" i="71"/>
  <c r="A29" i="18"/>
  <c r="A166" i="71"/>
  <c r="A173" i="71"/>
  <c r="A26" i="18"/>
  <c r="A165" i="71"/>
  <c r="A14" i="18"/>
  <c r="A157" i="71"/>
  <c r="A172" i="71"/>
  <c r="A13" i="18"/>
  <c r="A156" i="71"/>
  <c r="A36" i="18"/>
  <c r="A171" i="71"/>
  <c r="A22" i="18"/>
  <c r="A163" i="71"/>
  <c r="A12" i="18"/>
  <c r="A155" i="71"/>
  <c r="L22" i="18"/>
  <c r="X4" i="106"/>
  <c r="J9" i="18"/>
  <c r="H8" i="16"/>
  <c r="N153" i="75" s="1"/>
  <c r="Z4" i="106"/>
  <c r="Y4" i="106"/>
  <c r="AB4" i="106"/>
  <c r="AC4" i="106"/>
  <c r="AA4" i="106"/>
  <c r="A72" i="15"/>
  <c r="L18" i="19" s="1"/>
  <c r="L27" i="21"/>
  <c r="A60" i="18"/>
  <c r="L50" i="75"/>
  <c r="L6" i="76"/>
  <c r="A54" i="15"/>
  <c r="L36" i="19" s="1"/>
  <c r="L9" i="21"/>
  <c r="A36" i="15"/>
  <c r="A118" i="15" s="1"/>
  <c r="A38" i="15"/>
  <c r="A120" i="15" s="1"/>
  <c r="A37" i="15"/>
  <c r="A119" i="15" s="1"/>
  <c r="A32" i="15"/>
  <c r="A114" i="15" s="1"/>
  <c r="A111" i="12"/>
  <c r="A33" i="15"/>
  <c r="A115" i="15" s="1"/>
  <c r="A31" i="15"/>
  <c r="A113" i="15" s="1"/>
  <c r="A30" i="15"/>
  <c r="A112" i="15" s="1"/>
  <c r="L30" i="18"/>
  <c r="L41" i="18"/>
  <c r="L9" i="18"/>
  <c r="L19" i="18"/>
  <c r="L13" i="18"/>
  <c r="L32" i="18"/>
  <c r="L48" i="18"/>
  <c r="L49" i="18"/>
  <c r="L12" i="18"/>
  <c r="L31" i="18"/>
  <c r="K8" i="18"/>
  <c r="L8" i="18"/>
  <c r="L15" i="18"/>
  <c r="L18" i="18"/>
  <c r="L36" i="18"/>
  <c r="L45" i="18"/>
  <c r="L21" i="18"/>
  <c r="L29" i="18"/>
  <c r="L40" i="18"/>
  <c r="L14" i="18"/>
  <c r="L35" i="18"/>
  <c r="L44" i="18"/>
  <c r="F64" i="16"/>
  <c r="N3" i="107" s="1"/>
  <c r="L20" i="18"/>
  <c r="I8" i="18"/>
  <c r="I9" i="18"/>
  <c r="K9" i="18"/>
  <c r="H8" i="18"/>
  <c r="J8" i="18"/>
  <c r="H9" i="18"/>
  <c r="B86" i="16"/>
  <c r="A106" i="12"/>
  <c r="A107" i="12"/>
  <c r="A108" i="12"/>
  <c r="A109" i="12"/>
  <c r="A110" i="12"/>
  <c r="A83" i="12"/>
  <c r="A79" i="12"/>
  <c r="A80" i="12"/>
  <c r="A81" i="12"/>
  <c r="A82" i="12"/>
  <c r="A84" i="12"/>
  <c r="F37" i="15"/>
  <c r="F23" i="15"/>
  <c r="F29" i="15"/>
  <c r="F28" i="15"/>
  <c r="F32" i="15"/>
  <c r="F27" i="15"/>
  <c r="F26" i="15"/>
  <c r="F36" i="15"/>
  <c r="F22" i="15"/>
  <c r="F30" i="15"/>
  <c r="F11" i="15"/>
  <c r="F33" i="15"/>
  <c r="F38" i="15"/>
  <c r="F31" i="15"/>
  <c r="F21" i="15"/>
  <c r="E29" i="15"/>
  <c r="E32" i="15"/>
  <c r="E38" i="15"/>
  <c r="E26" i="15"/>
  <c r="E36" i="15"/>
  <c r="E30" i="15"/>
  <c r="E11" i="15"/>
  <c r="E33" i="15"/>
  <c r="E28" i="15"/>
  <c r="E27" i="15"/>
  <c r="E37" i="15"/>
  <c r="E23" i="15"/>
  <c r="E22" i="15"/>
  <c r="E31" i="15"/>
  <c r="E21" i="15"/>
  <c r="D30" i="15"/>
  <c r="D28" i="15"/>
  <c r="D37" i="15"/>
  <c r="D23" i="15"/>
  <c r="D11" i="15"/>
  <c r="D32" i="15"/>
  <c r="D26" i="15"/>
  <c r="D36" i="15"/>
  <c r="D22" i="15"/>
  <c r="D29" i="15"/>
  <c r="D27" i="15"/>
  <c r="D38" i="15"/>
  <c r="D31" i="15"/>
  <c r="D21" i="15"/>
  <c r="C30" i="15"/>
  <c r="C29" i="15"/>
  <c r="C11" i="15"/>
  <c r="C33" i="15"/>
  <c r="C28" i="15"/>
  <c r="C32" i="15"/>
  <c r="C27" i="15"/>
  <c r="C38" i="15"/>
  <c r="C26" i="15"/>
  <c r="C37" i="15"/>
  <c r="C23" i="15"/>
  <c r="C36" i="15"/>
  <c r="C22" i="15"/>
  <c r="C31" i="15"/>
  <c r="C21" i="15"/>
  <c r="B37" i="15"/>
  <c r="B23" i="15"/>
  <c r="B36" i="15"/>
  <c r="B22" i="15"/>
  <c r="B31" i="15"/>
  <c r="B21" i="15"/>
  <c r="B30" i="15"/>
  <c r="B29" i="15"/>
  <c r="B11" i="15"/>
  <c r="B33" i="15"/>
  <c r="B28" i="15"/>
  <c r="B32" i="15"/>
  <c r="B27" i="15"/>
  <c r="B38" i="15"/>
  <c r="B26" i="15"/>
  <c r="F45" i="11"/>
  <c r="F46" i="11"/>
  <c r="L7" i="76" l="1"/>
  <c r="A61" i="18"/>
  <c r="L49" i="75"/>
  <c r="L28" i="76"/>
  <c r="L75" i="76"/>
  <c r="L29" i="76"/>
  <c r="L76" i="76"/>
  <c r="L47" i="76"/>
  <c r="L94" i="76"/>
  <c r="L34" i="76"/>
  <c r="L81" i="76"/>
  <c r="L24" i="76"/>
  <c r="L71" i="76"/>
  <c r="L17" i="76"/>
  <c r="L64" i="76"/>
  <c r="L46" i="76"/>
  <c r="L93" i="76"/>
  <c r="L20" i="76"/>
  <c r="L67" i="76"/>
  <c r="L11" i="76"/>
  <c r="L58" i="76"/>
  <c r="L39" i="76"/>
  <c r="L86" i="76"/>
  <c r="L16" i="76"/>
  <c r="L63" i="76"/>
  <c r="L12" i="76"/>
  <c r="L59" i="76"/>
  <c r="L18" i="76"/>
  <c r="L65" i="76"/>
  <c r="L19" i="76"/>
  <c r="L66" i="76"/>
  <c r="L42" i="76"/>
  <c r="L89" i="76"/>
  <c r="L10" i="76"/>
  <c r="L57" i="76"/>
  <c r="L38" i="76"/>
  <c r="L85" i="76"/>
  <c r="L27" i="76"/>
  <c r="L74" i="76"/>
  <c r="L43" i="76"/>
  <c r="L90" i="76"/>
  <c r="L13" i="76"/>
  <c r="L60" i="76"/>
  <c r="L30" i="76"/>
  <c r="L77" i="76"/>
  <c r="L33" i="76"/>
  <c r="L80" i="76"/>
  <c r="H26" i="16"/>
  <c r="X8" i="106"/>
  <c r="Z11" i="106"/>
  <c r="X5" i="106"/>
  <c r="X6" i="106"/>
  <c r="Z9" i="106"/>
  <c r="Z8" i="106"/>
  <c r="Z6" i="106"/>
  <c r="X11" i="106"/>
  <c r="Z5" i="106"/>
  <c r="AA11" i="106"/>
  <c r="AC11" i="106"/>
  <c r="AB5" i="106"/>
  <c r="Y5" i="106"/>
  <c r="AB7" i="106"/>
  <c r="Y7" i="106"/>
  <c r="X12" i="106"/>
  <c r="AB8" i="106"/>
  <c r="Y8" i="106"/>
  <c r="AC12" i="106"/>
  <c r="AA12" i="106"/>
  <c r="Y9" i="106"/>
  <c r="AB9" i="106"/>
  <c r="AC5" i="106"/>
  <c r="AA5" i="106"/>
  <c r="AB10" i="106"/>
  <c r="Y10" i="106"/>
  <c r="AA6" i="106"/>
  <c r="AC6" i="106"/>
  <c r="AB6" i="106"/>
  <c r="Y6" i="106"/>
  <c r="X7" i="106"/>
  <c r="AB11" i="106"/>
  <c r="Y11" i="106"/>
  <c r="AC7" i="106"/>
  <c r="AA7" i="106"/>
  <c r="Y12" i="106"/>
  <c r="AB12" i="106"/>
  <c r="AA8" i="106"/>
  <c r="AC8" i="106"/>
  <c r="X9" i="106"/>
  <c r="Z7" i="106"/>
  <c r="AA9" i="106"/>
  <c r="AC9" i="106"/>
  <c r="Z12" i="106"/>
  <c r="X10" i="106"/>
  <c r="Z10" i="106"/>
  <c r="AA10" i="106"/>
  <c r="AC10" i="106"/>
  <c r="A73" i="15"/>
  <c r="L17" i="19" s="1"/>
  <c r="L28" i="21"/>
  <c r="L29" i="21"/>
  <c r="A74" i="15"/>
  <c r="L16" i="19" s="1"/>
  <c r="L31" i="21"/>
  <c r="A76" i="15"/>
  <c r="L14" i="19" s="1"/>
  <c r="L30" i="21"/>
  <c r="A75" i="15"/>
  <c r="L15" i="19" s="1"/>
  <c r="H11" i="15"/>
  <c r="H31" i="15"/>
  <c r="K31" i="15"/>
  <c r="L22" i="15"/>
  <c r="F47" i="11"/>
  <c r="L38" i="15"/>
  <c r="I11" i="15"/>
  <c r="K33" i="15"/>
  <c r="L28" i="15"/>
  <c r="J30" i="15"/>
  <c r="J29" i="15"/>
  <c r="K11" i="15"/>
  <c r="L11" i="15"/>
  <c r="F69" i="16"/>
  <c r="N8" i="107" s="1"/>
  <c r="H13" i="16"/>
  <c r="H30" i="15"/>
  <c r="I31" i="15"/>
  <c r="I32" i="15"/>
  <c r="K30" i="15"/>
  <c r="L30" i="15"/>
  <c r="L29" i="15"/>
  <c r="H32" i="15"/>
  <c r="H14" i="16"/>
  <c r="F70" i="16"/>
  <c r="N9" i="107" s="1"/>
  <c r="F48" i="11"/>
  <c r="L21" i="15"/>
  <c r="H15" i="16"/>
  <c r="F71" i="16"/>
  <c r="N10" i="107" s="1"/>
  <c r="K32" i="15"/>
  <c r="L32" i="15"/>
  <c r="F49" i="11"/>
  <c r="C111" i="12"/>
  <c r="D33" i="15"/>
  <c r="J33" i="15" s="1"/>
  <c r="F50" i="11"/>
  <c r="I29" i="15"/>
  <c r="I30" i="15"/>
  <c r="L36" i="15"/>
  <c r="L23" i="15"/>
  <c r="K29" i="15"/>
  <c r="H9" i="16"/>
  <c r="F65" i="16"/>
  <c r="N4" i="107" s="1"/>
  <c r="L26" i="15"/>
  <c r="L37" i="15"/>
  <c r="D82" i="16"/>
  <c r="H10" i="16"/>
  <c r="F66" i="16"/>
  <c r="N5" i="107" s="1"/>
  <c r="L31" i="15"/>
  <c r="J11" i="15"/>
  <c r="H16" i="16"/>
  <c r="F72" i="16"/>
  <c r="N11" i="107" s="1"/>
  <c r="J31" i="15"/>
  <c r="J32" i="15"/>
  <c r="L27" i="15"/>
  <c r="H33" i="15"/>
  <c r="H11" i="16"/>
  <c r="F67" i="16"/>
  <c r="N6" i="107" s="1"/>
  <c r="H29" i="15"/>
  <c r="F68" i="16"/>
  <c r="N7" i="107" s="1"/>
  <c r="H12" i="16"/>
  <c r="B18" i="16"/>
  <c r="B51" i="18" s="1"/>
  <c r="D108" i="12"/>
  <c r="B111" i="12"/>
  <c r="C109" i="12"/>
  <c r="D107" i="12"/>
  <c r="B106" i="12"/>
  <c r="E109" i="12"/>
  <c r="C108" i="12"/>
  <c r="E108" i="12"/>
  <c r="E107" i="12"/>
  <c r="B109" i="12"/>
  <c r="D106" i="12"/>
  <c r="D111" i="12"/>
  <c r="D110" i="12"/>
  <c r="B108" i="12"/>
  <c r="E106" i="12"/>
  <c r="D109" i="12"/>
  <c r="B107" i="12"/>
  <c r="C107" i="12"/>
  <c r="E111" i="12"/>
  <c r="E110" i="12"/>
  <c r="B110" i="12"/>
  <c r="C106" i="12"/>
  <c r="C110" i="12"/>
  <c r="B35" i="12"/>
  <c r="E28" i="12"/>
  <c r="E32" i="12" s="1"/>
  <c r="F28" i="12"/>
  <c r="C28" i="12"/>
  <c r="D28" i="12"/>
  <c r="F32" i="12" l="1"/>
  <c r="F113" i="12"/>
  <c r="D32" i="12"/>
  <c r="F86" i="12"/>
  <c r="X18" i="106"/>
  <c r="H31" i="16"/>
  <c r="N158" i="75"/>
  <c r="H28" i="16"/>
  <c r="N155" i="75"/>
  <c r="H32" i="16"/>
  <c r="N159" i="75"/>
  <c r="H30" i="16"/>
  <c r="N157" i="75"/>
  <c r="H33" i="16"/>
  <c r="N160" i="75"/>
  <c r="H29" i="16"/>
  <c r="N156" i="75"/>
  <c r="P7" i="31"/>
  <c r="N161" i="75"/>
  <c r="H27" i="16"/>
  <c r="N154" i="75"/>
  <c r="X19" i="106"/>
  <c r="H18" i="16"/>
  <c r="N163" i="75" s="1"/>
  <c r="L33" i="15"/>
  <c r="H34" i="16"/>
  <c r="I33" i="15"/>
  <c r="H61" i="18"/>
  <c r="H60" i="18"/>
  <c r="C32" i="12"/>
  <c r="B113" i="12"/>
  <c r="E39" i="12"/>
  <c r="E49" i="12"/>
  <c r="E34" i="12"/>
  <c r="E48" i="12"/>
  <c r="F48" i="12"/>
  <c r="C39" i="12"/>
  <c r="D40" i="12"/>
  <c r="C44" i="12"/>
  <c r="B40" i="12"/>
  <c r="B34" i="12"/>
  <c r="B33" i="12"/>
  <c r="E37" i="12"/>
  <c r="B38" i="12"/>
  <c r="F34" i="12"/>
  <c r="B51" i="12"/>
  <c r="B43" i="12"/>
  <c r="B37" i="12"/>
  <c r="F44" i="12"/>
  <c r="F50" i="12"/>
  <c r="C50" i="12"/>
  <c r="E44" i="12"/>
  <c r="C43" i="12"/>
  <c r="E46" i="12"/>
  <c r="F40" i="12"/>
  <c r="C42" i="12"/>
  <c r="D47" i="12"/>
  <c r="B42" i="12"/>
  <c r="F36" i="12"/>
  <c r="E43" i="12"/>
  <c r="F45" i="12"/>
  <c r="E38" i="12"/>
  <c r="F41" i="12"/>
  <c r="B47" i="12"/>
  <c r="E36" i="12"/>
  <c r="E50" i="12"/>
  <c r="F38" i="12"/>
  <c r="E33" i="12"/>
  <c r="F39" i="12"/>
  <c r="B44" i="12"/>
  <c r="D33" i="12"/>
  <c r="B49" i="12"/>
  <c r="F47" i="12"/>
  <c r="E53" i="12"/>
  <c r="C38" i="12"/>
  <c r="C40" i="12"/>
  <c r="D43" i="12"/>
  <c r="B46" i="12"/>
  <c r="E42" i="12"/>
  <c r="D41" i="12"/>
  <c r="C33" i="12"/>
  <c r="C34" i="12"/>
  <c r="D36" i="12"/>
  <c r="D37" i="12"/>
  <c r="C46" i="12"/>
  <c r="D53" i="12"/>
  <c r="D49" i="12"/>
  <c r="D38" i="12"/>
  <c r="D52" i="12"/>
  <c r="F35" i="12"/>
  <c r="C51" i="12"/>
  <c r="E45" i="12"/>
  <c r="B53" i="12"/>
  <c r="D34" i="12"/>
  <c r="E35" i="12"/>
  <c r="E47" i="12"/>
  <c r="B39" i="12"/>
  <c r="C47" i="12"/>
  <c r="F42" i="12"/>
  <c r="C35" i="12"/>
  <c r="C37" i="12"/>
  <c r="F52" i="12"/>
  <c r="F33" i="12"/>
  <c r="C53" i="12"/>
  <c r="D48" i="12"/>
  <c r="F37" i="12"/>
  <c r="C41" i="12"/>
  <c r="E40" i="12"/>
  <c r="F49" i="12"/>
  <c r="D44" i="12"/>
  <c r="D45" i="12"/>
  <c r="E41" i="12"/>
  <c r="B36" i="12"/>
  <c r="C36" i="12"/>
  <c r="F51" i="12"/>
  <c r="C48" i="12"/>
  <c r="B50" i="12"/>
  <c r="D35" i="12"/>
  <c r="D42" i="12"/>
  <c r="D46" i="12"/>
  <c r="F43" i="12"/>
  <c r="F46" i="12"/>
  <c r="C52" i="12"/>
  <c r="E52" i="12"/>
  <c r="B41" i="12"/>
  <c r="D50" i="12"/>
  <c r="B48" i="12"/>
  <c r="C45" i="12"/>
  <c r="D51" i="12"/>
  <c r="D39" i="12"/>
  <c r="F53" i="12"/>
  <c r="C49" i="12"/>
  <c r="E51" i="12"/>
  <c r="B45" i="12"/>
  <c r="B52" i="12"/>
  <c r="Y18" i="106" l="1"/>
  <c r="A27" i="5"/>
  <c r="A28" i="5"/>
  <c r="A29" i="5"/>
  <c r="A30" i="5"/>
  <c r="A31" i="5"/>
  <c r="A26" i="5"/>
  <c r="B25" i="5" a="1"/>
  <c r="D25" i="5" s="1"/>
  <c r="A24" i="5"/>
  <c r="Y19" i="106" l="1"/>
  <c r="Z18" i="106"/>
  <c r="H25" i="5"/>
  <c r="G25" i="5"/>
  <c r="F25" i="5"/>
  <c r="E25" i="5"/>
  <c r="C25" i="5"/>
  <c r="J25" i="5"/>
  <c r="B25" i="5"/>
  <c r="I25" i="5"/>
  <c r="A4" i="5" l="1"/>
  <c r="A5" i="5"/>
  <c r="A6" i="5"/>
  <c r="A7" i="5"/>
  <c r="A8" i="5"/>
  <c r="A3" i="5"/>
  <c r="K9" i="80" l="1"/>
  <c r="K10" i="80"/>
  <c r="K11" i="80"/>
  <c r="K14" i="80"/>
  <c r="L14" i="80" s="1"/>
  <c r="K15" i="80"/>
  <c r="K16" i="80"/>
  <c r="K17" i="80"/>
  <c r="K18" i="80"/>
  <c r="K19" i="80"/>
  <c r="K20" i="80"/>
  <c r="K21" i="80"/>
  <c r="K22" i="80"/>
  <c r="K23" i="80"/>
  <c r="K24" i="80"/>
  <c r="K25" i="80"/>
  <c r="K26" i="80"/>
  <c r="K27" i="80"/>
  <c r="K28" i="80"/>
  <c r="K29" i="80"/>
  <c r="K30" i="80"/>
  <c r="K31" i="80"/>
  <c r="K32" i="80"/>
  <c r="Y140" i="78" l="1"/>
  <c r="Y143" i="78"/>
  <c r="Y142" i="78"/>
  <c r="Y141" i="78"/>
  <c r="Y139" i="78"/>
  <c r="Y138" i="78"/>
  <c r="Y137" i="78"/>
  <c r="Y136" i="78"/>
  <c r="Y135" i="78"/>
  <c r="Y134" i="78"/>
  <c r="Y133" i="78"/>
  <c r="Y132" i="78"/>
  <c r="Y131" i="78"/>
  <c r="Y130" i="78"/>
  <c r="Y129" i="78"/>
  <c r="Y128" i="78"/>
  <c r="Y127" i="78"/>
  <c r="Y126" i="78"/>
  <c r="Y125" i="78"/>
  <c r="Y124" i="78"/>
  <c r="Y123" i="78"/>
  <c r="Y122" i="78"/>
  <c r="Y121" i="78"/>
  <c r="Y120" i="78"/>
  <c r="Y119" i="78"/>
  <c r="N143" i="78"/>
  <c r="N142" i="78"/>
  <c r="N141" i="78"/>
  <c r="N140" i="78"/>
  <c r="N139" i="78"/>
  <c r="N138" i="78"/>
  <c r="N137" i="78"/>
  <c r="N136" i="78"/>
  <c r="N135" i="78"/>
  <c r="N134" i="78"/>
  <c r="N133" i="78"/>
  <c r="N132" i="78"/>
  <c r="N131" i="78"/>
  <c r="N130" i="78"/>
  <c r="N129" i="78"/>
  <c r="N128" i="78"/>
  <c r="N127" i="78"/>
  <c r="N126" i="78"/>
  <c r="N125" i="78"/>
  <c r="N124" i="78"/>
  <c r="N123" i="78"/>
  <c r="N122" i="78"/>
  <c r="N121" i="78"/>
  <c r="N120" i="78"/>
  <c r="N119" i="78"/>
  <c r="C120" i="78"/>
  <c r="C121" i="78"/>
  <c r="C122" i="78"/>
  <c r="C123" i="78"/>
  <c r="C124" i="78"/>
  <c r="C125" i="78"/>
  <c r="C126" i="78"/>
  <c r="C127" i="78"/>
  <c r="C128" i="78"/>
  <c r="C129" i="78"/>
  <c r="C130" i="78"/>
  <c r="C131" i="78"/>
  <c r="C132" i="78"/>
  <c r="C133" i="78"/>
  <c r="C134" i="78"/>
  <c r="C135" i="78"/>
  <c r="C136" i="78"/>
  <c r="C137" i="78"/>
  <c r="C138" i="78"/>
  <c r="C139" i="78"/>
  <c r="C140" i="78"/>
  <c r="C141" i="78"/>
  <c r="C142" i="78"/>
  <c r="C143" i="78"/>
  <c r="C119" i="78"/>
  <c r="C117" i="78"/>
  <c r="F83" i="78"/>
  <c r="F84" i="78"/>
  <c r="F85" i="78"/>
  <c r="F86" i="78"/>
  <c r="F87" i="78"/>
  <c r="F88" i="78"/>
  <c r="F89" i="78"/>
  <c r="F90" i="78"/>
  <c r="F91" i="78"/>
  <c r="F92" i="78"/>
  <c r="F93" i="78"/>
  <c r="F94" i="78"/>
  <c r="F95" i="78"/>
  <c r="F96" i="78"/>
  <c r="F97" i="78"/>
  <c r="F98" i="78"/>
  <c r="F99" i="78"/>
  <c r="F100" i="78"/>
  <c r="F101" i="78"/>
  <c r="F102" i="78"/>
  <c r="F103" i="78"/>
  <c r="F104" i="78"/>
  <c r="F105" i="78"/>
  <c r="F106" i="78"/>
  <c r="F82" i="78"/>
  <c r="F80" i="78"/>
  <c r="C83" i="78"/>
  <c r="C84" i="78"/>
  <c r="C85" i="78"/>
  <c r="C86" i="78"/>
  <c r="C87" i="78"/>
  <c r="C88" i="78"/>
  <c r="C89" i="78"/>
  <c r="C90" i="78"/>
  <c r="C91" i="78"/>
  <c r="C92" i="78"/>
  <c r="C93" i="78"/>
  <c r="C94" i="78"/>
  <c r="C95" i="78"/>
  <c r="C96" i="78"/>
  <c r="C97" i="78"/>
  <c r="C98" i="78"/>
  <c r="C99" i="78"/>
  <c r="C100" i="78"/>
  <c r="C101" i="78"/>
  <c r="C102" i="78"/>
  <c r="C103" i="78"/>
  <c r="C104" i="78"/>
  <c r="C105" i="78"/>
  <c r="C106" i="78"/>
  <c r="C82" i="78"/>
  <c r="C80" i="78"/>
  <c r="C120" i="71" l="1"/>
  <c r="C121" i="71"/>
  <c r="C122" i="71"/>
  <c r="C123" i="71"/>
  <c r="C124" i="71"/>
  <c r="C125" i="71"/>
  <c r="C126" i="71"/>
  <c r="C127" i="71"/>
  <c r="C128" i="71"/>
  <c r="C129" i="71"/>
  <c r="C130" i="71"/>
  <c r="C131" i="71"/>
  <c r="C132" i="71"/>
  <c r="C133" i="71"/>
  <c r="C134" i="71"/>
  <c r="C135" i="71"/>
  <c r="C136" i="71"/>
  <c r="C137" i="71"/>
  <c r="C138" i="71"/>
  <c r="C139" i="71"/>
  <c r="C140" i="71"/>
  <c r="C141" i="71"/>
  <c r="C142" i="71"/>
  <c r="C143" i="71"/>
  <c r="C119" i="71"/>
  <c r="C117" i="71"/>
  <c r="C83" i="71"/>
  <c r="C84" i="71"/>
  <c r="C85" i="71"/>
  <c r="C86" i="71"/>
  <c r="C87" i="71"/>
  <c r="C88" i="71"/>
  <c r="C89" i="71"/>
  <c r="C90" i="71"/>
  <c r="C91" i="71"/>
  <c r="C92" i="71"/>
  <c r="C93" i="71"/>
  <c r="C94" i="71"/>
  <c r="C95" i="71"/>
  <c r="C96" i="71"/>
  <c r="C97" i="71"/>
  <c r="C98" i="71"/>
  <c r="C99" i="71"/>
  <c r="C100" i="71"/>
  <c r="C101" i="71"/>
  <c r="C102" i="71"/>
  <c r="C103" i="71"/>
  <c r="C104" i="71"/>
  <c r="C105" i="71"/>
  <c r="C106" i="71"/>
  <c r="C82" i="71"/>
  <c r="C80" i="71"/>
  <c r="I17" i="15"/>
  <c r="C4" i="13" l="1"/>
  <c r="G40" i="49" l="1"/>
  <c r="D40" i="49"/>
  <c r="F40" i="49" l="1"/>
  <c r="F9" i="52" l="1"/>
  <c r="K10" i="79" l="1"/>
  <c r="K11" i="79"/>
  <c r="K12" i="79"/>
  <c r="K13" i="79"/>
  <c r="K14" i="79"/>
  <c r="K15" i="79"/>
  <c r="K16" i="79"/>
  <c r="K17" i="79"/>
  <c r="K18" i="79"/>
  <c r="K19" i="79"/>
  <c r="K20" i="79"/>
  <c r="K21" i="79"/>
  <c r="K22" i="79"/>
  <c r="K23" i="79"/>
  <c r="K24" i="79"/>
  <c r="K25" i="79"/>
  <c r="K26" i="79"/>
  <c r="K27" i="79"/>
  <c r="K28" i="79"/>
  <c r="K29" i="79"/>
  <c r="X29" i="79" s="1"/>
  <c r="K30" i="79"/>
  <c r="K31" i="79"/>
  <c r="K32" i="79"/>
  <c r="K35" i="79" l="1"/>
  <c r="AE16" i="79"/>
  <c r="AF16" i="79"/>
  <c r="Z16" i="79"/>
  <c r="Y16" i="79"/>
  <c r="AG16" i="79"/>
  <c r="AA16" i="79"/>
  <c r="AB16" i="79"/>
  <c r="AC16" i="79"/>
  <c r="AD16" i="79"/>
  <c r="AF15" i="79"/>
  <c r="AB15" i="79"/>
  <c r="Y15" i="79"/>
  <c r="AG15" i="79"/>
  <c r="AC15" i="79"/>
  <c r="Z15" i="79"/>
  <c r="AA15" i="79"/>
  <c r="AD15" i="79"/>
  <c r="AE15" i="79"/>
  <c r="Y14" i="79"/>
  <c r="AG14" i="79"/>
  <c r="AB14" i="79"/>
  <c r="Z14" i="79"/>
  <c r="AC14" i="79"/>
  <c r="AA14" i="79"/>
  <c r="AE14" i="79"/>
  <c r="AF14" i="79"/>
  <c r="AD14" i="79"/>
  <c r="AE24" i="79"/>
  <c r="Z24" i="79"/>
  <c r="AA24" i="79"/>
  <c r="AB24" i="79"/>
  <c r="AF24" i="79"/>
  <c r="Y24" i="79"/>
  <c r="AG24" i="79"/>
  <c r="AC24" i="79"/>
  <c r="AD24" i="79"/>
  <c r="AF23" i="79"/>
  <c r="Y23" i="79"/>
  <c r="AG23" i="79"/>
  <c r="AB23" i="79"/>
  <c r="Z23" i="79"/>
  <c r="AA23" i="79"/>
  <c r="AC23" i="79"/>
  <c r="AD23" i="79"/>
  <c r="AE23" i="79"/>
  <c r="Z29" i="79"/>
  <c r="AC29" i="79"/>
  <c r="AA29" i="79"/>
  <c r="AD29" i="79"/>
  <c r="AB29" i="79"/>
  <c r="AF29" i="79"/>
  <c r="Y29" i="79"/>
  <c r="AG29" i="79"/>
  <c r="AE29" i="79"/>
  <c r="AA12" i="79"/>
  <c r="AB12" i="79"/>
  <c r="AD12" i="79"/>
  <c r="AC12" i="79"/>
  <c r="AE12" i="79"/>
  <c r="AF12" i="79"/>
  <c r="Y12" i="79"/>
  <c r="AG12" i="79"/>
  <c r="Z12" i="79"/>
  <c r="AB19" i="79"/>
  <c r="AF19" i="79"/>
  <c r="AC19" i="79"/>
  <c r="AE19" i="79"/>
  <c r="Y19" i="79"/>
  <c r="AD19" i="79"/>
  <c r="AG19" i="79"/>
  <c r="Z19" i="79"/>
  <c r="AA19" i="79"/>
  <c r="AB11" i="79"/>
  <c r="AC11" i="79"/>
  <c r="AF11" i="79"/>
  <c r="AG11" i="79"/>
  <c r="AD11" i="79"/>
  <c r="AE11" i="79"/>
  <c r="Z11" i="79"/>
  <c r="AA11" i="79"/>
  <c r="Y11" i="79"/>
  <c r="AE32" i="79"/>
  <c r="Z32" i="79"/>
  <c r="AF32" i="79"/>
  <c r="AA32" i="79"/>
  <c r="AB32" i="79"/>
  <c r="Y32" i="79"/>
  <c r="AG32" i="79"/>
  <c r="AC32" i="79"/>
  <c r="AD32" i="79"/>
  <c r="AF31" i="79"/>
  <c r="Y31" i="79"/>
  <c r="AG31" i="79"/>
  <c r="Z31" i="79"/>
  <c r="AA31" i="79"/>
  <c r="AB31" i="79"/>
  <c r="AC31" i="79"/>
  <c r="AD31" i="79"/>
  <c r="AE31" i="79"/>
  <c r="Y30" i="79"/>
  <c r="AG30" i="79"/>
  <c r="AC30" i="79"/>
  <c r="AD30" i="79"/>
  <c r="Z30" i="79"/>
  <c r="AB30" i="79"/>
  <c r="AA30" i="79"/>
  <c r="AE30" i="79"/>
  <c r="AF30" i="79"/>
  <c r="Z13" i="79"/>
  <c r="AD13" i="79"/>
  <c r="AE13" i="79"/>
  <c r="AA13" i="79"/>
  <c r="AB13" i="79"/>
  <c r="AC13" i="79"/>
  <c r="AF13" i="79"/>
  <c r="Y13" i="79"/>
  <c r="AG13" i="79"/>
  <c r="AA28" i="79"/>
  <c r="AE28" i="79"/>
  <c r="AB28" i="79"/>
  <c r="AF28" i="79"/>
  <c r="AC28" i="79"/>
  <c r="AD28" i="79"/>
  <c r="Y28" i="79"/>
  <c r="AG28" i="79"/>
  <c r="Z28" i="79"/>
  <c r="AB27" i="79"/>
  <c r="Y27" i="79"/>
  <c r="AC27" i="79"/>
  <c r="AE27" i="79"/>
  <c r="AD27" i="79"/>
  <c r="AF27" i="79"/>
  <c r="AG27" i="79"/>
  <c r="Z27" i="79"/>
  <c r="AA27" i="79"/>
  <c r="AC26" i="79"/>
  <c r="AF26" i="79"/>
  <c r="AG26" i="79"/>
  <c r="AD26" i="79"/>
  <c r="Y26" i="79"/>
  <c r="Z26" i="79"/>
  <c r="AE26" i="79"/>
  <c r="AA26" i="79"/>
  <c r="AB26" i="79"/>
  <c r="AC18" i="79"/>
  <c r="AF18" i="79"/>
  <c r="Y18" i="79"/>
  <c r="AD18" i="79"/>
  <c r="AE18" i="79"/>
  <c r="AG18" i="79"/>
  <c r="AA18" i="79"/>
  <c r="AB18" i="79"/>
  <c r="Z18" i="79"/>
  <c r="AC10" i="79"/>
  <c r="AF10" i="79"/>
  <c r="AG10" i="79"/>
  <c r="Z10" i="79"/>
  <c r="AD10" i="79"/>
  <c r="AE10" i="79"/>
  <c r="Y10" i="79"/>
  <c r="AA10" i="79"/>
  <c r="AB10" i="79"/>
  <c r="Y22" i="79"/>
  <c r="AG22" i="79"/>
  <c r="AC22" i="79"/>
  <c r="Z22" i="79"/>
  <c r="AB22" i="79"/>
  <c r="AD22" i="79"/>
  <c r="AA22" i="79"/>
  <c r="AE22" i="79"/>
  <c r="AF22" i="79"/>
  <c r="Z21" i="79"/>
  <c r="AC21" i="79"/>
  <c r="AA21" i="79"/>
  <c r="AB21" i="79"/>
  <c r="AD21" i="79"/>
  <c r="AF21" i="79"/>
  <c r="Y21" i="79"/>
  <c r="AG21" i="79"/>
  <c r="AE21" i="79"/>
  <c r="AA20" i="79"/>
  <c r="AF20" i="79"/>
  <c r="AB20" i="79"/>
  <c r="AE20" i="79"/>
  <c r="AC20" i="79"/>
  <c r="AD20" i="79"/>
  <c r="Y20" i="79"/>
  <c r="AG20" i="79"/>
  <c r="Z20" i="79"/>
  <c r="AD25" i="79"/>
  <c r="AE25" i="79"/>
  <c r="Y25" i="79"/>
  <c r="AF25" i="79"/>
  <c r="AG25" i="79"/>
  <c r="Z25" i="79"/>
  <c r="AB25" i="79"/>
  <c r="AC25" i="79"/>
  <c r="AA25" i="79"/>
  <c r="AD17" i="79"/>
  <c r="Y17" i="79"/>
  <c r="AA17" i="79"/>
  <c r="AE17" i="79"/>
  <c r="Z17" i="79"/>
  <c r="AF17" i="79"/>
  <c r="AG17" i="79"/>
  <c r="AB17" i="79"/>
  <c r="AC17" i="79"/>
  <c r="AD9" i="79"/>
  <c r="AE9" i="79"/>
  <c r="Z9" i="79"/>
  <c r="AF9" i="79"/>
  <c r="Y9" i="79"/>
  <c r="AG9" i="79"/>
  <c r="AA9" i="79"/>
  <c r="AB9" i="79"/>
  <c r="AC9" i="79"/>
  <c r="I9" i="71"/>
  <c r="I20" i="71"/>
  <c r="X35" i="79" l="1"/>
  <c r="V33" i="79"/>
  <c r="I46" i="71"/>
  <c r="I83" i="71"/>
  <c r="J9" i="71"/>
  <c r="Q38" i="31" s="1"/>
  <c r="I8" i="71"/>
  <c r="I94" i="71"/>
  <c r="I57" i="71"/>
  <c r="T9" i="78"/>
  <c r="T10" i="78"/>
  <c r="T11" i="78"/>
  <c r="T12" i="78"/>
  <c r="T13" i="78"/>
  <c r="T14" i="78"/>
  <c r="T15" i="78"/>
  <c r="T16" i="78"/>
  <c r="T17" i="78"/>
  <c r="T18" i="78"/>
  <c r="T19" i="78"/>
  <c r="T20" i="78"/>
  <c r="T21" i="78"/>
  <c r="T22" i="78"/>
  <c r="T23" i="78"/>
  <c r="T24" i="78"/>
  <c r="T25" i="78"/>
  <c r="T26" i="78"/>
  <c r="T27" i="78"/>
  <c r="T28" i="78"/>
  <c r="T29" i="78"/>
  <c r="T30" i="78"/>
  <c r="T31" i="78"/>
  <c r="T32" i="78"/>
  <c r="I9" i="78"/>
  <c r="I10" i="78"/>
  <c r="I11" i="78"/>
  <c r="I12" i="78"/>
  <c r="I13" i="78"/>
  <c r="I14" i="78"/>
  <c r="I15" i="78"/>
  <c r="I16" i="78"/>
  <c r="I17" i="78"/>
  <c r="I18" i="78"/>
  <c r="I19" i="78"/>
  <c r="I20" i="78"/>
  <c r="I21" i="78"/>
  <c r="I22" i="78"/>
  <c r="I23" i="78"/>
  <c r="I24" i="78"/>
  <c r="I25" i="78"/>
  <c r="I26" i="78"/>
  <c r="I27" i="78"/>
  <c r="I28" i="78"/>
  <c r="I29" i="78"/>
  <c r="I30" i="78"/>
  <c r="I31" i="78"/>
  <c r="I32" i="78"/>
  <c r="T35" i="78" l="1"/>
  <c r="I35" i="78"/>
  <c r="I72" i="78" s="1"/>
  <c r="E33" i="49"/>
  <c r="I45" i="71"/>
  <c r="I82" i="71"/>
  <c r="J8" i="71"/>
  <c r="I60" i="78"/>
  <c r="I97" i="78"/>
  <c r="T105" i="78"/>
  <c r="T68" i="78"/>
  <c r="T52" i="78"/>
  <c r="T89" i="78"/>
  <c r="I59" i="78"/>
  <c r="I96" i="78"/>
  <c r="T104" i="78"/>
  <c r="T67" i="78"/>
  <c r="T88" i="78"/>
  <c r="T51" i="78"/>
  <c r="I103" i="78"/>
  <c r="I66" i="78"/>
  <c r="T66" i="78"/>
  <c r="T103" i="78"/>
  <c r="T87" i="78"/>
  <c r="T50" i="78"/>
  <c r="I57" i="78"/>
  <c r="I94" i="78"/>
  <c r="T65" i="78"/>
  <c r="T102" i="78"/>
  <c r="T86" i="78"/>
  <c r="T49" i="78"/>
  <c r="I101" i="78"/>
  <c r="I64" i="78"/>
  <c r="T101" i="78"/>
  <c r="T64" i="78"/>
  <c r="T85" i="78"/>
  <c r="T48" i="78"/>
  <c r="I105" i="78"/>
  <c r="I68" i="78"/>
  <c r="I89" i="78"/>
  <c r="I52" i="78"/>
  <c r="T97" i="78"/>
  <c r="T60" i="78"/>
  <c r="I67" i="78"/>
  <c r="I104" i="78"/>
  <c r="I51" i="78"/>
  <c r="I88" i="78"/>
  <c r="T59" i="78"/>
  <c r="T96" i="78"/>
  <c r="I95" i="78"/>
  <c r="I58" i="78"/>
  <c r="I87" i="78"/>
  <c r="I50" i="78"/>
  <c r="T58" i="78"/>
  <c r="T95" i="78"/>
  <c r="I102" i="78"/>
  <c r="I65" i="78"/>
  <c r="I86" i="78"/>
  <c r="I49" i="78"/>
  <c r="T94" i="78"/>
  <c r="T57" i="78"/>
  <c r="I93" i="78"/>
  <c r="I56" i="78"/>
  <c r="I85" i="78"/>
  <c r="I48" i="78"/>
  <c r="T93" i="78"/>
  <c r="T56" i="78"/>
  <c r="I100" i="78"/>
  <c r="I63" i="78"/>
  <c r="I55" i="78"/>
  <c r="I92" i="78"/>
  <c r="I84" i="78"/>
  <c r="I47" i="78"/>
  <c r="T100" i="78"/>
  <c r="T63" i="78"/>
  <c r="T55" i="78"/>
  <c r="T92" i="78"/>
  <c r="T84" i="78"/>
  <c r="T47" i="78"/>
  <c r="I99" i="78"/>
  <c r="I62" i="78"/>
  <c r="I54" i="78"/>
  <c r="I91" i="78"/>
  <c r="I46" i="78"/>
  <c r="I83" i="78"/>
  <c r="T62" i="78"/>
  <c r="T99" i="78"/>
  <c r="T91" i="78"/>
  <c r="T54" i="78"/>
  <c r="T83" i="78"/>
  <c r="T46" i="78"/>
  <c r="I106" i="78"/>
  <c r="I69" i="78"/>
  <c r="I98" i="78"/>
  <c r="I61" i="78"/>
  <c r="I90" i="78"/>
  <c r="I53" i="78"/>
  <c r="T69" i="78"/>
  <c r="T106" i="78"/>
  <c r="T98" i="78"/>
  <c r="T61" i="78"/>
  <c r="T90" i="78"/>
  <c r="T53" i="78"/>
  <c r="S4" i="78"/>
  <c r="AD4" i="78" s="1"/>
  <c r="AO4" i="78" s="1"/>
  <c r="AZ4" i="78" s="1"/>
  <c r="BK4" i="78" s="1"/>
  <c r="BV4" i="78" s="1"/>
  <c r="CG4" i="78" s="1"/>
  <c r="CR4" i="78" s="1"/>
  <c r="G35" i="49"/>
  <c r="G64" i="49"/>
  <c r="G151" i="49" s="1"/>
  <c r="G238" i="49" s="1"/>
  <c r="G93" i="49"/>
  <c r="G180" i="49" s="1"/>
  <c r="G267" i="49" s="1"/>
  <c r="I70" i="71" l="1"/>
  <c r="G122" i="49"/>
  <c r="G209" i="49" s="1"/>
  <c r="V35" i="49"/>
  <c r="B33" i="49"/>
  <c r="J45" i="71"/>
  <c r="J82" i="71" s="1"/>
  <c r="Q37" i="31"/>
  <c r="A93" i="49"/>
  <c r="A64" i="49"/>
  <c r="A35" i="49"/>
  <c r="G118" i="49"/>
  <c r="G117" i="49"/>
  <c r="G116" i="49"/>
  <c r="G115" i="49"/>
  <c r="G114" i="49"/>
  <c r="G113" i="49"/>
  <c r="G112" i="49"/>
  <c r="G111" i="49"/>
  <c r="G110" i="49"/>
  <c r="G109" i="49"/>
  <c r="G108" i="49"/>
  <c r="G107" i="49"/>
  <c r="G106" i="49"/>
  <c r="G105" i="49"/>
  <c r="G104" i="49"/>
  <c r="G103" i="49"/>
  <c r="G102" i="49"/>
  <c r="G101" i="49"/>
  <c r="G100" i="49"/>
  <c r="G99" i="49"/>
  <c r="G98" i="49"/>
  <c r="G97" i="49"/>
  <c r="G96" i="49"/>
  <c r="G95" i="49"/>
  <c r="G94" i="49"/>
  <c r="G89" i="49"/>
  <c r="G88" i="49"/>
  <c r="G87" i="49"/>
  <c r="G86" i="49"/>
  <c r="G85" i="49"/>
  <c r="G84" i="49"/>
  <c r="G83" i="49"/>
  <c r="G82" i="49"/>
  <c r="G81" i="49"/>
  <c r="G80" i="49"/>
  <c r="G79" i="49"/>
  <c r="G78" i="49"/>
  <c r="G77" i="49"/>
  <c r="G76" i="49"/>
  <c r="G75" i="49"/>
  <c r="G74" i="49"/>
  <c r="G73" i="49"/>
  <c r="G72" i="49"/>
  <c r="G71" i="49"/>
  <c r="G70" i="49"/>
  <c r="G69" i="49"/>
  <c r="G68" i="49"/>
  <c r="G67" i="49"/>
  <c r="G66" i="49"/>
  <c r="G65" i="49"/>
  <c r="G62" i="49"/>
  <c r="G60" i="49"/>
  <c r="G59" i="49"/>
  <c r="G58" i="49"/>
  <c r="G57" i="49"/>
  <c r="G56" i="49"/>
  <c r="G55" i="49"/>
  <c r="G54" i="49"/>
  <c r="G53" i="49"/>
  <c r="G52" i="49"/>
  <c r="G51" i="49"/>
  <c r="G50" i="49"/>
  <c r="G49" i="49"/>
  <c r="G48" i="49"/>
  <c r="G47" i="49"/>
  <c r="G46" i="49"/>
  <c r="G45" i="49"/>
  <c r="G44" i="49"/>
  <c r="G43" i="49"/>
  <c r="G42" i="49"/>
  <c r="G41" i="49"/>
  <c r="G39" i="49"/>
  <c r="G38" i="49"/>
  <c r="G37" i="49"/>
  <c r="G36" i="49"/>
  <c r="A6" i="49"/>
  <c r="I10" i="71"/>
  <c r="I13" i="71"/>
  <c r="I14" i="71"/>
  <c r="I15" i="71"/>
  <c r="I18" i="71"/>
  <c r="I22" i="71"/>
  <c r="I23" i="71"/>
  <c r="I26" i="71"/>
  <c r="I29" i="71"/>
  <c r="I30" i="71"/>
  <c r="I31" i="71"/>
  <c r="J70" i="71" l="1"/>
  <c r="J107" i="71" s="1"/>
  <c r="Q62" i="31"/>
  <c r="I96" i="71"/>
  <c r="I59" i="71"/>
  <c r="I55" i="71"/>
  <c r="I92" i="71"/>
  <c r="I89" i="71"/>
  <c r="I52" i="71"/>
  <c r="I88" i="71"/>
  <c r="I51" i="71"/>
  <c r="I87" i="71"/>
  <c r="I50" i="71"/>
  <c r="I103" i="71"/>
  <c r="I66" i="71"/>
  <c r="I47" i="71"/>
  <c r="I84" i="71"/>
  <c r="I68" i="71"/>
  <c r="I105" i="71"/>
  <c r="I104" i="71"/>
  <c r="I67" i="71"/>
  <c r="I63" i="71"/>
  <c r="I100" i="71"/>
  <c r="I60" i="71"/>
  <c r="I97" i="71"/>
  <c r="G27" i="49"/>
  <c r="I28" i="71"/>
  <c r="G19" i="49"/>
  <c r="G11" i="49"/>
  <c r="I12" i="71"/>
  <c r="G26" i="49"/>
  <c r="I27" i="71"/>
  <c r="G24" i="49"/>
  <c r="I25" i="71"/>
  <c r="G16" i="49"/>
  <c r="I17" i="71"/>
  <c r="G8" i="49"/>
  <c r="G10" i="49"/>
  <c r="I11" i="71"/>
  <c r="I32" i="71"/>
  <c r="G23" i="49"/>
  <c r="I24" i="71"/>
  <c r="G15" i="49"/>
  <c r="I16" i="71"/>
  <c r="G20" i="49"/>
  <c r="I21" i="71"/>
  <c r="G18" i="49"/>
  <c r="I19" i="71"/>
  <c r="G28" i="49"/>
  <c r="G12" i="49"/>
  <c r="G14" i="49"/>
  <c r="G29" i="49"/>
  <c r="G25" i="49"/>
  <c r="G21" i="49"/>
  <c r="G17" i="49"/>
  <c r="G13" i="49"/>
  <c r="G9" i="49"/>
  <c r="G30" i="49"/>
  <c r="G22" i="49"/>
  <c r="I8" i="16" l="1" a="1"/>
  <c r="I10" i="16" s="1"/>
  <c r="I35" i="71"/>
  <c r="I61" i="71"/>
  <c r="I98" i="71"/>
  <c r="I65" i="71"/>
  <c r="I102" i="71"/>
  <c r="I99" i="71"/>
  <c r="I62" i="71"/>
  <c r="I93" i="71"/>
  <c r="I56" i="71"/>
  <c r="I69" i="71"/>
  <c r="I106" i="71"/>
  <c r="I101" i="71"/>
  <c r="I64" i="71"/>
  <c r="I53" i="71"/>
  <c r="I90" i="71"/>
  <c r="I91" i="71"/>
  <c r="I54" i="71"/>
  <c r="I95" i="71"/>
  <c r="I58" i="71"/>
  <c r="I85" i="71"/>
  <c r="I48" i="71"/>
  <c r="I86" i="71"/>
  <c r="I49" i="71"/>
  <c r="I14" i="16" l="1"/>
  <c r="I11" i="16"/>
  <c r="I29" i="16" s="1"/>
  <c r="I13" i="16"/>
  <c r="I31" i="16" s="1"/>
  <c r="I15" i="16"/>
  <c r="I8" i="16"/>
  <c r="J8" i="16" s="1"/>
  <c r="I12" i="16"/>
  <c r="I30" i="16" s="1"/>
  <c r="I9" i="16"/>
  <c r="I27" i="16" s="1"/>
  <c r="I16" i="16"/>
  <c r="I72" i="71"/>
  <c r="I109" i="71"/>
  <c r="I32" i="16"/>
  <c r="I28" i="16"/>
  <c r="A72" i="83"/>
  <c r="A52" i="83"/>
  <c r="A53" i="83"/>
  <c r="A54" i="83"/>
  <c r="A55" i="83"/>
  <c r="A56" i="83"/>
  <c r="A57" i="83"/>
  <c r="A58" i="83"/>
  <c r="A59" i="83"/>
  <c r="A60" i="83"/>
  <c r="A61" i="83"/>
  <c r="A62" i="83"/>
  <c r="A63" i="83"/>
  <c r="A64" i="83"/>
  <c r="A65" i="83"/>
  <c r="A66" i="83"/>
  <c r="A67" i="83"/>
  <c r="A68" i="83"/>
  <c r="A69" i="83"/>
  <c r="A70" i="83"/>
  <c r="A71" i="83"/>
  <c r="A7" i="83"/>
  <c r="A8" i="83"/>
  <c r="A9" i="83"/>
  <c r="A10" i="83"/>
  <c r="A11" i="83"/>
  <c r="A12" i="83"/>
  <c r="A13" i="83"/>
  <c r="A14" i="83"/>
  <c r="A15" i="83"/>
  <c r="A16" i="83"/>
  <c r="A17" i="83"/>
  <c r="A18" i="83"/>
  <c r="A19" i="83"/>
  <c r="A20" i="83"/>
  <c r="A21" i="83"/>
  <c r="A22" i="83"/>
  <c r="A23" i="83"/>
  <c r="A24" i="83"/>
  <c r="A25" i="83"/>
  <c r="A26" i="83"/>
  <c r="A27" i="83"/>
  <c r="A28" i="83"/>
  <c r="A29" i="83"/>
  <c r="A30" i="83"/>
  <c r="A31" i="83"/>
  <c r="A32" i="83"/>
  <c r="A33" i="83"/>
  <c r="A34" i="83"/>
  <c r="A35" i="83"/>
  <c r="A36" i="83"/>
  <c r="A37" i="83"/>
  <c r="A38" i="83"/>
  <c r="A39" i="83"/>
  <c r="A40" i="83"/>
  <c r="A41" i="83"/>
  <c r="A42" i="83"/>
  <c r="A43" i="83"/>
  <c r="A44" i="83"/>
  <c r="A45" i="83"/>
  <c r="A46" i="83"/>
  <c r="A47" i="83"/>
  <c r="A48" i="83"/>
  <c r="A49" i="83"/>
  <c r="A50" i="83"/>
  <c r="A51" i="83"/>
  <c r="A6" i="83"/>
  <c r="I26" i="16" l="1"/>
  <c r="J16" i="16"/>
  <c r="I34" i="16"/>
  <c r="I33" i="16"/>
  <c r="AM4" i="21"/>
  <c r="O2" i="21" s="1"/>
  <c r="A197" i="21" l="1"/>
  <c r="A167" i="21"/>
  <c r="A137" i="21"/>
  <c r="A107" i="21"/>
  <c r="A77" i="21"/>
  <c r="A47" i="21"/>
  <c r="A1" i="21"/>
  <c r="J34" i="16"/>
  <c r="Q7" i="31"/>
  <c r="F35" i="11"/>
  <c r="F39" i="11"/>
  <c r="F36" i="11"/>
  <c r="F37" i="11"/>
  <c r="F38" i="11"/>
  <c r="F34" i="11"/>
  <c r="S5" i="11" s="1"/>
  <c r="R5" i="11"/>
  <c r="F33" i="11"/>
  <c r="S4" i="11" s="1"/>
  <c r="R6" i="11"/>
  <c r="R8" i="11"/>
  <c r="R9" i="11"/>
  <c r="F44" i="11"/>
  <c r="R10" i="11"/>
  <c r="B33" i="11"/>
  <c r="R4" i="11"/>
  <c r="N260" i="21" s="1"/>
  <c r="B39" i="11"/>
  <c r="B34" i="11"/>
  <c r="B35" i="11"/>
  <c r="B36" i="11"/>
  <c r="B38" i="11"/>
  <c r="B37" i="11"/>
  <c r="E80" i="12"/>
  <c r="E83" i="12"/>
  <c r="E82" i="12"/>
  <c r="E79" i="12"/>
  <c r="E84" i="12"/>
  <c r="E81" i="12"/>
  <c r="D80" i="12"/>
  <c r="D82" i="12"/>
  <c r="D79" i="12"/>
  <c r="D84" i="12"/>
  <c r="D81" i="12"/>
  <c r="D83" i="12"/>
  <c r="C82" i="12"/>
  <c r="C80" i="12"/>
  <c r="C79" i="12"/>
  <c r="C84" i="12"/>
  <c r="C81" i="12"/>
  <c r="C83" i="12"/>
  <c r="B83" i="12"/>
  <c r="B82" i="12"/>
  <c r="B79" i="12"/>
  <c r="B84" i="12"/>
  <c r="B63" i="12"/>
  <c r="B81" i="12"/>
  <c r="B80" i="12"/>
  <c r="B86" i="12"/>
  <c r="C44" i="11"/>
  <c r="C33" i="11"/>
  <c r="C89" i="12"/>
  <c r="C61" i="12"/>
  <c r="C97" i="12"/>
  <c r="C71" i="12"/>
  <c r="C63" i="12"/>
  <c r="C91" i="12"/>
  <c r="C67" i="12" l="1"/>
  <c r="C78" i="12"/>
  <c r="C96" i="12"/>
  <c r="C100" i="12"/>
  <c r="C75" i="12"/>
  <c r="C92" i="12"/>
  <c r="C72" i="12"/>
  <c r="C95" i="12"/>
  <c r="C103" i="12"/>
  <c r="C99" i="12"/>
  <c r="C68" i="12"/>
  <c r="C104" i="12"/>
  <c r="C69" i="12"/>
  <c r="C66" i="12"/>
  <c r="C101" i="12"/>
  <c r="C105" i="12"/>
  <c r="C65" i="12"/>
  <c r="C76" i="12"/>
  <c r="C93" i="12"/>
  <c r="C94" i="12"/>
  <c r="C102" i="12"/>
  <c r="C98" i="12"/>
  <c r="C77" i="12"/>
  <c r="C64" i="12"/>
  <c r="C90" i="12"/>
  <c r="C70" i="12"/>
  <c r="C46" i="11" l="1"/>
  <c r="C35" i="11"/>
  <c r="C45" i="11"/>
  <c r="C34" i="11"/>
  <c r="C48" i="11"/>
  <c r="C37" i="11"/>
  <c r="C39" i="11"/>
  <c r="C49" i="11"/>
  <c r="C38" i="11"/>
  <c r="C47" i="11"/>
  <c r="C36" i="11"/>
  <c r="C50" i="11"/>
  <c r="A94" i="60" l="1"/>
  <c r="A88" i="60"/>
  <c r="A89" i="60"/>
  <c r="A90" i="60"/>
  <c r="A91" i="60"/>
  <c r="A92" i="60"/>
  <c r="A87" i="60"/>
  <c r="A77" i="60"/>
  <c r="A61" i="60"/>
  <c r="A62" i="60"/>
  <c r="A63" i="60"/>
  <c r="A64" i="60"/>
  <c r="A65" i="60"/>
  <c r="A66" i="60"/>
  <c r="A67" i="60"/>
  <c r="A68" i="60"/>
  <c r="A69" i="60"/>
  <c r="A70" i="60"/>
  <c r="A71" i="60"/>
  <c r="A72" i="60"/>
  <c r="A73" i="60"/>
  <c r="A74" i="60"/>
  <c r="A75" i="60"/>
  <c r="A60" i="60"/>
  <c r="A50" i="60"/>
  <c r="A9" i="60"/>
  <c r="A10" i="60"/>
  <c r="A11" i="60"/>
  <c r="A12" i="60"/>
  <c r="A13" i="60"/>
  <c r="A14" i="60"/>
  <c r="A15" i="60"/>
  <c r="A16" i="60"/>
  <c r="A17" i="60"/>
  <c r="A18" i="60"/>
  <c r="A19" i="60"/>
  <c r="A20" i="60"/>
  <c r="A21" i="60"/>
  <c r="A22" i="60"/>
  <c r="A23" i="60"/>
  <c r="A24" i="60"/>
  <c r="A25" i="60"/>
  <c r="A26" i="60"/>
  <c r="A27" i="60"/>
  <c r="A28" i="60"/>
  <c r="A29" i="60"/>
  <c r="A30" i="60"/>
  <c r="A31" i="60"/>
  <c r="A32" i="60"/>
  <c r="A33" i="60"/>
  <c r="A34" i="60"/>
  <c r="A35" i="60"/>
  <c r="A36" i="60"/>
  <c r="A37" i="60"/>
  <c r="A38" i="60"/>
  <c r="A39" i="60"/>
  <c r="A40" i="60"/>
  <c r="A41" i="60"/>
  <c r="A42" i="60"/>
  <c r="A43" i="60"/>
  <c r="A44" i="60"/>
  <c r="A45" i="60"/>
  <c r="A46" i="60"/>
  <c r="A47" i="60"/>
  <c r="A48" i="60"/>
  <c r="A8" i="60"/>
  <c r="A91" i="52" l="1"/>
  <c r="A73" i="52"/>
  <c r="A61" i="52"/>
  <c r="A49" i="52"/>
  <c r="A31" i="52"/>
  <c r="A19" i="52"/>
  <c r="A7" i="52"/>
  <c r="A14" i="11" l="1"/>
  <c r="A8" i="11"/>
  <c r="A9" i="11"/>
  <c r="A10" i="11"/>
  <c r="A11" i="11"/>
  <c r="A12" i="11"/>
  <c r="A7" i="11"/>
  <c r="AQ49" i="93" l="1"/>
  <c r="Y49" i="93"/>
  <c r="A49" i="93"/>
  <c r="AQ1" i="93"/>
  <c r="Y1" i="93"/>
  <c r="A1" i="93"/>
  <c r="F3" i="83" l="1"/>
  <c r="BH83" i="93" l="1"/>
  <c r="BG83" i="93"/>
  <c r="BF83" i="93"/>
  <c r="BE83" i="93"/>
  <c r="BD83" i="93"/>
  <c r="BB83" i="93"/>
  <c r="BA83" i="93"/>
  <c r="AZ83" i="93"/>
  <c r="AY83" i="93"/>
  <c r="AX83" i="93"/>
  <c r="AV83" i="93"/>
  <c r="AU83" i="93"/>
  <c r="AT83" i="93"/>
  <c r="AS83" i="93"/>
  <c r="AR83" i="93"/>
  <c r="AP83" i="93"/>
  <c r="AO83" i="93"/>
  <c r="AN83" i="93"/>
  <c r="AM83" i="93"/>
  <c r="AL83" i="93"/>
  <c r="AJ83" i="93"/>
  <c r="AI83" i="93"/>
  <c r="AH83" i="93"/>
  <c r="AG83" i="93"/>
  <c r="AF83" i="93"/>
  <c r="AD83" i="93"/>
  <c r="AC83" i="93"/>
  <c r="AB83" i="93"/>
  <c r="AA83" i="93"/>
  <c r="Z83" i="93"/>
  <c r="X83" i="93"/>
  <c r="W83" i="93"/>
  <c r="V83" i="93"/>
  <c r="U83" i="93"/>
  <c r="T83" i="93"/>
  <c r="R83" i="93"/>
  <c r="Q83" i="93"/>
  <c r="P83" i="93"/>
  <c r="O83" i="93"/>
  <c r="N83" i="93"/>
  <c r="L83" i="93"/>
  <c r="K83" i="93"/>
  <c r="J83" i="93"/>
  <c r="I83" i="93"/>
  <c r="H83" i="93"/>
  <c r="F83" i="93"/>
  <c r="E83" i="93"/>
  <c r="D83" i="93"/>
  <c r="C83" i="93"/>
  <c r="B83" i="93"/>
  <c r="BH69" i="93"/>
  <c r="BG69" i="93"/>
  <c r="BF69" i="93"/>
  <c r="BE69" i="93"/>
  <c r="BD69" i="93"/>
  <c r="BB69" i="93"/>
  <c r="BA69" i="93"/>
  <c r="AZ69" i="93"/>
  <c r="AY69" i="93"/>
  <c r="AX69" i="93"/>
  <c r="AV69" i="93"/>
  <c r="AU69" i="93"/>
  <c r="AT69" i="93"/>
  <c r="AS69" i="93"/>
  <c r="AR69" i="93"/>
  <c r="AP69" i="93"/>
  <c r="AO69" i="93"/>
  <c r="AN69" i="93"/>
  <c r="AM69" i="93"/>
  <c r="AL69" i="93"/>
  <c r="AJ69" i="93"/>
  <c r="AI69" i="93"/>
  <c r="AH69" i="93"/>
  <c r="AG69" i="93"/>
  <c r="AF69" i="93"/>
  <c r="AD69" i="93"/>
  <c r="AC69" i="93"/>
  <c r="AB69" i="93"/>
  <c r="AA69" i="93"/>
  <c r="Z69" i="93"/>
  <c r="X69" i="93"/>
  <c r="W69" i="93"/>
  <c r="V69" i="93"/>
  <c r="U69" i="93"/>
  <c r="T69" i="93"/>
  <c r="R69" i="93"/>
  <c r="Q69" i="93"/>
  <c r="P69" i="93"/>
  <c r="O69" i="93"/>
  <c r="N69" i="93"/>
  <c r="L69" i="93"/>
  <c r="K69" i="93"/>
  <c r="J69" i="93"/>
  <c r="I69" i="93"/>
  <c r="H69" i="93"/>
  <c r="F69" i="93"/>
  <c r="E69" i="93"/>
  <c r="D69" i="93"/>
  <c r="C69" i="93"/>
  <c r="B69" i="93"/>
  <c r="BH66" i="93"/>
  <c r="BG66" i="93"/>
  <c r="BF66" i="93"/>
  <c r="BE66" i="93"/>
  <c r="BD66" i="93"/>
  <c r="BB66" i="93"/>
  <c r="BA66" i="93"/>
  <c r="AZ66" i="93"/>
  <c r="AY66" i="93"/>
  <c r="AX66" i="93"/>
  <c r="AV66" i="93"/>
  <c r="AU66" i="93"/>
  <c r="AT66" i="93"/>
  <c r="AS66" i="93"/>
  <c r="AR66" i="93"/>
  <c r="AP66" i="93"/>
  <c r="AO66" i="93"/>
  <c r="AN66" i="93"/>
  <c r="AM66" i="93"/>
  <c r="AL66" i="93"/>
  <c r="AJ66" i="93"/>
  <c r="AI66" i="93"/>
  <c r="AH66" i="93"/>
  <c r="AG66" i="93"/>
  <c r="AF66" i="93"/>
  <c r="AD66" i="93"/>
  <c r="AC66" i="93"/>
  <c r="AB66" i="93"/>
  <c r="AA66" i="93"/>
  <c r="Z66" i="93"/>
  <c r="X66" i="93"/>
  <c r="W66" i="93"/>
  <c r="V66" i="93"/>
  <c r="U66" i="93"/>
  <c r="T66" i="93"/>
  <c r="R66" i="93"/>
  <c r="Q66" i="93"/>
  <c r="P66" i="93"/>
  <c r="O66" i="93"/>
  <c r="N66" i="93"/>
  <c r="L66" i="93"/>
  <c r="K66" i="93"/>
  <c r="J66" i="93"/>
  <c r="I66" i="93"/>
  <c r="H66" i="93"/>
  <c r="F66" i="93"/>
  <c r="E66" i="93"/>
  <c r="D66" i="93"/>
  <c r="C66" i="93"/>
  <c r="B66" i="93"/>
  <c r="A66" i="93"/>
  <c r="BH65" i="93"/>
  <c r="BG65" i="93"/>
  <c r="BF65" i="93"/>
  <c r="BE65" i="93"/>
  <c r="BD65" i="93"/>
  <c r="BB65" i="93"/>
  <c r="BA65" i="93"/>
  <c r="AZ65" i="93"/>
  <c r="AY65" i="93"/>
  <c r="AX65" i="93"/>
  <c r="AV65" i="93"/>
  <c r="AU65" i="93"/>
  <c r="AT65" i="93"/>
  <c r="AS65" i="93"/>
  <c r="AR65" i="93"/>
  <c r="AP65" i="93"/>
  <c r="AO65" i="93"/>
  <c r="AN65" i="93"/>
  <c r="AM65" i="93"/>
  <c r="AL65" i="93"/>
  <c r="AJ65" i="93"/>
  <c r="AI65" i="93"/>
  <c r="AH65" i="93"/>
  <c r="AG65" i="93"/>
  <c r="AF65" i="93"/>
  <c r="AD65" i="93"/>
  <c r="AC65" i="93"/>
  <c r="AB65" i="93"/>
  <c r="AA65" i="93"/>
  <c r="Z65" i="93"/>
  <c r="X65" i="93"/>
  <c r="W65" i="93"/>
  <c r="V65" i="93"/>
  <c r="U65" i="93"/>
  <c r="T65" i="93"/>
  <c r="R65" i="93"/>
  <c r="Q65" i="93"/>
  <c r="P65" i="93"/>
  <c r="O65" i="93"/>
  <c r="N65" i="93"/>
  <c r="L65" i="93"/>
  <c r="K65" i="93"/>
  <c r="J65" i="93"/>
  <c r="I65" i="93"/>
  <c r="H65" i="93"/>
  <c r="F65" i="93"/>
  <c r="E65" i="93"/>
  <c r="D65" i="93"/>
  <c r="C65" i="93"/>
  <c r="B65" i="93"/>
  <c r="BH64" i="93"/>
  <c r="BG64" i="93"/>
  <c r="BF64" i="93"/>
  <c r="BE64" i="93"/>
  <c r="BD64" i="93"/>
  <c r="BB64" i="93"/>
  <c r="BA64" i="93"/>
  <c r="AZ64" i="93"/>
  <c r="AY64" i="93"/>
  <c r="AX64" i="93"/>
  <c r="AV64" i="93"/>
  <c r="AU64" i="93"/>
  <c r="AT64" i="93"/>
  <c r="AS64" i="93"/>
  <c r="AR64" i="93"/>
  <c r="AP64" i="93"/>
  <c r="AO64" i="93"/>
  <c r="AN64" i="93"/>
  <c r="AM64" i="93"/>
  <c r="AL64" i="93"/>
  <c r="AJ64" i="93"/>
  <c r="AI64" i="93"/>
  <c r="AH64" i="93"/>
  <c r="AG64" i="93"/>
  <c r="AF64" i="93"/>
  <c r="AD64" i="93"/>
  <c r="AC64" i="93"/>
  <c r="AB64" i="93"/>
  <c r="AA64" i="93"/>
  <c r="Z64" i="93"/>
  <c r="X64" i="93"/>
  <c r="W64" i="93"/>
  <c r="V64" i="93"/>
  <c r="U64" i="93"/>
  <c r="T64" i="93"/>
  <c r="R64" i="93"/>
  <c r="Q64" i="93"/>
  <c r="P64" i="93"/>
  <c r="O64" i="93"/>
  <c r="N64" i="93"/>
  <c r="L64" i="93"/>
  <c r="K64" i="93"/>
  <c r="J64" i="93"/>
  <c r="I64" i="93"/>
  <c r="H64" i="93"/>
  <c r="F64" i="93"/>
  <c r="E64" i="93"/>
  <c r="D64" i="93"/>
  <c r="C64" i="93"/>
  <c r="B64" i="93"/>
  <c r="BH63" i="93"/>
  <c r="BG63" i="93"/>
  <c r="BF63" i="93"/>
  <c r="BE63" i="93"/>
  <c r="BD63" i="93"/>
  <c r="BB63" i="93"/>
  <c r="BA63" i="93"/>
  <c r="AZ63" i="93"/>
  <c r="AY63" i="93"/>
  <c r="AX63" i="93"/>
  <c r="AV63" i="93"/>
  <c r="AU63" i="93"/>
  <c r="AT63" i="93"/>
  <c r="AS63" i="93"/>
  <c r="AR63" i="93"/>
  <c r="AP63" i="93"/>
  <c r="AO63" i="93"/>
  <c r="AN63" i="93"/>
  <c r="AM63" i="93"/>
  <c r="AL63" i="93"/>
  <c r="AJ63" i="93"/>
  <c r="AI63" i="93"/>
  <c r="AH63" i="93"/>
  <c r="AG63" i="93"/>
  <c r="AF63" i="93"/>
  <c r="AD63" i="93"/>
  <c r="AC63" i="93"/>
  <c r="AB63" i="93"/>
  <c r="AA63" i="93"/>
  <c r="Z63" i="93"/>
  <c r="X63" i="93"/>
  <c r="W63" i="93"/>
  <c r="V63" i="93"/>
  <c r="U63" i="93"/>
  <c r="T63" i="93"/>
  <c r="R63" i="93"/>
  <c r="Q63" i="93"/>
  <c r="P63" i="93"/>
  <c r="O63" i="93"/>
  <c r="N63" i="93"/>
  <c r="L63" i="93"/>
  <c r="K63" i="93"/>
  <c r="J63" i="93"/>
  <c r="I63" i="93"/>
  <c r="H63" i="93"/>
  <c r="F63" i="93"/>
  <c r="E63" i="93"/>
  <c r="D63" i="93"/>
  <c r="C63" i="93"/>
  <c r="B63" i="93"/>
  <c r="A63" i="93"/>
  <c r="BH62" i="93"/>
  <c r="BG62" i="93"/>
  <c r="BF62" i="93"/>
  <c r="BE62" i="93"/>
  <c r="BD62" i="93"/>
  <c r="BB62" i="93"/>
  <c r="BA62" i="93"/>
  <c r="AZ62" i="93"/>
  <c r="AY62" i="93"/>
  <c r="AX62" i="93"/>
  <c r="AV62" i="93"/>
  <c r="AU62" i="93"/>
  <c r="AT62" i="93"/>
  <c r="AS62" i="93"/>
  <c r="AR62" i="93"/>
  <c r="AP62" i="93"/>
  <c r="AO62" i="93"/>
  <c r="AN62" i="93"/>
  <c r="AM62" i="93"/>
  <c r="AL62" i="93"/>
  <c r="AJ62" i="93"/>
  <c r="AI62" i="93"/>
  <c r="AH62" i="93"/>
  <c r="AG62" i="93"/>
  <c r="AF62" i="93"/>
  <c r="AD62" i="93"/>
  <c r="AC62" i="93"/>
  <c r="AB62" i="93"/>
  <c r="AA62" i="93"/>
  <c r="Z62" i="93"/>
  <c r="X62" i="93"/>
  <c r="W62" i="93"/>
  <c r="V62" i="93"/>
  <c r="U62" i="93"/>
  <c r="T62" i="93"/>
  <c r="R62" i="93"/>
  <c r="Q62" i="93"/>
  <c r="P62" i="93"/>
  <c r="O62" i="93"/>
  <c r="N62" i="93"/>
  <c r="L62" i="93"/>
  <c r="K62" i="93"/>
  <c r="J62" i="93"/>
  <c r="I62" i="93"/>
  <c r="H62" i="93"/>
  <c r="F62" i="93"/>
  <c r="E62" i="93"/>
  <c r="D62" i="93"/>
  <c r="C62" i="93"/>
  <c r="B62" i="93"/>
  <c r="BH61" i="93"/>
  <c r="BG61" i="93"/>
  <c r="BF61" i="93"/>
  <c r="BE61" i="93"/>
  <c r="BD61" i="93"/>
  <c r="BB61" i="93"/>
  <c r="BA61" i="93"/>
  <c r="AZ61" i="93"/>
  <c r="AY61" i="93"/>
  <c r="AX61" i="93"/>
  <c r="AV61" i="93"/>
  <c r="AU61" i="93"/>
  <c r="AT61" i="93"/>
  <c r="AS61" i="93"/>
  <c r="AR61" i="93"/>
  <c r="AP61" i="93"/>
  <c r="AO61" i="93"/>
  <c r="AN61" i="93"/>
  <c r="AM61" i="93"/>
  <c r="AL61" i="93"/>
  <c r="AJ61" i="93"/>
  <c r="AI61" i="93"/>
  <c r="AH61" i="93"/>
  <c r="AG61" i="93"/>
  <c r="AF61" i="93"/>
  <c r="AD61" i="93"/>
  <c r="AC61" i="93"/>
  <c r="AB61" i="93"/>
  <c r="AA61" i="93"/>
  <c r="Z61" i="93"/>
  <c r="X61" i="93"/>
  <c r="W61" i="93"/>
  <c r="V61" i="93"/>
  <c r="U61" i="93"/>
  <c r="T61" i="93"/>
  <c r="R61" i="93"/>
  <c r="Q61" i="93"/>
  <c r="P61" i="93"/>
  <c r="O61" i="93"/>
  <c r="N61" i="93"/>
  <c r="L61" i="93"/>
  <c r="K61" i="93"/>
  <c r="J61" i="93"/>
  <c r="I61" i="93"/>
  <c r="H61" i="93"/>
  <c r="F61" i="93"/>
  <c r="E61" i="93"/>
  <c r="D61" i="93"/>
  <c r="C61" i="93"/>
  <c r="B61" i="93"/>
  <c r="BH60" i="93"/>
  <c r="BG60" i="93"/>
  <c r="BF60" i="93"/>
  <c r="BE60" i="93"/>
  <c r="BD60" i="93"/>
  <c r="BB60" i="93"/>
  <c r="BA60" i="93"/>
  <c r="AZ60" i="93"/>
  <c r="AY60" i="93"/>
  <c r="AX60" i="93"/>
  <c r="AV60" i="93"/>
  <c r="AU60" i="93"/>
  <c r="AT60" i="93"/>
  <c r="AS60" i="93"/>
  <c r="AR60" i="93"/>
  <c r="AP60" i="93"/>
  <c r="AO60" i="93"/>
  <c r="AN60" i="93"/>
  <c r="AM60" i="93"/>
  <c r="AL60" i="93"/>
  <c r="AJ60" i="93"/>
  <c r="AI60" i="93"/>
  <c r="AH60" i="93"/>
  <c r="AG60" i="93"/>
  <c r="AF60" i="93"/>
  <c r="AD60" i="93"/>
  <c r="AC60" i="93"/>
  <c r="AB60" i="93"/>
  <c r="AA60" i="93"/>
  <c r="Z60" i="93"/>
  <c r="X60" i="93"/>
  <c r="W60" i="93"/>
  <c r="V60" i="93"/>
  <c r="U60" i="93"/>
  <c r="T60" i="93"/>
  <c r="R60" i="93"/>
  <c r="Q60" i="93"/>
  <c r="P60" i="93"/>
  <c r="O60" i="93"/>
  <c r="N60" i="93"/>
  <c r="L60" i="93"/>
  <c r="K60" i="93"/>
  <c r="J60" i="93"/>
  <c r="I60" i="93"/>
  <c r="H60" i="93"/>
  <c r="F60" i="93"/>
  <c r="E60" i="93"/>
  <c r="D60" i="93"/>
  <c r="C60" i="93"/>
  <c r="B60" i="93"/>
  <c r="A60" i="93"/>
  <c r="BH59" i="93"/>
  <c r="BG59" i="93"/>
  <c r="BF59" i="93"/>
  <c r="BE59" i="93"/>
  <c r="BD59" i="93"/>
  <c r="BB59" i="93"/>
  <c r="BA59" i="93"/>
  <c r="AZ59" i="93"/>
  <c r="AY59" i="93"/>
  <c r="AX59" i="93"/>
  <c r="AV59" i="93"/>
  <c r="AU59" i="93"/>
  <c r="AT59" i="93"/>
  <c r="AS59" i="93"/>
  <c r="AR59" i="93"/>
  <c r="AP59" i="93"/>
  <c r="AO59" i="93"/>
  <c r="AN59" i="93"/>
  <c r="AM59" i="93"/>
  <c r="AL59" i="93"/>
  <c r="AJ59" i="93"/>
  <c r="AI59" i="93"/>
  <c r="AH59" i="93"/>
  <c r="AG59" i="93"/>
  <c r="AF59" i="93"/>
  <c r="AD59" i="93"/>
  <c r="AC59" i="93"/>
  <c r="AB59" i="93"/>
  <c r="AA59" i="93"/>
  <c r="Z59" i="93"/>
  <c r="X59" i="93"/>
  <c r="W59" i="93"/>
  <c r="V59" i="93"/>
  <c r="U59" i="93"/>
  <c r="T59" i="93"/>
  <c r="R59" i="93"/>
  <c r="Q59" i="93"/>
  <c r="P59" i="93"/>
  <c r="O59" i="93"/>
  <c r="N59" i="93"/>
  <c r="L59" i="93"/>
  <c r="K59" i="93"/>
  <c r="J59" i="93"/>
  <c r="I59" i="93"/>
  <c r="H59" i="93"/>
  <c r="F59" i="93"/>
  <c r="E59" i="93"/>
  <c r="D59" i="93"/>
  <c r="C59" i="93"/>
  <c r="B59" i="93"/>
  <c r="BH58" i="93"/>
  <c r="BG58" i="93"/>
  <c r="BF58" i="93"/>
  <c r="BE58" i="93"/>
  <c r="BD58" i="93"/>
  <c r="BB58" i="93"/>
  <c r="BA58" i="93"/>
  <c r="AZ58" i="93"/>
  <c r="AY58" i="93"/>
  <c r="AX58" i="93"/>
  <c r="AV58" i="93"/>
  <c r="AU58" i="93"/>
  <c r="AT58" i="93"/>
  <c r="AS58" i="93"/>
  <c r="AR58" i="93"/>
  <c r="AP58" i="93"/>
  <c r="AO58" i="93"/>
  <c r="AN58" i="93"/>
  <c r="AM58" i="93"/>
  <c r="AL58" i="93"/>
  <c r="AJ58" i="93"/>
  <c r="AI58" i="93"/>
  <c r="AH58" i="93"/>
  <c r="AG58" i="93"/>
  <c r="AF58" i="93"/>
  <c r="AD58" i="93"/>
  <c r="AC58" i="93"/>
  <c r="AB58" i="93"/>
  <c r="AA58" i="93"/>
  <c r="Z58" i="93"/>
  <c r="X58" i="93"/>
  <c r="W58" i="93"/>
  <c r="V58" i="93"/>
  <c r="U58" i="93"/>
  <c r="T58" i="93"/>
  <c r="R58" i="93"/>
  <c r="Q58" i="93"/>
  <c r="P58" i="93"/>
  <c r="O58" i="93"/>
  <c r="N58" i="93"/>
  <c r="L58" i="93"/>
  <c r="K58" i="93"/>
  <c r="J58" i="93"/>
  <c r="I58" i="93"/>
  <c r="H58" i="93"/>
  <c r="F58" i="93"/>
  <c r="E58" i="93"/>
  <c r="D58" i="93"/>
  <c r="C58" i="93"/>
  <c r="B58" i="93"/>
  <c r="A58" i="93"/>
  <c r="BH57" i="93"/>
  <c r="BG57" i="93"/>
  <c r="BF57" i="93"/>
  <c r="BE57" i="93"/>
  <c r="BD57" i="93"/>
  <c r="BB57" i="93"/>
  <c r="BA57" i="93"/>
  <c r="AZ57" i="93"/>
  <c r="AY57" i="93"/>
  <c r="AX57" i="93"/>
  <c r="AV57" i="93"/>
  <c r="AU57" i="93"/>
  <c r="AT57" i="93"/>
  <c r="AS57" i="93"/>
  <c r="AR57" i="93"/>
  <c r="AP57" i="93"/>
  <c r="AO57" i="93"/>
  <c r="AN57" i="93"/>
  <c r="AM57" i="93"/>
  <c r="AL57" i="93"/>
  <c r="AJ57" i="93"/>
  <c r="AI57" i="93"/>
  <c r="AH57" i="93"/>
  <c r="AG57" i="93"/>
  <c r="AF57" i="93"/>
  <c r="AD57" i="93"/>
  <c r="AC57" i="93"/>
  <c r="AB57" i="93"/>
  <c r="AA57" i="93"/>
  <c r="Z57" i="93"/>
  <c r="X57" i="93"/>
  <c r="W57" i="93"/>
  <c r="V57" i="93"/>
  <c r="U57" i="93"/>
  <c r="T57" i="93"/>
  <c r="R57" i="93"/>
  <c r="Q57" i="93"/>
  <c r="P57" i="93"/>
  <c r="O57" i="93"/>
  <c r="N57" i="93"/>
  <c r="L57" i="93"/>
  <c r="K57" i="93"/>
  <c r="J57" i="93"/>
  <c r="I57" i="93"/>
  <c r="H57" i="93"/>
  <c r="F57" i="93"/>
  <c r="E57" i="93"/>
  <c r="D57" i="93"/>
  <c r="C57" i="93"/>
  <c r="B57" i="93"/>
  <c r="A57" i="93"/>
  <c r="BH56" i="93"/>
  <c r="BG56" i="93"/>
  <c r="BF56" i="93"/>
  <c r="BE56" i="93"/>
  <c r="BD56" i="93"/>
  <c r="BB56" i="93"/>
  <c r="BA56" i="93"/>
  <c r="AZ56" i="93"/>
  <c r="AY56" i="93"/>
  <c r="AX56" i="93"/>
  <c r="AV56" i="93"/>
  <c r="AU56" i="93"/>
  <c r="AT56" i="93"/>
  <c r="AS56" i="93"/>
  <c r="AR56" i="93"/>
  <c r="AP56" i="93"/>
  <c r="AO56" i="93"/>
  <c r="AN56" i="93"/>
  <c r="AM56" i="93"/>
  <c r="AL56" i="93"/>
  <c r="AJ56" i="93"/>
  <c r="AI56" i="93"/>
  <c r="AH56" i="93"/>
  <c r="AG56" i="93"/>
  <c r="AF56" i="93"/>
  <c r="AD56" i="93"/>
  <c r="AC56" i="93"/>
  <c r="AB56" i="93"/>
  <c r="AA56" i="93"/>
  <c r="Z56" i="93"/>
  <c r="X56" i="93"/>
  <c r="W56" i="93"/>
  <c r="V56" i="93"/>
  <c r="U56" i="93"/>
  <c r="T56" i="93"/>
  <c r="R56" i="93"/>
  <c r="Q56" i="93"/>
  <c r="P56" i="93"/>
  <c r="O56" i="93"/>
  <c r="N56" i="93"/>
  <c r="L56" i="93"/>
  <c r="K56" i="93"/>
  <c r="J56" i="93"/>
  <c r="I56" i="93"/>
  <c r="H56" i="93"/>
  <c r="F56" i="93"/>
  <c r="E56" i="93"/>
  <c r="D56" i="93"/>
  <c r="C56" i="93"/>
  <c r="B56" i="93"/>
  <c r="A55" i="93"/>
  <c r="BH53" i="93"/>
  <c r="BG53" i="93"/>
  <c r="BF53" i="93"/>
  <c r="BE53" i="93"/>
  <c r="BD53" i="93"/>
  <c r="BB53" i="93"/>
  <c r="BA53" i="93"/>
  <c r="AZ53" i="93"/>
  <c r="AY53" i="93"/>
  <c r="AX53" i="93"/>
  <c r="AP53" i="93"/>
  <c r="AO53" i="93"/>
  <c r="AN53" i="93"/>
  <c r="AM53" i="93"/>
  <c r="AL53" i="93"/>
  <c r="AJ53" i="93"/>
  <c r="AI53" i="93"/>
  <c r="AH53" i="93"/>
  <c r="AG53" i="93"/>
  <c r="AF53" i="93"/>
  <c r="X53" i="93"/>
  <c r="W53" i="93"/>
  <c r="V53" i="93"/>
  <c r="U53" i="93"/>
  <c r="T53" i="93"/>
  <c r="R53" i="93"/>
  <c r="Q53" i="93"/>
  <c r="P53" i="93"/>
  <c r="O53" i="93"/>
  <c r="N53" i="93"/>
  <c r="L53" i="93"/>
  <c r="K53" i="93"/>
  <c r="J53" i="93"/>
  <c r="I53" i="93"/>
  <c r="H53" i="93"/>
  <c r="BD51" i="93"/>
  <c r="AX51" i="93"/>
  <c r="AR51" i="93"/>
  <c r="N51" i="93"/>
  <c r="H51" i="93"/>
  <c r="B51" i="93"/>
  <c r="BH50" i="93"/>
  <c r="AP50" i="93"/>
  <c r="AQ46" i="93"/>
  <c r="AQ94" i="93" s="1"/>
  <c r="Y46" i="93"/>
  <c r="Y94" i="93" s="1"/>
  <c r="A46" i="93"/>
  <c r="A94" i="93" s="1"/>
  <c r="Y44" i="93"/>
  <c r="Y92" i="93" s="1"/>
  <c r="AQ43" i="93"/>
  <c r="AQ91" i="93" s="1"/>
  <c r="Y43" i="93"/>
  <c r="Y91" i="93" s="1"/>
  <c r="A43" i="93"/>
  <c r="A91" i="93" s="1"/>
  <c r="AQ41" i="93"/>
  <c r="AQ89" i="93" s="1"/>
  <c r="AQ40" i="93"/>
  <c r="AQ88" i="93" s="1"/>
  <c r="Y40" i="93"/>
  <c r="Y88" i="93" s="1"/>
  <c r="A40" i="93"/>
  <c r="A88" i="93" s="1"/>
  <c r="A39" i="93"/>
  <c r="A87" i="93" s="1"/>
  <c r="AQ38" i="93"/>
  <c r="AQ86" i="93" s="1"/>
  <c r="Y38" i="93"/>
  <c r="Y86" i="93" s="1"/>
  <c r="A38" i="93"/>
  <c r="A86" i="93" s="1"/>
  <c r="A36" i="93"/>
  <c r="A84" i="93" s="1"/>
  <c r="BH35" i="93"/>
  <c r="BG35" i="93"/>
  <c r="BF35" i="93"/>
  <c r="BE35" i="93"/>
  <c r="BD35" i="93"/>
  <c r="BB35" i="93"/>
  <c r="BA35" i="93"/>
  <c r="AZ35" i="93"/>
  <c r="AY35" i="93"/>
  <c r="AX35" i="93"/>
  <c r="AV35" i="93"/>
  <c r="AU35" i="93"/>
  <c r="AT35" i="93"/>
  <c r="AS35" i="93"/>
  <c r="AR35" i="93"/>
  <c r="AQ35" i="93"/>
  <c r="AQ83" i="93" s="1"/>
  <c r="AP35" i="93"/>
  <c r="AO35" i="93"/>
  <c r="AN35" i="93"/>
  <c r="AM35" i="93"/>
  <c r="AL35" i="93"/>
  <c r="AJ35" i="93"/>
  <c r="AI35" i="93"/>
  <c r="AH35" i="93"/>
  <c r="AG35" i="93"/>
  <c r="AF35" i="93"/>
  <c r="AD35" i="93"/>
  <c r="AC35" i="93"/>
  <c r="AB35" i="93"/>
  <c r="AA35" i="93"/>
  <c r="Z35" i="93"/>
  <c r="Y35" i="93"/>
  <c r="Y83" i="93" s="1"/>
  <c r="X35" i="93"/>
  <c r="W35" i="93"/>
  <c r="V35" i="93"/>
  <c r="U35" i="93"/>
  <c r="T35" i="93"/>
  <c r="R35" i="93"/>
  <c r="Q35" i="93"/>
  <c r="P35" i="93"/>
  <c r="O35" i="93"/>
  <c r="N35" i="93"/>
  <c r="L35" i="93"/>
  <c r="K35" i="93"/>
  <c r="J35" i="93"/>
  <c r="I35" i="93"/>
  <c r="H35" i="93"/>
  <c r="F35" i="93"/>
  <c r="E35" i="93"/>
  <c r="D35" i="93"/>
  <c r="C35" i="93"/>
  <c r="B35" i="93"/>
  <c r="A35" i="93"/>
  <c r="A83" i="93" s="1"/>
  <c r="Y34" i="93"/>
  <c r="Y82" i="93" s="1"/>
  <c r="Y32" i="93"/>
  <c r="Y80" i="93" s="1"/>
  <c r="A32" i="93"/>
  <c r="AQ32" i="93" s="1"/>
  <c r="AQ80" i="93" s="1"/>
  <c r="Y30" i="93"/>
  <c r="Y78" i="93" s="1"/>
  <c r="Y29" i="93"/>
  <c r="Y77" i="93" s="1"/>
  <c r="A29" i="93"/>
  <c r="A77" i="93" s="1"/>
  <c r="Y26" i="93"/>
  <c r="Y74" i="93" s="1"/>
  <c r="A26" i="93"/>
  <c r="A74" i="93" s="1"/>
  <c r="Y25" i="93"/>
  <c r="Y73" i="93" s="1"/>
  <c r="A25" i="93"/>
  <c r="Y24" i="93"/>
  <c r="Y72" i="93" s="1"/>
  <c r="A24" i="93"/>
  <c r="AQ24" i="93" s="1"/>
  <c r="AQ72" i="93" s="1"/>
  <c r="Y22" i="93"/>
  <c r="Y70" i="93" s="1"/>
  <c r="BH21" i="93"/>
  <c r="BG21" i="93"/>
  <c r="BF21" i="93"/>
  <c r="BE21" i="93"/>
  <c r="BD21" i="93"/>
  <c r="BB21" i="93"/>
  <c r="BA21" i="93"/>
  <c r="AZ21" i="93"/>
  <c r="AY21" i="93"/>
  <c r="AX21" i="93"/>
  <c r="AV21" i="93"/>
  <c r="AU21" i="93"/>
  <c r="AT21" i="93"/>
  <c r="AS21" i="93"/>
  <c r="AR21" i="93"/>
  <c r="AP21" i="93"/>
  <c r="AO21" i="93"/>
  <c r="AN21" i="93"/>
  <c r="AM21" i="93"/>
  <c r="AL21" i="93"/>
  <c r="AJ21" i="93"/>
  <c r="AJ7" i="93" s="1"/>
  <c r="AI21" i="93"/>
  <c r="AH21" i="93"/>
  <c r="AG21" i="93"/>
  <c r="AF21" i="93"/>
  <c r="AD21" i="93"/>
  <c r="AC21" i="93"/>
  <c r="AB21" i="93"/>
  <c r="AA21" i="93"/>
  <c r="AA7" i="93" s="1"/>
  <c r="Z21" i="93"/>
  <c r="Y21" i="93"/>
  <c r="Y69" i="93" s="1"/>
  <c r="X21" i="93"/>
  <c r="W21" i="93"/>
  <c r="W7" i="93" s="1"/>
  <c r="V21" i="93"/>
  <c r="U21" i="93"/>
  <c r="T21" i="93"/>
  <c r="R21" i="93"/>
  <c r="R7" i="93" s="1"/>
  <c r="Q21" i="93"/>
  <c r="P21" i="93"/>
  <c r="O21" i="93"/>
  <c r="N21" i="93"/>
  <c r="N7" i="93" s="1"/>
  <c r="L21" i="93"/>
  <c r="K21" i="93"/>
  <c r="J21" i="93"/>
  <c r="I21" i="93"/>
  <c r="I7" i="93" s="1"/>
  <c r="H21" i="93"/>
  <c r="F21" i="93"/>
  <c r="E21" i="93"/>
  <c r="D21" i="93"/>
  <c r="C21" i="93"/>
  <c r="B21" i="93"/>
  <c r="A21" i="93"/>
  <c r="AQ21" i="93" s="1"/>
  <c r="AQ69" i="93" s="1"/>
  <c r="AQ20" i="93"/>
  <c r="AQ68" i="93" s="1"/>
  <c r="Y20" i="93"/>
  <c r="Y68" i="93" s="1"/>
  <c r="A68" i="93"/>
  <c r="BH18" i="93"/>
  <c r="BG18" i="93"/>
  <c r="BF18" i="93"/>
  <c r="BE18" i="93"/>
  <c r="BD18" i="93"/>
  <c r="BB18" i="93"/>
  <c r="BA18" i="93"/>
  <c r="AZ18" i="93"/>
  <c r="AY18" i="93"/>
  <c r="AX18" i="93"/>
  <c r="AV18" i="93"/>
  <c r="AU18" i="93"/>
  <c r="AT18" i="93"/>
  <c r="AS18" i="93"/>
  <c r="AR18" i="93"/>
  <c r="AQ18" i="93"/>
  <c r="AQ66" i="93" s="1"/>
  <c r="AP18" i="93"/>
  <c r="AO18" i="93"/>
  <c r="AN18" i="93"/>
  <c r="AM18" i="93"/>
  <c r="AL18" i="93"/>
  <c r="AJ18" i="93"/>
  <c r="AI18" i="93"/>
  <c r="AH18" i="93"/>
  <c r="AG18" i="93"/>
  <c r="AF18" i="93"/>
  <c r="AD18" i="93"/>
  <c r="AC18" i="93"/>
  <c r="AB18" i="93"/>
  <c r="AA18" i="93"/>
  <c r="Z18" i="93"/>
  <c r="Y18" i="93"/>
  <c r="Y66" i="93" s="1"/>
  <c r="X18" i="93"/>
  <c r="W18" i="93"/>
  <c r="V18" i="93"/>
  <c r="U18" i="93"/>
  <c r="T18" i="93"/>
  <c r="R18" i="93"/>
  <c r="Q18" i="93"/>
  <c r="P18" i="93"/>
  <c r="O18" i="93"/>
  <c r="N18" i="93"/>
  <c r="L18" i="93"/>
  <c r="K18" i="93"/>
  <c r="J18" i="93"/>
  <c r="I18" i="93"/>
  <c r="H18" i="93"/>
  <c r="F18" i="93"/>
  <c r="E18" i="93"/>
  <c r="D18" i="93"/>
  <c r="C18" i="93"/>
  <c r="B18" i="93"/>
  <c r="BH17" i="93"/>
  <c r="BG17" i="93"/>
  <c r="BF17" i="93"/>
  <c r="BE17" i="93"/>
  <c r="BD17" i="93"/>
  <c r="BB17" i="93"/>
  <c r="BA17" i="93"/>
  <c r="AZ17" i="93"/>
  <c r="AY17" i="93"/>
  <c r="AX17" i="93"/>
  <c r="AV17" i="93"/>
  <c r="AU17" i="93"/>
  <c r="AT17" i="93"/>
  <c r="AS17" i="93"/>
  <c r="AR17" i="93"/>
  <c r="AP17" i="93"/>
  <c r="AO17" i="93"/>
  <c r="AN17" i="93"/>
  <c r="AM17" i="93"/>
  <c r="AL17" i="93"/>
  <c r="AJ17" i="93"/>
  <c r="AI17" i="93"/>
  <c r="AH17" i="93"/>
  <c r="AG17" i="93"/>
  <c r="AF17" i="93"/>
  <c r="AD17" i="93"/>
  <c r="AC17" i="93"/>
  <c r="AB17" i="93"/>
  <c r="AA17" i="93"/>
  <c r="Z17" i="93"/>
  <c r="X17" i="93"/>
  <c r="W17" i="93"/>
  <c r="V17" i="93"/>
  <c r="U17" i="93"/>
  <c r="T17" i="93"/>
  <c r="R17" i="93"/>
  <c r="Q17" i="93"/>
  <c r="P17" i="93"/>
  <c r="O17" i="93"/>
  <c r="N17" i="93"/>
  <c r="L17" i="93"/>
  <c r="K17" i="93"/>
  <c r="J17" i="93"/>
  <c r="I17" i="93"/>
  <c r="H17" i="93"/>
  <c r="F17" i="93"/>
  <c r="E17" i="93"/>
  <c r="D17" i="93"/>
  <c r="C17" i="93"/>
  <c r="B17" i="93"/>
  <c r="BH16" i="93"/>
  <c r="BG16" i="93"/>
  <c r="BF16" i="93"/>
  <c r="BE16" i="93"/>
  <c r="BD16" i="93"/>
  <c r="BB16" i="93"/>
  <c r="BA16" i="93"/>
  <c r="AZ16" i="93"/>
  <c r="AY16" i="93"/>
  <c r="AX16" i="93"/>
  <c r="AV16" i="93"/>
  <c r="AU16" i="93"/>
  <c r="AT16" i="93"/>
  <c r="AS16" i="93"/>
  <c r="AR16" i="93"/>
  <c r="AQ16" i="93"/>
  <c r="AQ64" i="93" s="1"/>
  <c r="AP16" i="93"/>
  <c r="AO16" i="93"/>
  <c r="AN16" i="93"/>
  <c r="AM16" i="93"/>
  <c r="AL16" i="93"/>
  <c r="AJ16" i="93"/>
  <c r="AI16" i="93"/>
  <c r="AH16" i="93"/>
  <c r="AG16" i="93"/>
  <c r="AF16" i="93"/>
  <c r="AD16" i="93"/>
  <c r="AC16" i="93"/>
  <c r="AB16" i="93"/>
  <c r="AA16" i="93"/>
  <c r="Z16" i="93"/>
  <c r="Y16" i="93"/>
  <c r="Y64" i="93" s="1"/>
  <c r="X16" i="93"/>
  <c r="W16" i="93"/>
  <c r="V16" i="93"/>
  <c r="U16" i="93"/>
  <c r="T16" i="93"/>
  <c r="R16" i="93"/>
  <c r="Q16" i="93"/>
  <c r="P16" i="93"/>
  <c r="O16" i="93"/>
  <c r="N16" i="93"/>
  <c r="L16" i="93"/>
  <c r="K16" i="93"/>
  <c r="J16" i="93"/>
  <c r="I16" i="93"/>
  <c r="H16" i="93"/>
  <c r="F16" i="93"/>
  <c r="E16" i="93"/>
  <c r="D16" i="93"/>
  <c r="C16" i="93"/>
  <c r="B16" i="93"/>
  <c r="A44" i="93"/>
  <c r="A92" i="93" s="1"/>
  <c r="BH15" i="93"/>
  <c r="BG15" i="93"/>
  <c r="BF15" i="93"/>
  <c r="BE15" i="93"/>
  <c r="BD15" i="93"/>
  <c r="BB15" i="93"/>
  <c r="BA15" i="93"/>
  <c r="AZ15" i="93"/>
  <c r="AY15" i="93"/>
  <c r="AX15" i="93"/>
  <c r="AV15" i="93"/>
  <c r="AU15" i="93"/>
  <c r="AT15" i="93"/>
  <c r="AS15" i="93"/>
  <c r="AR15" i="93"/>
  <c r="AQ15" i="93"/>
  <c r="AQ63" i="93" s="1"/>
  <c r="AP15" i="93"/>
  <c r="AO15" i="93"/>
  <c r="AN15" i="93"/>
  <c r="AM15" i="93"/>
  <c r="AL15" i="93"/>
  <c r="AJ15" i="93"/>
  <c r="AI15" i="93"/>
  <c r="AH15" i="93"/>
  <c r="AG15" i="93"/>
  <c r="AF15" i="93"/>
  <c r="AD15" i="93"/>
  <c r="AC15" i="93"/>
  <c r="AB15" i="93"/>
  <c r="AA15" i="93"/>
  <c r="Z15" i="93"/>
  <c r="Y15" i="93"/>
  <c r="Y63" i="93" s="1"/>
  <c r="X15" i="93"/>
  <c r="W15" i="93"/>
  <c r="V15" i="93"/>
  <c r="U15" i="93"/>
  <c r="T15" i="93"/>
  <c r="R15" i="93"/>
  <c r="Q15" i="93"/>
  <c r="P15" i="93"/>
  <c r="O15" i="93"/>
  <c r="N15" i="93"/>
  <c r="L15" i="93"/>
  <c r="K15" i="93"/>
  <c r="J15" i="93"/>
  <c r="I15" i="93"/>
  <c r="H15" i="93"/>
  <c r="F15" i="93"/>
  <c r="E15" i="93"/>
  <c r="D15" i="93"/>
  <c r="C15" i="93"/>
  <c r="B15" i="93"/>
  <c r="BH14" i="93"/>
  <c r="BG14" i="93"/>
  <c r="BF14" i="93"/>
  <c r="BE14" i="93"/>
  <c r="BD14" i="93"/>
  <c r="BB14" i="93"/>
  <c r="BA14" i="93"/>
  <c r="AZ14" i="93"/>
  <c r="AY14" i="93"/>
  <c r="AX14" i="93"/>
  <c r="AV14" i="93"/>
  <c r="AU14" i="93"/>
  <c r="AT14" i="93"/>
  <c r="AS14" i="93"/>
  <c r="AR14" i="93"/>
  <c r="AP14" i="93"/>
  <c r="AO14" i="93"/>
  <c r="AN14" i="93"/>
  <c r="AM14" i="93"/>
  <c r="AL14" i="93"/>
  <c r="AJ14" i="93"/>
  <c r="AI14" i="93"/>
  <c r="AH14" i="93"/>
  <c r="AG14" i="93"/>
  <c r="AF14" i="93"/>
  <c r="AD14" i="93"/>
  <c r="AC14" i="93"/>
  <c r="AB14" i="93"/>
  <c r="AA14" i="93"/>
  <c r="Z14" i="93"/>
  <c r="X14" i="93"/>
  <c r="W14" i="93"/>
  <c r="V14" i="93"/>
  <c r="U14" i="93"/>
  <c r="T14" i="93"/>
  <c r="R14" i="93"/>
  <c r="Q14" i="93"/>
  <c r="P14" i="93"/>
  <c r="O14" i="93"/>
  <c r="N14" i="93"/>
  <c r="L14" i="93"/>
  <c r="K14" i="93"/>
  <c r="J14" i="93"/>
  <c r="I14" i="93"/>
  <c r="H14" i="93"/>
  <c r="F14" i="93"/>
  <c r="E14" i="93"/>
  <c r="D14" i="93"/>
  <c r="C14" i="93"/>
  <c r="B14" i="93"/>
  <c r="A62" i="93"/>
  <c r="BH13" i="93"/>
  <c r="BG13" i="93"/>
  <c r="BF13" i="93"/>
  <c r="BE13" i="93"/>
  <c r="BD13" i="93"/>
  <c r="BB13" i="93"/>
  <c r="BA13" i="93"/>
  <c r="AZ13" i="93"/>
  <c r="AY13" i="93"/>
  <c r="AX13" i="93"/>
  <c r="AV13" i="93"/>
  <c r="AU13" i="93"/>
  <c r="AT13" i="93"/>
  <c r="AS13" i="93"/>
  <c r="AR13" i="93"/>
  <c r="AP13" i="93"/>
  <c r="AO13" i="93"/>
  <c r="AN13" i="93"/>
  <c r="AM13" i="93"/>
  <c r="AL13" i="93"/>
  <c r="AJ13" i="93"/>
  <c r="AI13" i="93"/>
  <c r="AH13" i="93"/>
  <c r="AG13" i="93"/>
  <c r="AF13" i="93"/>
  <c r="AD13" i="93"/>
  <c r="AC13" i="93"/>
  <c r="AB13" i="93"/>
  <c r="AA13" i="93"/>
  <c r="Z13" i="93"/>
  <c r="X13" i="93"/>
  <c r="W13" i="93"/>
  <c r="V13" i="93"/>
  <c r="U13" i="93"/>
  <c r="T13" i="93"/>
  <c r="R13" i="93"/>
  <c r="Q13" i="93"/>
  <c r="P13" i="93"/>
  <c r="O13" i="93"/>
  <c r="N13" i="93"/>
  <c r="L13" i="93"/>
  <c r="K13" i="93"/>
  <c r="J13" i="93"/>
  <c r="I13" i="93"/>
  <c r="H13" i="93"/>
  <c r="F13" i="93"/>
  <c r="E13" i="93"/>
  <c r="D13" i="93"/>
  <c r="C13" i="93"/>
  <c r="B13" i="93"/>
  <c r="BH12" i="93"/>
  <c r="BG12" i="93"/>
  <c r="BF12" i="93"/>
  <c r="BE12" i="93"/>
  <c r="BD12" i="93"/>
  <c r="BB12" i="93"/>
  <c r="BA12" i="93"/>
  <c r="AZ12" i="93"/>
  <c r="AY12" i="93"/>
  <c r="AX12" i="93"/>
  <c r="AV12" i="93"/>
  <c r="AU12" i="93"/>
  <c r="AT12" i="93"/>
  <c r="AS12" i="93"/>
  <c r="AR12" i="93"/>
  <c r="AQ12" i="93"/>
  <c r="AQ60" i="93" s="1"/>
  <c r="AP12" i="93"/>
  <c r="AO12" i="93"/>
  <c r="AN12" i="93"/>
  <c r="AM12" i="93"/>
  <c r="AL12" i="93"/>
  <c r="AJ12" i="93"/>
  <c r="AI12" i="93"/>
  <c r="AH12" i="93"/>
  <c r="AG12" i="93"/>
  <c r="AF12" i="93"/>
  <c r="AD12" i="93"/>
  <c r="AC12" i="93"/>
  <c r="AB12" i="93"/>
  <c r="AA12" i="93"/>
  <c r="Z12" i="93"/>
  <c r="Y12" i="93"/>
  <c r="Y60" i="93" s="1"/>
  <c r="X12" i="93"/>
  <c r="W12" i="93"/>
  <c r="V12" i="93"/>
  <c r="U12" i="93"/>
  <c r="T12" i="93"/>
  <c r="R12" i="93"/>
  <c r="Q12" i="93"/>
  <c r="P12" i="93"/>
  <c r="O12" i="93"/>
  <c r="N12" i="93"/>
  <c r="L12" i="93"/>
  <c r="K12" i="93"/>
  <c r="J12" i="93"/>
  <c r="I12" i="93"/>
  <c r="H12" i="93"/>
  <c r="F12" i="93"/>
  <c r="E12" i="93"/>
  <c r="D12" i="93"/>
  <c r="C12" i="93"/>
  <c r="B12" i="93"/>
  <c r="BH11" i="93"/>
  <c r="BG11" i="93"/>
  <c r="BF11" i="93"/>
  <c r="BE11" i="93"/>
  <c r="BD11" i="93"/>
  <c r="BB11" i="93"/>
  <c r="BA11" i="93"/>
  <c r="AZ11" i="93"/>
  <c r="AY11" i="93"/>
  <c r="AX11" i="93"/>
  <c r="AV11" i="93"/>
  <c r="AU11" i="93"/>
  <c r="AT11" i="93"/>
  <c r="AS11" i="93"/>
  <c r="AR11" i="93"/>
  <c r="AP11" i="93"/>
  <c r="AO11" i="93"/>
  <c r="AN11" i="93"/>
  <c r="AM11" i="93"/>
  <c r="AL11" i="93"/>
  <c r="AJ11" i="93"/>
  <c r="AI11" i="93"/>
  <c r="AH11" i="93"/>
  <c r="AG11" i="93"/>
  <c r="AF11" i="93"/>
  <c r="AD11" i="93"/>
  <c r="AC11" i="93"/>
  <c r="AB11" i="93"/>
  <c r="AA11" i="93"/>
  <c r="Z11" i="93"/>
  <c r="X11" i="93"/>
  <c r="W11" i="93"/>
  <c r="V11" i="93"/>
  <c r="U11" i="93"/>
  <c r="T11" i="93"/>
  <c r="R11" i="93"/>
  <c r="Q11" i="93"/>
  <c r="P11" i="93"/>
  <c r="O11" i="93"/>
  <c r="N11" i="93"/>
  <c r="L11" i="93"/>
  <c r="K11" i="93"/>
  <c r="J11" i="93"/>
  <c r="I11" i="93"/>
  <c r="H11" i="93"/>
  <c r="F11" i="93"/>
  <c r="E11" i="93"/>
  <c r="D11" i="93"/>
  <c r="C11" i="93"/>
  <c r="B11" i="93"/>
  <c r="AQ11" i="93"/>
  <c r="AQ59" i="93" s="1"/>
  <c r="BH10" i="93"/>
  <c r="BG10" i="93"/>
  <c r="BF10" i="93"/>
  <c r="BE10" i="93"/>
  <c r="BD10" i="93"/>
  <c r="BB10" i="93"/>
  <c r="BA10" i="93"/>
  <c r="AZ10" i="93"/>
  <c r="AY10" i="93"/>
  <c r="AX10" i="93"/>
  <c r="AV10" i="93"/>
  <c r="AU10" i="93"/>
  <c r="AT10" i="93"/>
  <c r="AS10" i="93"/>
  <c r="AR10" i="93"/>
  <c r="AQ10" i="93"/>
  <c r="AQ58" i="93" s="1"/>
  <c r="AP10" i="93"/>
  <c r="AO10" i="93"/>
  <c r="AN10" i="93"/>
  <c r="AM10" i="93"/>
  <c r="AL10" i="93"/>
  <c r="AJ10" i="93"/>
  <c r="AI10" i="93"/>
  <c r="AH10" i="93"/>
  <c r="AG10" i="93"/>
  <c r="AF10" i="93"/>
  <c r="AD10" i="93"/>
  <c r="AC10" i="93"/>
  <c r="AB10" i="93"/>
  <c r="AA10" i="93"/>
  <c r="Z10" i="93"/>
  <c r="Y10" i="93"/>
  <c r="Y58" i="93" s="1"/>
  <c r="X10" i="93"/>
  <c r="W10" i="93"/>
  <c r="V10" i="93"/>
  <c r="U10" i="93"/>
  <c r="T10" i="93"/>
  <c r="R10" i="93"/>
  <c r="Q10" i="93"/>
  <c r="P10" i="93"/>
  <c r="O10" i="93"/>
  <c r="N10" i="93"/>
  <c r="L10" i="93"/>
  <c r="K10" i="93"/>
  <c r="J10" i="93"/>
  <c r="I10" i="93"/>
  <c r="H10" i="93"/>
  <c r="F10" i="93"/>
  <c r="E10" i="93"/>
  <c r="D10" i="93"/>
  <c r="C10" i="93"/>
  <c r="B10" i="93"/>
  <c r="BH9" i="93"/>
  <c r="BG9" i="93"/>
  <c r="BF9" i="93"/>
  <c r="BE9" i="93"/>
  <c r="BD9" i="93"/>
  <c r="BB9" i="93"/>
  <c r="BA9" i="93"/>
  <c r="AZ9" i="93"/>
  <c r="AY9" i="93"/>
  <c r="AX9" i="93"/>
  <c r="AV9" i="93"/>
  <c r="AU9" i="93"/>
  <c r="AT9" i="93"/>
  <c r="AS9" i="93"/>
  <c r="AR9" i="93"/>
  <c r="AP9" i="93"/>
  <c r="AO9" i="93"/>
  <c r="AN9" i="93"/>
  <c r="AM9" i="93"/>
  <c r="AL9" i="93"/>
  <c r="AJ9" i="93"/>
  <c r="AI9" i="93"/>
  <c r="AH9" i="93"/>
  <c r="AG9" i="93"/>
  <c r="AF9" i="93"/>
  <c r="AD9" i="93"/>
  <c r="AC9" i="93"/>
  <c r="AB9" i="93"/>
  <c r="AA9" i="93"/>
  <c r="Z9" i="93"/>
  <c r="X9" i="93"/>
  <c r="W9" i="93"/>
  <c r="V9" i="93"/>
  <c r="U9" i="93"/>
  <c r="T9" i="93"/>
  <c r="R9" i="93"/>
  <c r="Q9" i="93"/>
  <c r="P9" i="93"/>
  <c r="O9" i="93"/>
  <c r="N9" i="93"/>
  <c r="L9" i="93"/>
  <c r="K9" i="93"/>
  <c r="J9" i="93"/>
  <c r="I9" i="93"/>
  <c r="H9" i="93"/>
  <c r="F9" i="93"/>
  <c r="E9" i="93"/>
  <c r="D9" i="93"/>
  <c r="C9" i="93"/>
  <c r="B9" i="93"/>
  <c r="BH8" i="93"/>
  <c r="BG8" i="93"/>
  <c r="BF8" i="93"/>
  <c r="BE8" i="93"/>
  <c r="BD8" i="93"/>
  <c r="BB8" i="93"/>
  <c r="BA8" i="93"/>
  <c r="AZ8" i="93"/>
  <c r="AY8" i="93"/>
  <c r="AX8" i="93"/>
  <c r="AV8" i="93"/>
  <c r="AU8" i="93"/>
  <c r="AT8" i="93"/>
  <c r="AS8" i="93"/>
  <c r="AR8" i="93"/>
  <c r="AQ8" i="93"/>
  <c r="AQ56" i="93" s="1"/>
  <c r="AP8" i="93"/>
  <c r="AO8" i="93"/>
  <c r="AN8" i="93"/>
  <c r="AM8" i="93"/>
  <c r="AL8" i="93"/>
  <c r="AJ8" i="93"/>
  <c r="AI8" i="93"/>
  <c r="AH8" i="93"/>
  <c r="AG8" i="93"/>
  <c r="AF8" i="93"/>
  <c r="AD8" i="93"/>
  <c r="AC8" i="93"/>
  <c r="AB8" i="93"/>
  <c r="AA8" i="93"/>
  <c r="Z8" i="93"/>
  <c r="Y8" i="93"/>
  <c r="Y56" i="93" s="1"/>
  <c r="X8" i="93"/>
  <c r="W8" i="93"/>
  <c r="V8" i="93"/>
  <c r="U8" i="93"/>
  <c r="T8" i="93"/>
  <c r="R8" i="93"/>
  <c r="Q8" i="93"/>
  <c r="P8" i="93"/>
  <c r="O8" i="93"/>
  <c r="N8" i="93"/>
  <c r="L8" i="93"/>
  <c r="K8" i="93"/>
  <c r="J8" i="93"/>
  <c r="I8" i="93"/>
  <c r="H8" i="93"/>
  <c r="F8" i="93"/>
  <c r="E8" i="93"/>
  <c r="D8" i="93"/>
  <c r="C8" i="93"/>
  <c r="B8" i="93"/>
  <c r="AQ7" i="93"/>
  <c r="AQ55" i="93" s="1"/>
  <c r="Y7" i="93"/>
  <c r="Y55" i="93" s="1"/>
  <c r="BH5" i="93"/>
  <c r="BG5" i="93"/>
  <c r="BF5" i="93"/>
  <c r="BE5" i="93"/>
  <c r="BD5" i="93"/>
  <c r="BB5" i="93"/>
  <c r="BA5" i="93"/>
  <c r="AZ5" i="93"/>
  <c r="AY5" i="93"/>
  <c r="AX5" i="93"/>
  <c r="AP5" i="93"/>
  <c r="AO5" i="93"/>
  <c r="AN5" i="93"/>
  <c r="AM5" i="93"/>
  <c r="AL5" i="93"/>
  <c r="AJ5" i="93"/>
  <c r="AI5" i="93"/>
  <c r="AH5" i="93"/>
  <c r="AG5" i="93"/>
  <c r="AF5" i="93"/>
  <c r="X5" i="93"/>
  <c r="W5" i="93"/>
  <c r="V5" i="93"/>
  <c r="U5" i="93"/>
  <c r="T5" i="93"/>
  <c r="R5" i="93"/>
  <c r="Q5" i="93"/>
  <c r="P5" i="93"/>
  <c r="O5" i="93"/>
  <c r="N5" i="93"/>
  <c r="L5" i="93"/>
  <c r="K5" i="93"/>
  <c r="J5" i="93"/>
  <c r="I5" i="93"/>
  <c r="H5" i="93"/>
  <c r="AL51" i="93"/>
  <c r="AF51" i="93"/>
  <c r="Z51" i="93"/>
  <c r="T51" i="93"/>
  <c r="D55" i="93" l="1"/>
  <c r="W55" i="93"/>
  <c r="AG55" i="93"/>
  <c r="AZ55" i="93"/>
  <c r="H7" i="93"/>
  <c r="N55" i="93"/>
  <c r="AP55" i="93"/>
  <c r="AU7" i="93"/>
  <c r="AH55" i="93"/>
  <c r="AR55" i="93"/>
  <c r="BA55" i="93"/>
  <c r="AR7" i="93"/>
  <c r="B55" i="93"/>
  <c r="K55" i="93"/>
  <c r="U55" i="93"/>
  <c r="AN55" i="93"/>
  <c r="AX55" i="93"/>
  <c r="BG55" i="93"/>
  <c r="Z7" i="93"/>
  <c r="AS7" i="93"/>
  <c r="BB7" i="93"/>
  <c r="C55" i="93"/>
  <c r="L55" i="93"/>
  <c r="V55" i="93"/>
  <c r="AF55" i="93"/>
  <c r="AO55" i="93"/>
  <c r="AY55" i="93"/>
  <c r="BH55" i="93"/>
  <c r="R55" i="93"/>
  <c r="B7" i="93"/>
  <c r="K7" i="93"/>
  <c r="U7" i="93"/>
  <c r="AC7" i="93"/>
  <c r="AM7" i="93"/>
  <c r="BF55" i="93"/>
  <c r="AZ7" i="93"/>
  <c r="E55" i="93"/>
  <c r="O55" i="93"/>
  <c r="X55" i="93"/>
  <c r="AF7" i="93"/>
  <c r="AT7" i="93"/>
  <c r="BD7" i="93"/>
  <c r="F55" i="93"/>
  <c r="P55" i="93"/>
  <c r="Z55" i="93"/>
  <c r="AI55" i="93"/>
  <c r="AS55" i="93"/>
  <c r="BB55" i="93"/>
  <c r="J55" i="93"/>
  <c r="AV55" i="93"/>
  <c r="J7" i="93"/>
  <c r="T7" i="93"/>
  <c r="AB7" i="93"/>
  <c r="AL7" i="93"/>
  <c r="BE7" i="93"/>
  <c r="Q7" i="93"/>
  <c r="AI7" i="93"/>
  <c r="BA7" i="93"/>
  <c r="P7" i="93"/>
  <c r="H55" i="93"/>
  <c r="Q55" i="93"/>
  <c r="AA55" i="93"/>
  <c r="AJ55" i="93"/>
  <c r="AX7" i="93"/>
  <c r="BG7" i="93"/>
  <c r="AU55" i="93"/>
  <c r="BE55" i="93"/>
  <c r="F7" i="93"/>
  <c r="AH7" i="93"/>
  <c r="D7" i="93"/>
  <c r="AO7" i="93"/>
  <c r="T55" i="93"/>
  <c r="AC55" i="93"/>
  <c r="AM55" i="93"/>
  <c r="AT55" i="93"/>
  <c r="BD55" i="93"/>
  <c r="A80" i="93"/>
  <c r="I55" i="93"/>
  <c r="AB55" i="93"/>
  <c r="AL55" i="93"/>
  <c r="A69" i="93"/>
  <c r="O7" i="93"/>
  <c r="AY7" i="93"/>
  <c r="AQ26" i="93"/>
  <c r="AQ74" i="93" s="1"/>
  <c r="X7" i="93"/>
  <c r="BH7" i="93"/>
  <c r="C7" i="93"/>
  <c r="L7" i="93"/>
  <c r="V7" i="93"/>
  <c r="AD7" i="93"/>
  <c r="AN7" i="93"/>
  <c r="AV7" i="93"/>
  <c r="BF7" i="93"/>
  <c r="A72" i="93"/>
  <c r="E7" i="93"/>
  <c r="AG7" i="93"/>
  <c r="AP7" i="93"/>
  <c r="AD55" i="93"/>
  <c r="AQ29" i="93"/>
  <c r="AQ77" i="93" s="1"/>
  <c r="A54" i="93"/>
  <c r="AQ6" i="93"/>
  <c r="AQ54" i="93" s="1"/>
  <c r="Y6" i="93"/>
  <c r="Y54" i="93" s="1"/>
  <c r="Y37" i="93"/>
  <c r="Y85" i="93" s="1"/>
  <c r="A37" i="93"/>
  <c r="A85" i="93" s="1"/>
  <c r="Y23" i="93"/>
  <c r="Y71" i="93" s="1"/>
  <c r="A23" i="93"/>
  <c r="AQ9" i="93"/>
  <c r="AQ57" i="93" s="1"/>
  <c r="Y9" i="93"/>
  <c r="Y57" i="93" s="1"/>
  <c r="AQ37" i="93"/>
  <c r="AQ85" i="93" s="1"/>
  <c r="A61" i="93"/>
  <c r="A41" i="93"/>
  <c r="A89" i="93" s="1"/>
  <c r="Y27" i="93"/>
  <c r="Y75" i="93" s="1"/>
  <c r="Y41" i="93"/>
  <c r="Y89" i="93" s="1"/>
  <c r="AQ13" i="93"/>
  <c r="AQ61" i="93" s="1"/>
  <c r="Y13" i="93"/>
  <c r="Y61" i="93" s="1"/>
  <c r="A27" i="93"/>
  <c r="Y45" i="93"/>
  <c r="Y93" i="93" s="1"/>
  <c r="A45" i="93"/>
  <c r="A93" i="93" s="1"/>
  <c r="Y31" i="93"/>
  <c r="Y79" i="93" s="1"/>
  <c r="A31" i="93"/>
  <c r="AQ17" i="93"/>
  <c r="AQ65" i="93" s="1"/>
  <c r="Y17" i="93"/>
  <c r="Y65" i="93" s="1"/>
  <c r="AQ45" i="93"/>
  <c r="AQ93" i="93" s="1"/>
  <c r="A65" i="93"/>
  <c r="A56" i="93"/>
  <c r="AQ36" i="93"/>
  <c r="AQ84" i="93" s="1"/>
  <c r="A22" i="93"/>
  <c r="AQ42" i="93"/>
  <c r="AQ90" i="93" s="1"/>
  <c r="Y42" i="93"/>
  <c r="Y90" i="93" s="1"/>
  <c r="AQ14" i="93"/>
  <c r="AQ62" i="93" s="1"/>
  <c r="Y14" i="93"/>
  <c r="Y62" i="93" s="1"/>
  <c r="A42" i="93"/>
  <c r="A90" i="93" s="1"/>
  <c r="Y28" i="93"/>
  <c r="Y76" i="93" s="1"/>
  <c r="A64" i="93"/>
  <c r="AQ44" i="93"/>
  <c r="AQ92" i="93" s="1"/>
  <c r="A30" i="93"/>
  <c r="A28" i="93"/>
  <c r="A82" i="93"/>
  <c r="AQ34" i="93"/>
  <c r="AQ82" i="93" s="1"/>
  <c r="Y36" i="93"/>
  <c r="Y84" i="93" s="1"/>
  <c r="A73" i="93"/>
  <c r="AQ25" i="93"/>
  <c r="AQ73" i="93" s="1"/>
  <c r="Y39" i="93"/>
  <c r="Y87" i="93" s="1"/>
  <c r="A59" i="93"/>
  <c r="AQ39" i="93"/>
  <c r="AQ87" i="93" s="1"/>
  <c r="Y11" i="93"/>
  <c r="Y59" i="93" s="1"/>
  <c r="AQ31" i="93" l="1"/>
  <c r="AQ79" i="93" s="1"/>
  <c r="A79" i="93"/>
  <c r="A76" i="93"/>
  <c r="AQ28" i="93"/>
  <c r="AQ76" i="93" s="1"/>
  <c r="A78" i="93"/>
  <c r="AQ30" i="93"/>
  <c r="AQ78" i="93" s="1"/>
  <c r="A75" i="93"/>
  <c r="AQ27" i="93"/>
  <c r="AQ75" i="93" s="1"/>
  <c r="AQ23" i="93"/>
  <c r="AQ71" i="93" s="1"/>
  <c r="A71" i="93"/>
  <c r="A70" i="93"/>
  <c r="AQ22" i="93"/>
  <c r="AQ70" i="93" s="1"/>
  <c r="N6" i="78" l="1"/>
  <c r="O6" i="78"/>
  <c r="N107" i="78" s="1"/>
  <c r="P6" i="78"/>
  <c r="Q6" i="78"/>
  <c r="M6" i="78"/>
  <c r="L1" i="78" s="1"/>
  <c r="P107" i="78" l="1"/>
  <c r="Q107" i="78"/>
  <c r="AA6" i="78"/>
  <c r="O107" i="78"/>
  <c r="M107" i="78"/>
  <c r="Q117" i="78"/>
  <c r="AB6" i="78"/>
  <c r="Q103" i="78"/>
  <c r="Q95" i="78"/>
  <c r="Q87" i="78"/>
  <c r="Q102" i="78"/>
  <c r="Q94" i="78"/>
  <c r="Q86" i="78"/>
  <c r="Q99" i="78"/>
  <c r="Q91" i="78"/>
  <c r="Q83" i="78"/>
  <c r="Q105" i="78"/>
  <c r="Q92" i="78"/>
  <c r="Q104" i="78"/>
  <c r="Q90" i="78"/>
  <c r="Q101" i="78"/>
  <c r="Q89" i="78"/>
  <c r="Q98" i="78"/>
  <c r="Q85" i="78"/>
  <c r="Q97" i="78"/>
  <c r="Q84" i="78"/>
  <c r="Q106" i="78"/>
  <c r="Q93" i="78"/>
  <c r="Q100" i="78"/>
  <c r="Q96" i="78"/>
  <c r="Q88" i="78"/>
  <c r="Q82" i="78"/>
  <c r="Z6" i="78"/>
  <c r="N104" i="78"/>
  <c r="N96" i="78"/>
  <c r="N88" i="78"/>
  <c r="N103" i="78"/>
  <c r="N95" i="78"/>
  <c r="N87" i="78"/>
  <c r="N100" i="78"/>
  <c r="N92" i="78"/>
  <c r="N84" i="78"/>
  <c r="N94" i="78"/>
  <c r="N82" i="78"/>
  <c r="N91" i="78"/>
  <c r="N106" i="78"/>
  <c r="N93" i="78"/>
  <c r="N105" i="78"/>
  <c r="N101" i="78"/>
  <c r="N89" i="78"/>
  <c r="N99" i="78"/>
  <c r="N86" i="78"/>
  <c r="N102" i="78"/>
  <c r="N97" i="78"/>
  <c r="N98" i="78"/>
  <c r="N90" i="78"/>
  <c r="N85" i="78"/>
  <c r="N83" i="78"/>
  <c r="Y6" i="78"/>
  <c r="N80" i="78"/>
  <c r="N117" i="78"/>
  <c r="Q80" i="78"/>
  <c r="X6" i="78"/>
  <c r="W1" i="78" s="1"/>
  <c r="Y107" i="78" l="1"/>
  <c r="AL6" i="78"/>
  <c r="Z107" i="78"/>
  <c r="AJ6" i="78"/>
  <c r="X107" i="78"/>
  <c r="AM6" i="78"/>
  <c r="AL105" i="78" s="1"/>
  <c r="AA107" i="78"/>
  <c r="AB107" i="78"/>
  <c r="AI6" i="78"/>
  <c r="AK6" i="78"/>
  <c r="AB117" i="78"/>
  <c r="Y80" i="78"/>
  <c r="AB80" i="78"/>
  <c r="Y117" i="78"/>
  <c r="Y101" i="78"/>
  <c r="Y93" i="78"/>
  <c r="Y85" i="78"/>
  <c r="Y100" i="78"/>
  <c r="Y92" i="78"/>
  <c r="Y84" i="78"/>
  <c r="Y105" i="78"/>
  <c r="Y97" i="78"/>
  <c r="Y89" i="78"/>
  <c r="Y103" i="78"/>
  <c r="Y90" i="78"/>
  <c r="Y102" i="78"/>
  <c r="Y88" i="78"/>
  <c r="Y99" i="78"/>
  <c r="Y87" i="78"/>
  <c r="Y96" i="78"/>
  <c r="Y83" i="78"/>
  <c r="Y95" i="78"/>
  <c r="Y82" i="78"/>
  <c r="Y94" i="78"/>
  <c r="Y86" i="78"/>
  <c r="Y91" i="78"/>
  <c r="Y104" i="78"/>
  <c r="Y106" i="78"/>
  <c r="Y98" i="78"/>
  <c r="AB101" i="78"/>
  <c r="AB93" i="78"/>
  <c r="AB85" i="78"/>
  <c r="AB83" i="78"/>
  <c r="AB100" i="78"/>
  <c r="AB92" i="78"/>
  <c r="AB84" i="78"/>
  <c r="AB105" i="78"/>
  <c r="AB97" i="78"/>
  <c r="AB89" i="78"/>
  <c r="AB102" i="78"/>
  <c r="AB88" i="78"/>
  <c r="AB99" i="78"/>
  <c r="AB87" i="78"/>
  <c r="AB98" i="78"/>
  <c r="AB86" i="78"/>
  <c r="AB95" i="78"/>
  <c r="AB106" i="78"/>
  <c r="AB94" i="78"/>
  <c r="AB96" i="78"/>
  <c r="AB91" i="78"/>
  <c r="AB90" i="78"/>
  <c r="AB82" i="78"/>
  <c r="AB103" i="78"/>
  <c r="AB104" i="78"/>
  <c r="M8" i="79"/>
  <c r="H35" i="78"/>
  <c r="B46" i="78"/>
  <c r="AL86" i="78" l="1"/>
  <c r="AI101" i="78"/>
  <c r="AI87" i="78"/>
  <c r="AI82" i="78"/>
  <c r="AI86" i="78"/>
  <c r="AM109" i="78"/>
  <c r="AM105" i="78"/>
  <c r="AM90" i="78"/>
  <c r="AI99" i="78"/>
  <c r="AI105" i="78"/>
  <c r="AI92" i="78"/>
  <c r="AM86" i="78"/>
  <c r="AI94" i="78"/>
  <c r="AM95" i="78"/>
  <c r="AM80" i="78"/>
  <c r="AI117" i="78"/>
  <c r="AM99" i="78"/>
  <c r="AI88" i="78"/>
  <c r="AM98" i="78"/>
  <c r="AI91" i="78"/>
  <c r="AJ43" i="78"/>
  <c r="AI109" i="78"/>
  <c r="AI89" i="78"/>
  <c r="AI90" i="78"/>
  <c r="AT6" i="78"/>
  <c r="AM94" i="78"/>
  <c r="AI100" i="78"/>
  <c r="AI97" i="78"/>
  <c r="AM103" i="78"/>
  <c r="AI43" i="78"/>
  <c r="AM88" i="78"/>
  <c r="AI93" i="78"/>
  <c r="AM82" i="78"/>
  <c r="AU6" i="78"/>
  <c r="AT107" i="78" s="1"/>
  <c r="AI83" i="78"/>
  <c r="AM85" i="78"/>
  <c r="AI84" i="78"/>
  <c r="AI80" i="78"/>
  <c r="AI104" i="78"/>
  <c r="AM97" i="78"/>
  <c r="AI102" i="78"/>
  <c r="AI96" i="78"/>
  <c r="AM93" i="78"/>
  <c r="AM104" i="78"/>
  <c r="AM89" i="78"/>
  <c r="AI107" i="78"/>
  <c r="AI95" i="78"/>
  <c r="AI85" i="78"/>
  <c r="AM91" i="78"/>
  <c r="AM87" i="78"/>
  <c r="AM43" i="78"/>
  <c r="AI106" i="78"/>
  <c r="AI103" i="78"/>
  <c r="AM106" i="78"/>
  <c r="AM101" i="78"/>
  <c r="AX6" i="78"/>
  <c r="AI98" i="78"/>
  <c r="AM102" i="78"/>
  <c r="AM96" i="78"/>
  <c r="AL94" i="78"/>
  <c r="AM83" i="78"/>
  <c r="AM84" i="78"/>
  <c r="AL103" i="78"/>
  <c r="AL106" i="78"/>
  <c r="AM92" i="78"/>
  <c r="AL93" i="78"/>
  <c r="AL80" i="78"/>
  <c r="AL96" i="78"/>
  <c r="AL100" i="78"/>
  <c r="AL99" i="78"/>
  <c r="AM100" i="78"/>
  <c r="AL84" i="78"/>
  <c r="AL102" i="78"/>
  <c r="AL98" i="78"/>
  <c r="AL91" i="78"/>
  <c r="AL90" i="78"/>
  <c r="AL109" i="78"/>
  <c r="AL87" i="78"/>
  <c r="AL97" i="78"/>
  <c r="AL101" i="78"/>
  <c r="AL117" i="78"/>
  <c r="AL95" i="78"/>
  <c r="AL82" i="78"/>
  <c r="AL85" i="78"/>
  <c r="AL89" i="78"/>
  <c r="AL104" i="78"/>
  <c r="AL92" i="78"/>
  <c r="AL107" i="78"/>
  <c r="AM107" i="78"/>
  <c r="AM117" i="78"/>
  <c r="AJ107" i="78"/>
  <c r="AL83" i="78"/>
  <c r="AL88" i="78"/>
  <c r="AK107" i="78"/>
  <c r="AL43" i="78"/>
  <c r="AW6" i="78"/>
  <c r="AW117" i="78" s="1"/>
  <c r="AH1" i="78"/>
  <c r="AH38" i="78" s="1"/>
  <c r="AK93" i="78"/>
  <c r="AK87" i="78"/>
  <c r="AJ106" i="78"/>
  <c r="AJ102" i="78"/>
  <c r="AJ93" i="78"/>
  <c r="AJ103" i="78"/>
  <c r="AK43" i="78"/>
  <c r="AK102" i="78"/>
  <c r="AJ99" i="78"/>
  <c r="AJ86" i="78"/>
  <c r="AK85" i="78"/>
  <c r="AK117" i="78"/>
  <c r="AJ109" i="78"/>
  <c r="AK96" i="78"/>
  <c r="AK88" i="78"/>
  <c r="AJ100" i="78"/>
  <c r="AJ89" i="78"/>
  <c r="AJ87" i="78"/>
  <c r="AK94" i="78"/>
  <c r="AK105" i="78"/>
  <c r="AJ83" i="78"/>
  <c r="AK92" i="78"/>
  <c r="AJ117" i="78"/>
  <c r="AK91" i="78"/>
  <c r="AV6" i="78"/>
  <c r="AJ98" i="78"/>
  <c r="AK89" i="78"/>
  <c r="AJ96" i="78"/>
  <c r="AJ97" i="78"/>
  <c r="AK80" i="78"/>
  <c r="AK97" i="78"/>
  <c r="F146" i="78"/>
  <c r="Q146" i="78"/>
  <c r="S35" i="78"/>
  <c r="S72" i="78" s="1"/>
  <c r="S109" i="78" s="1"/>
  <c r="AJ101" i="78"/>
  <c r="AJ88" i="78"/>
  <c r="AJ105" i="78"/>
  <c r="AJ94" i="78"/>
  <c r="AJ90" i="78"/>
  <c r="AK103" i="78"/>
  <c r="AK106" i="78"/>
  <c r="AK100" i="78"/>
  <c r="AK99" i="78"/>
  <c r="H72" i="78"/>
  <c r="H109" i="78" s="1"/>
  <c r="I109" i="78"/>
  <c r="AE109" i="78"/>
  <c r="AE72" i="78"/>
  <c r="AD35" i="78"/>
  <c r="AF35" i="78" s="1"/>
  <c r="AF72" i="78" s="1"/>
  <c r="AF109" i="78" s="1"/>
  <c r="AB146" i="78"/>
  <c r="AJ84" i="78"/>
  <c r="AK98" i="78"/>
  <c r="AK104" i="78"/>
  <c r="AK101" i="78"/>
  <c r="AK95" i="78"/>
  <c r="AJ80" i="78"/>
  <c r="AJ91" i="78"/>
  <c r="AJ85" i="78"/>
  <c r="AK82" i="78"/>
  <c r="AK109" i="78"/>
  <c r="AK86" i="78"/>
  <c r="AJ104" i="78"/>
  <c r="AJ92" i="78"/>
  <c r="AJ82" i="78"/>
  <c r="AJ95" i="78"/>
  <c r="AK90" i="78"/>
  <c r="AK84" i="78"/>
  <c r="AK83" i="78"/>
  <c r="AU43" i="78"/>
  <c r="BE6" i="78"/>
  <c r="AT43" i="78"/>
  <c r="AT104" i="78"/>
  <c r="AT82" i="78"/>
  <c r="AT85" i="78"/>
  <c r="AT95" i="78"/>
  <c r="C146" i="78"/>
  <c r="AB109" i="78"/>
  <c r="F109" i="78"/>
  <c r="C109" i="78"/>
  <c r="Y146" i="78"/>
  <c r="N109" i="78"/>
  <c r="Q109" i="78"/>
  <c r="Y109" i="78"/>
  <c r="N146" i="78"/>
  <c r="P17" i="52"/>
  <c r="O17" i="52"/>
  <c r="N17" i="52"/>
  <c r="P16" i="52"/>
  <c r="O16" i="52"/>
  <c r="N16" i="52"/>
  <c r="P15" i="52"/>
  <c r="O15" i="52"/>
  <c r="N15" i="52"/>
  <c r="P14" i="52"/>
  <c r="O14" i="52"/>
  <c r="N14" i="52"/>
  <c r="P13" i="52"/>
  <c r="O13" i="52"/>
  <c r="N13" i="52"/>
  <c r="P12" i="52"/>
  <c r="O12" i="52"/>
  <c r="N12" i="52"/>
  <c r="P11" i="52"/>
  <c r="O11" i="52"/>
  <c r="N11" i="52"/>
  <c r="P10" i="52"/>
  <c r="O10" i="52"/>
  <c r="N10" i="52"/>
  <c r="P9" i="52"/>
  <c r="O9" i="52"/>
  <c r="N9" i="52"/>
  <c r="L17" i="52"/>
  <c r="K17" i="52"/>
  <c r="J17" i="52"/>
  <c r="L16" i="52"/>
  <c r="K16" i="52"/>
  <c r="J16" i="52"/>
  <c r="L15" i="52"/>
  <c r="K15" i="52"/>
  <c r="J15" i="52"/>
  <c r="L14" i="52"/>
  <c r="K14" i="52"/>
  <c r="J14" i="52"/>
  <c r="L13" i="52"/>
  <c r="K13" i="52"/>
  <c r="J13" i="52"/>
  <c r="L12" i="52"/>
  <c r="K12" i="52"/>
  <c r="J12" i="52"/>
  <c r="L11" i="52"/>
  <c r="K11" i="52"/>
  <c r="J11" i="52"/>
  <c r="L10" i="52"/>
  <c r="K10" i="52"/>
  <c r="J10" i="52"/>
  <c r="L9" i="52"/>
  <c r="K9" i="52"/>
  <c r="J9" i="52"/>
  <c r="H17" i="52"/>
  <c r="G17" i="52"/>
  <c r="F17" i="52"/>
  <c r="H16" i="52"/>
  <c r="G16" i="52"/>
  <c r="F16" i="52"/>
  <c r="H15" i="52"/>
  <c r="G15" i="52"/>
  <c r="F15" i="52"/>
  <c r="H14" i="52"/>
  <c r="G14" i="52"/>
  <c r="F14" i="52"/>
  <c r="H13" i="52"/>
  <c r="G13" i="52"/>
  <c r="F13" i="52"/>
  <c r="H12" i="52"/>
  <c r="G12" i="52"/>
  <c r="F12" i="52"/>
  <c r="H11" i="52"/>
  <c r="G11" i="52"/>
  <c r="F11" i="52"/>
  <c r="H10" i="52"/>
  <c r="G10" i="52"/>
  <c r="F10" i="52"/>
  <c r="H9" i="52"/>
  <c r="G9" i="52"/>
  <c r="P92" i="52"/>
  <c r="O92" i="52"/>
  <c r="N92" i="52"/>
  <c r="L92" i="52"/>
  <c r="K92" i="52"/>
  <c r="J92" i="52"/>
  <c r="H92" i="52"/>
  <c r="G92" i="52"/>
  <c r="F92" i="52"/>
  <c r="P74" i="52"/>
  <c r="O74" i="52"/>
  <c r="N74" i="52"/>
  <c r="L74" i="52"/>
  <c r="K74" i="52"/>
  <c r="J74" i="52"/>
  <c r="H74" i="52"/>
  <c r="G74" i="52"/>
  <c r="F74" i="52"/>
  <c r="P62" i="52"/>
  <c r="O62" i="52"/>
  <c r="N62" i="52"/>
  <c r="L62" i="52"/>
  <c r="K62" i="52"/>
  <c r="J62" i="52"/>
  <c r="H62" i="52"/>
  <c r="G62" i="52"/>
  <c r="F62" i="52"/>
  <c r="P50" i="52"/>
  <c r="O50" i="52"/>
  <c r="N50" i="52"/>
  <c r="L50" i="52"/>
  <c r="K50" i="52"/>
  <c r="J50" i="52"/>
  <c r="H50" i="52"/>
  <c r="G50" i="52"/>
  <c r="F50" i="52"/>
  <c r="P32" i="52"/>
  <c r="O32" i="52"/>
  <c r="N32" i="52"/>
  <c r="L32" i="52"/>
  <c r="K32" i="52"/>
  <c r="J32" i="52"/>
  <c r="H32" i="52"/>
  <c r="G32" i="52"/>
  <c r="F32" i="52"/>
  <c r="P20" i="52"/>
  <c r="O20" i="52"/>
  <c r="N20" i="52"/>
  <c r="L20" i="52"/>
  <c r="K20" i="52"/>
  <c r="J20" i="52"/>
  <c r="H20" i="52"/>
  <c r="G20" i="52"/>
  <c r="F20" i="52"/>
  <c r="O26" i="76"/>
  <c r="P26" i="76"/>
  <c r="Q26" i="76"/>
  <c r="R26" i="76"/>
  <c r="S26" i="76"/>
  <c r="T26" i="76"/>
  <c r="U26" i="76"/>
  <c r="V26" i="76"/>
  <c r="W26" i="76"/>
  <c r="X26" i="76"/>
  <c r="Y26" i="76"/>
  <c r="Z26" i="76"/>
  <c r="AA26" i="76"/>
  <c r="AB26" i="76"/>
  <c r="AC26" i="76"/>
  <c r="AD26" i="76"/>
  <c r="N26" i="76"/>
  <c r="AB22" i="76"/>
  <c r="AC22" i="76"/>
  <c r="O9" i="76"/>
  <c r="P9" i="76"/>
  <c r="Q9" i="76"/>
  <c r="R9" i="76"/>
  <c r="S9" i="76"/>
  <c r="T9" i="76"/>
  <c r="U9" i="76"/>
  <c r="V9" i="76"/>
  <c r="W9" i="76"/>
  <c r="X9" i="76"/>
  <c r="Y9" i="76"/>
  <c r="Z9" i="76"/>
  <c r="AA9" i="76"/>
  <c r="AB9" i="76"/>
  <c r="AC9" i="76"/>
  <c r="AD9" i="76"/>
  <c r="AT103" i="78" l="1"/>
  <c r="AT93" i="78"/>
  <c r="BF6" i="78"/>
  <c r="AT109" i="78"/>
  <c r="AT80" i="78"/>
  <c r="AT96" i="78"/>
  <c r="AT101" i="78"/>
  <c r="AT89" i="78"/>
  <c r="AT99" i="78"/>
  <c r="AT84" i="78"/>
  <c r="AT88" i="78"/>
  <c r="AT86" i="78"/>
  <c r="AT94" i="78"/>
  <c r="AT90" i="78"/>
  <c r="AT98" i="78"/>
  <c r="AT92" i="78"/>
  <c r="AT100" i="78"/>
  <c r="AT117" i="78"/>
  <c r="AT83" i="78"/>
  <c r="AT105" i="78"/>
  <c r="AT97" i="78"/>
  <c r="AW103" i="78"/>
  <c r="AT87" i="78"/>
  <c r="AT91" i="78"/>
  <c r="AX101" i="78"/>
  <c r="AT106" i="78"/>
  <c r="AT102" i="78"/>
  <c r="AX106" i="78"/>
  <c r="AS1" i="78"/>
  <c r="AX86" i="78"/>
  <c r="AX94" i="78"/>
  <c r="AX105" i="78"/>
  <c r="AX103" i="78"/>
  <c r="AX83" i="78"/>
  <c r="AX92" i="78"/>
  <c r="AX99" i="78"/>
  <c r="AX88" i="78"/>
  <c r="AW100" i="78"/>
  <c r="AW89" i="78"/>
  <c r="AX97" i="78"/>
  <c r="AX93" i="78"/>
  <c r="AX104" i="78"/>
  <c r="AX98" i="78"/>
  <c r="AX109" i="78"/>
  <c r="AW105" i="78"/>
  <c r="AX85" i="78"/>
  <c r="AX90" i="78"/>
  <c r="AX82" i="78"/>
  <c r="AX100" i="78"/>
  <c r="AW102" i="78"/>
  <c r="AW104" i="78"/>
  <c r="AX87" i="78"/>
  <c r="AX91" i="78"/>
  <c r="AX84" i="78"/>
  <c r="AX95" i="78"/>
  <c r="AX43" i="78"/>
  <c r="AW92" i="78"/>
  <c r="AW99" i="78"/>
  <c r="AX102" i="78"/>
  <c r="AX89" i="78"/>
  <c r="BI6" i="78"/>
  <c r="BD1" i="78" s="1"/>
  <c r="AW90" i="78"/>
  <c r="AX96" i="78"/>
  <c r="AX80" i="78"/>
  <c r="AW96" i="78"/>
  <c r="AW86" i="78"/>
  <c r="AX107" i="78"/>
  <c r="AW87" i="78"/>
  <c r="AW82" i="78"/>
  <c r="AW98" i="78"/>
  <c r="AW97" i="78"/>
  <c r="AW88" i="78"/>
  <c r="AW84" i="78"/>
  <c r="AW94" i="78"/>
  <c r="AW109" i="78"/>
  <c r="AW93" i="78"/>
  <c r="AW80" i="78"/>
  <c r="AW106" i="78"/>
  <c r="AW101" i="78"/>
  <c r="AW83" i="78"/>
  <c r="AW95" i="78"/>
  <c r="AW85" i="78"/>
  <c r="AH75" i="78"/>
  <c r="AH112" i="78"/>
  <c r="BI107" i="78"/>
  <c r="AV107" i="78"/>
  <c r="BH6" i="78"/>
  <c r="BH92" i="78" s="1"/>
  <c r="AW43" i="78"/>
  <c r="AW107" i="78"/>
  <c r="AW91" i="78"/>
  <c r="BE107" i="78"/>
  <c r="AX117" i="78"/>
  <c r="AU107" i="78"/>
  <c r="U22" i="76"/>
  <c r="U49" i="76" s="1"/>
  <c r="U82" i="76" s="1"/>
  <c r="T22" i="76"/>
  <c r="T49" i="76" s="1"/>
  <c r="V22" i="76"/>
  <c r="S22" i="76"/>
  <c r="AD22" i="76"/>
  <c r="AD49" i="76" s="1"/>
  <c r="AD82" i="76" s="1"/>
  <c r="Q22" i="76"/>
  <c r="Q49" i="76" s="1"/>
  <c r="Z22" i="76"/>
  <c r="N22" i="76"/>
  <c r="O22" i="76"/>
  <c r="O49" i="76" s="1"/>
  <c r="O82" i="76" s="1"/>
  <c r="Y22" i="76"/>
  <c r="Y49" i="76" s="1"/>
  <c r="R22" i="76"/>
  <c r="R49" i="76" s="1"/>
  <c r="AA22" i="76"/>
  <c r="X22" i="76"/>
  <c r="X49" i="76" s="1"/>
  <c r="X82" i="76" s="1"/>
  <c r="P22" i="76"/>
  <c r="W22" i="76"/>
  <c r="W49" i="76" s="1"/>
  <c r="W82" i="76" s="1"/>
  <c r="AV95" i="78"/>
  <c r="AV91" i="78"/>
  <c r="AU104" i="78"/>
  <c r="AU101" i="78"/>
  <c r="AV117" i="78"/>
  <c r="AU88" i="78"/>
  <c r="AU96" i="78"/>
  <c r="BG6" i="78"/>
  <c r="AV96" i="78"/>
  <c r="AU103" i="78"/>
  <c r="AV94" i="78"/>
  <c r="AU105" i="78"/>
  <c r="AV97" i="78"/>
  <c r="AV103" i="78"/>
  <c r="AU87" i="78"/>
  <c r="AU100" i="78"/>
  <c r="AU80" i="78"/>
  <c r="AV90" i="78"/>
  <c r="AV101" i="78"/>
  <c r="AU90" i="78"/>
  <c r="AU92" i="78"/>
  <c r="AU89" i="78"/>
  <c r="AV88" i="78"/>
  <c r="AV80" i="78"/>
  <c r="AU86" i="78"/>
  <c r="AV43" i="78"/>
  <c r="AV105" i="78"/>
  <c r="AV84" i="78"/>
  <c r="AV83" i="78"/>
  <c r="AU98" i="78"/>
  <c r="AU106" i="78"/>
  <c r="AU95" i="78"/>
  <c r="AU85" i="78"/>
  <c r="AV98" i="78"/>
  <c r="AV86" i="78"/>
  <c r="AV92" i="78"/>
  <c r="AV100" i="78"/>
  <c r="AU117" i="78"/>
  <c r="AU91" i="78"/>
  <c r="AU83" i="78"/>
  <c r="AV82" i="78"/>
  <c r="AV109" i="78"/>
  <c r="AV102" i="78"/>
  <c r="AU94" i="78"/>
  <c r="AU97" i="78"/>
  <c r="AU99" i="78"/>
  <c r="AV93" i="78"/>
  <c r="AV85" i="78"/>
  <c r="AV99" i="78"/>
  <c r="AU82" i="78"/>
  <c r="AU102" i="78"/>
  <c r="AU109" i="78"/>
  <c r="AU84" i="78"/>
  <c r="AU93" i="78"/>
  <c r="AV106" i="78"/>
  <c r="AV89" i="78"/>
  <c r="AV87" i="78"/>
  <c r="AV104" i="78"/>
  <c r="AB49" i="76"/>
  <c r="AD72" i="78"/>
  <c r="AD109" i="78" s="1"/>
  <c r="V8" i="79"/>
  <c r="AD35" i="79"/>
  <c r="Z35" i="79"/>
  <c r="AE35" i="79"/>
  <c r="Y35" i="79"/>
  <c r="AF35" i="79"/>
  <c r="AG35" i="79"/>
  <c r="AB35" i="79"/>
  <c r="AC35" i="79"/>
  <c r="AA35" i="79"/>
  <c r="BT6" i="78"/>
  <c r="BI43" i="78"/>
  <c r="BQ6" i="78"/>
  <c r="BI97" i="78"/>
  <c r="BI83" i="78"/>
  <c r="BI103" i="78"/>
  <c r="BI94" i="78"/>
  <c r="BI90" i="78"/>
  <c r="BI92" i="78"/>
  <c r="BI91" i="78"/>
  <c r="BI99" i="78"/>
  <c r="BI93" i="78"/>
  <c r="BI106" i="78"/>
  <c r="BI109" i="78"/>
  <c r="BI100" i="78"/>
  <c r="BF43" i="78"/>
  <c r="BI96" i="78"/>
  <c r="BI89" i="78"/>
  <c r="BI80" i="78"/>
  <c r="BI104" i="78"/>
  <c r="BI95" i="78"/>
  <c r="BI86" i="78"/>
  <c r="BI82" i="78"/>
  <c r="BI87" i="78"/>
  <c r="BI101" i="78"/>
  <c r="BI88" i="78"/>
  <c r="BI102" i="78"/>
  <c r="BI98" i="78"/>
  <c r="BI84" i="78"/>
  <c r="BI85" i="78"/>
  <c r="BI105" i="78"/>
  <c r="BE117" i="78"/>
  <c r="BE85" i="78"/>
  <c r="BE98" i="78"/>
  <c r="BE105" i="78"/>
  <c r="BE103" i="78"/>
  <c r="BE95" i="78"/>
  <c r="BE88" i="78"/>
  <c r="BE87" i="78"/>
  <c r="BE43" i="78"/>
  <c r="BE106" i="78"/>
  <c r="BE90" i="78"/>
  <c r="BE97" i="78"/>
  <c r="BE104" i="78"/>
  <c r="BE101" i="78"/>
  <c r="BE93" i="78"/>
  <c r="BE89" i="78"/>
  <c r="BP6" i="78"/>
  <c r="BE96" i="78"/>
  <c r="BE80" i="78"/>
  <c r="BE82" i="78"/>
  <c r="BE100" i="78"/>
  <c r="BE84" i="78"/>
  <c r="BE109" i="78"/>
  <c r="BE102" i="78"/>
  <c r="BE92" i="78"/>
  <c r="BE99" i="78"/>
  <c r="BE83" i="78"/>
  <c r="BE86" i="78"/>
  <c r="BE94" i="78"/>
  <c r="BE91" i="78"/>
  <c r="AS112" i="78"/>
  <c r="AS75" i="78"/>
  <c r="AS38" i="78"/>
  <c r="AC49" i="76"/>
  <c r="B20" i="52"/>
  <c r="F8" i="52"/>
  <c r="C13" i="52"/>
  <c r="C14" i="52"/>
  <c r="C9" i="52"/>
  <c r="B12" i="52"/>
  <c r="C17" i="52"/>
  <c r="D20" i="52"/>
  <c r="B15" i="52"/>
  <c r="C16" i="52"/>
  <c r="B32" i="52"/>
  <c r="B17" i="52"/>
  <c r="C10" i="52"/>
  <c r="D13" i="52"/>
  <c r="C50" i="52"/>
  <c r="C11" i="52"/>
  <c r="B14" i="52"/>
  <c r="D16" i="52"/>
  <c r="C32" i="52"/>
  <c r="D14" i="52"/>
  <c r="D9" i="52"/>
  <c r="C12" i="52"/>
  <c r="D17" i="52"/>
  <c r="D74" i="52"/>
  <c r="B10" i="52"/>
  <c r="D12" i="52"/>
  <c r="C15" i="52"/>
  <c r="D10" i="52"/>
  <c r="B16" i="52"/>
  <c r="B13" i="52"/>
  <c r="D15" i="52"/>
  <c r="D62" i="52"/>
  <c r="D50" i="52"/>
  <c r="C62" i="52"/>
  <c r="B74" i="52"/>
  <c r="D92" i="52"/>
  <c r="C20" i="52"/>
  <c r="D32" i="52"/>
  <c r="B62" i="52"/>
  <c r="C74" i="52"/>
  <c r="C92" i="52"/>
  <c r="O8" i="52"/>
  <c r="AG11" i="21"/>
  <c r="AG38" i="21" s="1"/>
  <c r="AF11" i="21"/>
  <c r="AF38" i="21" s="1"/>
  <c r="AE11" i="21"/>
  <c r="AE38" i="21" s="1"/>
  <c r="AC11" i="21"/>
  <c r="AC38" i="21" s="1"/>
  <c r="AB11" i="21"/>
  <c r="AB38" i="21" s="1"/>
  <c r="AA11" i="21"/>
  <c r="AA38" i="21" s="1"/>
  <c r="Z11" i="21"/>
  <c r="Z38" i="21" s="1"/>
  <c r="Y11" i="21"/>
  <c r="Y38" i="21" s="1"/>
  <c r="X11" i="21"/>
  <c r="X38" i="21" s="1"/>
  <c r="W11" i="21"/>
  <c r="W38" i="21" s="1"/>
  <c r="V11" i="21"/>
  <c r="V38" i="21" s="1"/>
  <c r="U11" i="21"/>
  <c r="U38" i="21" s="1"/>
  <c r="T11" i="21"/>
  <c r="T38" i="21" s="1"/>
  <c r="S11" i="21"/>
  <c r="S38" i="21" s="1"/>
  <c r="R11" i="21"/>
  <c r="R38" i="21" s="1"/>
  <c r="C180" i="71"/>
  <c r="E180" i="71"/>
  <c r="BH89" i="78" l="1"/>
  <c r="BH99" i="78"/>
  <c r="BH96" i="78"/>
  <c r="BH88" i="78"/>
  <c r="BH93" i="78"/>
  <c r="BH109" i="78"/>
  <c r="BH100" i="78"/>
  <c r="BH97" i="78"/>
  <c r="BH117" i="78"/>
  <c r="BH85" i="78"/>
  <c r="BH104" i="78"/>
  <c r="BH91" i="78"/>
  <c r="BH106" i="78"/>
  <c r="BH105" i="78"/>
  <c r="BH80" i="78"/>
  <c r="BH102" i="78"/>
  <c r="BH90" i="78"/>
  <c r="BH103" i="78"/>
  <c r="BH82" i="78"/>
  <c r="BH94" i="78"/>
  <c r="BH84" i="78"/>
  <c r="BH83" i="78"/>
  <c r="BH95" i="78"/>
  <c r="BH86" i="78"/>
  <c r="BI117" i="78"/>
  <c r="BF107" i="78"/>
  <c r="BT107" i="78"/>
  <c r="BG107" i="78"/>
  <c r="BS6" i="78"/>
  <c r="BH43" i="78"/>
  <c r="BH87" i="78"/>
  <c r="BH107" i="78"/>
  <c r="BP107" i="78"/>
  <c r="BH101" i="78"/>
  <c r="BH98" i="78"/>
  <c r="BO1" i="78"/>
  <c r="AB73" i="76"/>
  <c r="AB82" i="76"/>
  <c r="Q73" i="76"/>
  <c r="Q82" i="76"/>
  <c r="AC69" i="76"/>
  <c r="AC82" i="76"/>
  <c r="T73" i="76"/>
  <c r="T82" i="76"/>
  <c r="R73" i="76"/>
  <c r="R82" i="76"/>
  <c r="Y73" i="76"/>
  <c r="Y82" i="76"/>
  <c r="D180" i="71"/>
  <c r="H180" i="71" s="1"/>
  <c r="M7" i="75" s="1"/>
  <c r="T56" i="76"/>
  <c r="AC73" i="76"/>
  <c r="AB56" i="76"/>
  <c r="AD65" i="76"/>
  <c r="AD70" i="76"/>
  <c r="AD80" i="76"/>
  <c r="AD60" i="76"/>
  <c r="AD75" i="76"/>
  <c r="AD74" i="76"/>
  <c r="AD54" i="76"/>
  <c r="AD59" i="76"/>
  <c r="AD64" i="76"/>
  <c r="AD53" i="76"/>
  <c r="AD58" i="76"/>
  <c r="AD63" i="76"/>
  <c r="AD67" i="76"/>
  <c r="AD77" i="76"/>
  <c r="AD89" i="76"/>
  <c r="AD94" i="76"/>
  <c r="AD57" i="76"/>
  <c r="AD66" i="76"/>
  <c r="AD81" i="76"/>
  <c r="AD85" i="76"/>
  <c r="AD71" i="76"/>
  <c r="AD93" i="76"/>
  <c r="AD86" i="76"/>
  <c r="AD96" i="76"/>
  <c r="AD76" i="76"/>
  <c r="AD90" i="76"/>
  <c r="AD79" i="76"/>
  <c r="AD88" i="76"/>
  <c r="AD84" i="76"/>
  <c r="AD92" i="76"/>
  <c r="AD62" i="76"/>
  <c r="AD52" i="76"/>
  <c r="AB60" i="76"/>
  <c r="AB65" i="76"/>
  <c r="AB70" i="76"/>
  <c r="AB75" i="76"/>
  <c r="AB80" i="76"/>
  <c r="AB86" i="76"/>
  <c r="AB54" i="76"/>
  <c r="AB59" i="76"/>
  <c r="AB64" i="76"/>
  <c r="AB74" i="76"/>
  <c r="AB53" i="76"/>
  <c r="AB58" i="76"/>
  <c r="AB63" i="76"/>
  <c r="AB67" i="76"/>
  <c r="AB77" i="76"/>
  <c r="AB89" i="76"/>
  <c r="AB94" i="76"/>
  <c r="AB66" i="76"/>
  <c r="AB71" i="76"/>
  <c r="AB57" i="76"/>
  <c r="AB76" i="76"/>
  <c r="AB81" i="76"/>
  <c r="AB85" i="76"/>
  <c r="AB93" i="76"/>
  <c r="AB96" i="76"/>
  <c r="AB90" i="76"/>
  <c r="AB62" i="76"/>
  <c r="AB88" i="76"/>
  <c r="AB84" i="76"/>
  <c r="AB79" i="76"/>
  <c r="AB52" i="76"/>
  <c r="AB92" i="76"/>
  <c r="AD56" i="76"/>
  <c r="R75" i="76"/>
  <c r="R60" i="76"/>
  <c r="R65" i="76"/>
  <c r="R70" i="76"/>
  <c r="R80" i="76"/>
  <c r="R74" i="76"/>
  <c r="R54" i="76"/>
  <c r="R59" i="76"/>
  <c r="R64" i="76"/>
  <c r="R53" i="76"/>
  <c r="R58" i="76"/>
  <c r="R63" i="76"/>
  <c r="R67" i="76"/>
  <c r="R77" i="76"/>
  <c r="R89" i="76"/>
  <c r="R94" i="76"/>
  <c r="R57" i="76"/>
  <c r="R66" i="76"/>
  <c r="R71" i="76"/>
  <c r="R86" i="76"/>
  <c r="R85" i="76"/>
  <c r="R96" i="76"/>
  <c r="R90" i="76"/>
  <c r="R76" i="76"/>
  <c r="R81" i="76"/>
  <c r="R93" i="76"/>
  <c r="R79" i="76"/>
  <c r="R52" i="76"/>
  <c r="R84" i="76"/>
  <c r="R62" i="76"/>
  <c r="R88" i="76"/>
  <c r="R92" i="76"/>
  <c r="R69" i="76"/>
  <c r="Q69" i="76"/>
  <c r="X67" i="76"/>
  <c r="X53" i="76"/>
  <c r="X58" i="76"/>
  <c r="X63" i="76"/>
  <c r="X77" i="76"/>
  <c r="X76" i="76"/>
  <c r="X81" i="76"/>
  <c r="X57" i="76"/>
  <c r="X66" i="76"/>
  <c r="X71" i="76"/>
  <c r="X60" i="76"/>
  <c r="X65" i="76"/>
  <c r="X70" i="76"/>
  <c r="X75" i="76"/>
  <c r="X80" i="76"/>
  <c r="X86" i="76"/>
  <c r="X54" i="76"/>
  <c r="X59" i="76"/>
  <c r="X64" i="76"/>
  <c r="X93" i="76"/>
  <c r="X96" i="76"/>
  <c r="X74" i="76"/>
  <c r="X90" i="76"/>
  <c r="X85" i="76"/>
  <c r="X94" i="76"/>
  <c r="X89" i="76"/>
  <c r="X88" i="76"/>
  <c r="X84" i="76"/>
  <c r="X92" i="76"/>
  <c r="X79" i="76"/>
  <c r="X52" i="76"/>
  <c r="X62" i="76"/>
  <c r="O54" i="76"/>
  <c r="O59" i="76"/>
  <c r="O64" i="76"/>
  <c r="O74" i="76"/>
  <c r="O85" i="76"/>
  <c r="O53" i="76"/>
  <c r="O67" i="76"/>
  <c r="O58" i="76"/>
  <c r="O63" i="76"/>
  <c r="O77" i="76"/>
  <c r="O57" i="76"/>
  <c r="O66" i="76"/>
  <c r="O71" i="76"/>
  <c r="O76" i="76"/>
  <c r="O81" i="76"/>
  <c r="O93" i="76"/>
  <c r="O60" i="76"/>
  <c r="O65" i="76"/>
  <c r="O70" i="76"/>
  <c r="O86" i="76"/>
  <c r="O96" i="76"/>
  <c r="O90" i="76"/>
  <c r="O75" i="76"/>
  <c r="O89" i="76"/>
  <c r="O80" i="76"/>
  <c r="O94" i="76"/>
  <c r="O92" i="76"/>
  <c r="O84" i="76"/>
  <c r="O79" i="76"/>
  <c r="O52" i="76"/>
  <c r="O62" i="76"/>
  <c r="O88" i="76"/>
  <c r="Y69" i="76"/>
  <c r="AD73" i="76"/>
  <c r="R56" i="76"/>
  <c r="AD69" i="76"/>
  <c r="Y54" i="76"/>
  <c r="Y59" i="76"/>
  <c r="Y64" i="76"/>
  <c r="Y74" i="76"/>
  <c r="Y85" i="76"/>
  <c r="Y90" i="76"/>
  <c r="Y96" i="76"/>
  <c r="Y53" i="76"/>
  <c r="Y58" i="76"/>
  <c r="Y63" i="76"/>
  <c r="Y67" i="76"/>
  <c r="Y77" i="76"/>
  <c r="Y57" i="76"/>
  <c r="Y66" i="76"/>
  <c r="Y71" i="76"/>
  <c r="Y76" i="76"/>
  <c r="Y81" i="76"/>
  <c r="Y93" i="76"/>
  <c r="Y70" i="76"/>
  <c r="Y75" i="76"/>
  <c r="Y60" i="76"/>
  <c r="Y65" i="76"/>
  <c r="Y89" i="76"/>
  <c r="Y86" i="76"/>
  <c r="Y80" i="76"/>
  <c r="Y94" i="76"/>
  <c r="Y88" i="76"/>
  <c r="Y79" i="76"/>
  <c r="Y92" i="76"/>
  <c r="Y62" i="76"/>
  <c r="Y84" i="76"/>
  <c r="Y52" i="76"/>
  <c r="Z49" i="76"/>
  <c r="Z82" i="76" s="1"/>
  <c r="X73" i="76"/>
  <c r="O73" i="76"/>
  <c r="X56" i="76"/>
  <c r="T69" i="76"/>
  <c r="U71" i="76"/>
  <c r="U76" i="76"/>
  <c r="U81" i="76"/>
  <c r="U57" i="76"/>
  <c r="U66" i="76"/>
  <c r="U65" i="76"/>
  <c r="U70" i="76"/>
  <c r="U80" i="76"/>
  <c r="U60" i="76"/>
  <c r="U75" i="76"/>
  <c r="U54" i="76"/>
  <c r="U59" i="76"/>
  <c r="U64" i="76"/>
  <c r="U74" i="76"/>
  <c r="U85" i="76"/>
  <c r="U90" i="76"/>
  <c r="U96" i="76"/>
  <c r="U53" i="76"/>
  <c r="U58" i="76"/>
  <c r="U63" i="76"/>
  <c r="U67" i="76"/>
  <c r="U77" i="76"/>
  <c r="U93" i="76"/>
  <c r="U94" i="76"/>
  <c r="U86" i="76"/>
  <c r="U89" i="76"/>
  <c r="U62" i="76"/>
  <c r="U88" i="76"/>
  <c r="U92" i="76"/>
  <c r="U84" i="76"/>
  <c r="U52" i="76"/>
  <c r="U79" i="76"/>
  <c r="AA49" i="76"/>
  <c r="X69" i="76"/>
  <c r="O69" i="76"/>
  <c r="Q60" i="76"/>
  <c r="Q65" i="76"/>
  <c r="Q70" i="76"/>
  <c r="Q75" i="76"/>
  <c r="Q80" i="76"/>
  <c r="Q86" i="76"/>
  <c r="Q54" i="76"/>
  <c r="Q59" i="76"/>
  <c r="Q64" i="76"/>
  <c r="Q74" i="76"/>
  <c r="Q85" i="76"/>
  <c r="Q90" i="76"/>
  <c r="Q96" i="76"/>
  <c r="Q53" i="76"/>
  <c r="Q58" i="76"/>
  <c r="Q63" i="76"/>
  <c r="Q67" i="76"/>
  <c r="Q77" i="76"/>
  <c r="Q89" i="76"/>
  <c r="Q94" i="76"/>
  <c r="Q57" i="76"/>
  <c r="Q66" i="76"/>
  <c r="Q71" i="76"/>
  <c r="Q76" i="76"/>
  <c r="Q81" i="76"/>
  <c r="Q93" i="76"/>
  <c r="Q62" i="76"/>
  <c r="Q84" i="76"/>
  <c r="Q88" i="76"/>
  <c r="Q92" i="76"/>
  <c r="Q79" i="76"/>
  <c r="Q52" i="76"/>
  <c r="AC60" i="76"/>
  <c r="AC65" i="76"/>
  <c r="AC70" i="76"/>
  <c r="AC75" i="76"/>
  <c r="AC80" i="76"/>
  <c r="AC86" i="76"/>
  <c r="AC54" i="76"/>
  <c r="AC59" i="76"/>
  <c r="AC64" i="76"/>
  <c r="AC74" i="76"/>
  <c r="AC85" i="76"/>
  <c r="AC90" i="76"/>
  <c r="AC96" i="76"/>
  <c r="AC53" i="76"/>
  <c r="AC58" i="76"/>
  <c r="AC63" i="76"/>
  <c r="AC67" i="76"/>
  <c r="AC77" i="76"/>
  <c r="AC89" i="76"/>
  <c r="AC94" i="76"/>
  <c r="AC57" i="76"/>
  <c r="AC66" i="76"/>
  <c r="AC71" i="76"/>
  <c r="AC76" i="76"/>
  <c r="AC81" i="76"/>
  <c r="AC93" i="76"/>
  <c r="AC88" i="76"/>
  <c r="AC92" i="76"/>
  <c r="AC84" i="76"/>
  <c r="AC79" i="76"/>
  <c r="AC62" i="76"/>
  <c r="AC52" i="76"/>
  <c r="Q56" i="76"/>
  <c r="U56" i="76"/>
  <c r="U73" i="76"/>
  <c r="W53" i="76"/>
  <c r="W58" i="76"/>
  <c r="W63" i="76"/>
  <c r="W67" i="76"/>
  <c r="W77" i="76"/>
  <c r="W89" i="76"/>
  <c r="W94" i="76"/>
  <c r="W57" i="76"/>
  <c r="W66" i="76"/>
  <c r="W71" i="76"/>
  <c r="W76" i="76"/>
  <c r="W81" i="76"/>
  <c r="W93" i="76"/>
  <c r="W60" i="76"/>
  <c r="W65" i="76"/>
  <c r="W70" i="76"/>
  <c r="W75" i="76"/>
  <c r="W80" i="76"/>
  <c r="W86" i="76"/>
  <c r="W54" i="76"/>
  <c r="W59" i="76"/>
  <c r="W64" i="76"/>
  <c r="W74" i="76"/>
  <c r="W85" i="76"/>
  <c r="W90" i="76"/>
  <c r="W96" i="76"/>
  <c r="W62" i="76"/>
  <c r="W52" i="76"/>
  <c r="W88" i="76"/>
  <c r="W84" i="76"/>
  <c r="W79" i="76"/>
  <c r="W92" i="76"/>
  <c r="Y56" i="76"/>
  <c r="T57" i="76"/>
  <c r="T66" i="76"/>
  <c r="T71" i="76"/>
  <c r="T76" i="76"/>
  <c r="T81" i="76"/>
  <c r="T93" i="76"/>
  <c r="T60" i="76"/>
  <c r="T65" i="76"/>
  <c r="T70" i="76"/>
  <c r="T75" i="76"/>
  <c r="T80" i="76"/>
  <c r="T86" i="76"/>
  <c r="T54" i="76"/>
  <c r="T59" i="76"/>
  <c r="T64" i="76"/>
  <c r="T74" i="76"/>
  <c r="T85" i="76"/>
  <c r="T90" i="76"/>
  <c r="T96" i="76"/>
  <c r="T53" i="76"/>
  <c r="T58" i="76"/>
  <c r="T63" i="76"/>
  <c r="T67" i="76"/>
  <c r="T77" i="76"/>
  <c r="T89" i="76"/>
  <c r="T94" i="76"/>
  <c r="T84" i="76"/>
  <c r="T52" i="76"/>
  <c r="T88" i="76"/>
  <c r="T79" i="76"/>
  <c r="T62" i="76"/>
  <c r="T92" i="76"/>
  <c r="W73" i="76"/>
  <c r="AC56" i="76"/>
  <c r="W56" i="76"/>
  <c r="U69" i="76"/>
  <c r="S49" i="76"/>
  <c r="S82" i="76" s="1"/>
  <c r="P49" i="76"/>
  <c r="P82" i="76" s="1"/>
  <c r="V49" i="76"/>
  <c r="V82" i="76" s="1"/>
  <c r="W69" i="76"/>
  <c r="N49" i="76"/>
  <c r="AB69" i="76"/>
  <c r="O56" i="76"/>
  <c r="BF109" i="78"/>
  <c r="BG93" i="78"/>
  <c r="BG43" i="78"/>
  <c r="BF99" i="78"/>
  <c r="BF101" i="78"/>
  <c r="BG100" i="78"/>
  <c r="BF80" i="78"/>
  <c r="BG97" i="78"/>
  <c r="BF92" i="78"/>
  <c r="BF117" i="78"/>
  <c r="BF91" i="78"/>
  <c r="BF104" i="78"/>
  <c r="BG82" i="78"/>
  <c r="BG99" i="78"/>
  <c r="BG84" i="78"/>
  <c r="BF83" i="78"/>
  <c r="BG90" i="78"/>
  <c r="BG94" i="78"/>
  <c r="BG103" i="78"/>
  <c r="BF90" i="78"/>
  <c r="BG101" i="78"/>
  <c r="BF100" i="78"/>
  <c r="BF105" i="78"/>
  <c r="BF93" i="78"/>
  <c r="BF82" i="78"/>
  <c r="BF87" i="78"/>
  <c r="BF88" i="78"/>
  <c r="BG88" i="78"/>
  <c r="BG80" i="78"/>
  <c r="BG86" i="78"/>
  <c r="BF106" i="78"/>
  <c r="BF84" i="78"/>
  <c r="BF94" i="78"/>
  <c r="BG89" i="78"/>
  <c r="BG104" i="78"/>
  <c r="BG92" i="78"/>
  <c r="BR6" i="78"/>
  <c r="BF97" i="78"/>
  <c r="BG109" i="78"/>
  <c r="BG105" i="78"/>
  <c r="BF103" i="78"/>
  <c r="BF102" i="78"/>
  <c r="BG117" i="78"/>
  <c r="BG83" i="78"/>
  <c r="BG87" i="78"/>
  <c r="BG85" i="78"/>
  <c r="BF89" i="78"/>
  <c r="BF95" i="78"/>
  <c r="BG106" i="78"/>
  <c r="BG102" i="78"/>
  <c r="BF98" i="78"/>
  <c r="BF96" i="78"/>
  <c r="BF86" i="78"/>
  <c r="BF85" i="78"/>
  <c r="BG98" i="78"/>
  <c r="BG95" i="78"/>
  <c r="BG96" i="78"/>
  <c r="BG91" i="78"/>
  <c r="BS106" i="78"/>
  <c r="BS82" i="78"/>
  <c r="BS95" i="78"/>
  <c r="BS93" i="78"/>
  <c r="BS96" i="78"/>
  <c r="BS105" i="78"/>
  <c r="F109" i="71"/>
  <c r="F146" i="71"/>
  <c r="N109" i="75" s="1"/>
  <c r="B146" i="71"/>
  <c r="CE6" i="78"/>
  <c r="BT43" i="78"/>
  <c r="CB6" i="78"/>
  <c r="BT106" i="78"/>
  <c r="BT84" i="78"/>
  <c r="BT97" i="78"/>
  <c r="BT83" i="78"/>
  <c r="BT103" i="78"/>
  <c r="BT92" i="78"/>
  <c r="BQ43" i="78"/>
  <c r="BT91" i="78"/>
  <c r="BT90" i="78"/>
  <c r="BT89" i="78"/>
  <c r="BT109" i="78"/>
  <c r="BT88" i="78"/>
  <c r="BT94" i="78"/>
  <c r="BT93" i="78"/>
  <c r="BT87" i="78"/>
  <c r="BT85" i="78"/>
  <c r="BT95" i="78"/>
  <c r="BT86" i="78"/>
  <c r="BT82" i="78"/>
  <c r="BT98" i="78"/>
  <c r="BT100" i="78"/>
  <c r="BT105" i="78"/>
  <c r="BT96" i="78"/>
  <c r="BT102" i="78"/>
  <c r="BT99" i="78"/>
  <c r="BT80" i="78"/>
  <c r="BT104" i="78"/>
  <c r="BT101" i="78"/>
  <c r="BD75" i="78"/>
  <c r="BD112" i="78"/>
  <c r="BD38" i="78"/>
  <c r="BP117" i="78"/>
  <c r="BP104" i="78"/>
  <c r="BP93" i="78"/>
  <c r="BP102" i="78"/>
  <c r="CA6" i="78"/>
  <c r="BP96" i="78"/>
  <c r="BP88" i="78"/>
  <c r="BP85" i="78"/>
  <c r="BP95" i="78"/>
  <c r="BP87" i="78"/>
  <c r="BP103" i="78"/>
  <c r="BP80" i="78"/>
  <c r="BP105" i="78"/>
  <c r="BP97" i="78"/>
  <c r="BP94" i="78"/>
  <c r="BP89" i="78"/>
  <c r="BP86" i="78"/>
  <c r="BP101" i="78"/>
  <c r="BP106" i="78"/>
  <c r="BP109" i="78"/>
  <c r="BP100" i="78"/>
  <c r="BP91" i="78"/>
  <c r="BP99" i="78"/>
  <c r="BP82" i="78"/>
  <c r="BP83" i="78"/>
  <c r="BP84" i="78"/>
  <c r="BP92" i="78"/>
  <c r="BP43" i="78"/>
  <c r="BP90" i="78"/>
  <c r="BP98" i="78"/>
  <c r="B8" i="52"/>
  <c r="C146" i="71"/>
  <c r="C109" i="71"/>
  <c r="P8" i="52"/>
  <c r="N8" i="52"/>
  <c r="L8" i="52"/>
  <c r="K8" i="52"/>
  <c r="J8" i="52"/>
  <c r="H8" i="52"/>
  <c r="G8" i="52"/>
  <c r="I180" i="71" l="1"/>
  <c r="N7" i="75" s="1"/>
  <c r="BZ1" i="78"/>
  <c r="BR107" i="78"/>
  <c r="BS43" i="78"/>
  <c r="CD6" i="78"/>
  <c r="CD80" i="78" s="1"/>
  <c r="BS89" i="78"/>
  <c r="BS99" i="78"/>
  <c r="BS98" i="78"/>
  <c r="BS102" i="78"/>
  <c r="BS117" i="78"/>
  <c r="BS94" i="78"/>
  <c r="BS80" i="78"/>
  <c r="BS97" i="78"/>
  <c r="BS92" i="78"/>
  <c r="BS107" i="78"/>
  <c r="CE107" i="78"/>
  <c r="CA107" i="78"/>
  <c r="BS90" i="78"/>
  <c r="BS83" i="78"/>
  <c r="BS103" i="78"/>
  <c r="BS84" i="78"/>
  <c r="BR109" i="78"/>
  <c r="BQ107" i="78"/>
  <c r="BS109" i="78"/>
  <c r="BS100" i="78"/>
  <c r="BS101" i="78"/>
  <c r="BS86" i="78"/>
  <c r="BS88" i="78"/>
  <c r="BS85" i="78"/>
  <c r="BS104" i="78"/>
  <c r="BS91" i="78"/>
  <c r="BS87" i="78"/>
  <c r="AA69" i="76"/>
  <c r="AA82" i="76"/>
  <c r="N69" i="76"/>
  <c r="N82" i="76"/>
  <c r="H109" i="71"/>
  <c r="P64" i="31"/>
  <c r="V53" i="76"/>
  <c r="V58" i="76"/>
  <c r="V63" i="76"/>
  <c r="V67" i="76"/>
  <c r="V77" i="76"/>
  <c r="V89" i="76"/>
  <c r="V94" i="76"/>
  <c r="V57" i="76"/>
  <c r="V66" i="76"/>
  <c r="V71" i="76"/>
  <c r="V76" i="76"/>
  <c r="V60" i="76"/>
  <c r="V65" i="76"/>
  <c r="V70" i="76"/>
  <c r="V75" i="76"/>
  <c r="V80" i="76"/>
  <c r="V86" i="76"/>
  <c r="V64" i="76"/>
  <c r="V54" i="76"/>
  <c r="V59" i="76"/>
  <c r="V74" i="76"/>
  <c r="V85" i="76"/>
  <c r="V81" i="76"/>
  <c r="V93" i="76"/>
  <c r="V90" i="76"/>
  <c r="V96" i="76"/>
  <c r="V79" i="76"/>
  <c r="V92" i="76"/>
  <c r="V52" i="76"/>
  <c r="V62" i="76"/>
  <c r="V84" i="76"/>
  <c r="V88" i="76"/>
  <c r="V56" i="76"/>
  <c r="V73" i="76"/>
  <c r="P60" i="76"/>
  <c r="P65" i="76"/>
  <c r="P70" i="76"/>
  <c r="P75" i="76"/>
  <c r="P80" i="76"/>
  <c r="P86" i="76"/>
  <c r="P54" i="76"/>
  <c r="P59" i="76"/>
  <c r="P64" i="76"/>
  <c r="P74" i="76"/>
  <c r="P53" i="76"/>
  <c r="P58" i="76"/>
  <c r="P63" i="76"/>
  <c r="P67" i="76"/>
  <c r="P77" i="76"/>
  <c r="P89" i="76"/>
  <c r="P94" i="76"/>
  <c r="P81" i="76"/>
  <c r="P57" i="76"/>
  <c r="P66" i="76"/>
  <c r="P71" i="76"/>
  <c r="P96" i="76"/>
  <c r="P85" i="76"/>
  <c r="P90" i="76"/>
  <c r="P76" i="76"/>
  <c r="P93" i="76"/>
  <c r="P84" i="76"/>
  <c r="P79" i="76"/>
  <c r="P52" i="76"/>
  <c r="P88" i="76"/>
  <c r="P92" i="76"/>
  <c r="P62" i="76"/>
  <c r="P73" i="76"/>
  <c r="P56" i="76"/>
  <c r="P69" i="76"/>
  <c r="S57" i="76"/>
  <c r="S66" i="76"/>
  <c r="S71" i="76"/>
  <c r="S76" i="76"/>
  <c r="S81" i="76"/>
  <c r="S93" i="76"/>
  <c r="S60" i="76"/>
  <c r="S65" i="76"/>
  <c r="S70" i="76"/>
  <c r="S75" i="76"/>
  <c r="S54" i="76"/>
  <c r="S59" i="76"/>
  <c r="S64" i="76"/>
  <c r="S74" i="76"/>
  <c r="S85" i="76"/>
  <c r="S90" i="76"/>
  <c r="S96" i="76"/>
  <c r="S53" i="76"/>
  <c r="S77" i="76"/>
  <c r="S58" i="76"/>
  <c r="S63" i="76"/>
  <c r="S67" i="76"/>
  <c r="S89" i="76"/>
  <c r="S86" i="76"/>
  <c r="S80" i="76"/>
  <c r="S94" i="76"/>
  <c r="S88" i="76"/>
  <c r="S84" i="76"/>
  <c r="S62" i="76"/>
  <c r="S92" i="76"/>
  <c r="S79" i="76"/>
  <c r="S52" i="76"/>
  <c r="S56" i="76"/>
  <c r="S73" i="76"/>
  <c r="S69" i="76"/>
  <c r="AA64" i="76"/>
  <c r="AA74" i="76"/>
  <c r="AA54" i="76"/>
  <c r="AA59" i="76"/>
  <c r="AA77" i="76"/>
  <c r="AA53" i="76"/>
  <c r="AA58" i="76"/>
  <c r="AA63" i="76"/>
  <c r="AA67" i="76"/>
  <c r="AA57" i="76"/>
  <c r="AA66" i="76"/>
  <c r="AA71" i="76"/>
  <c r="AA76" i="76"/>
  <c r="AA81" i="76"/>
  <c r="AA93" i="76"/>
  <c r="AA60" i="76"/>
  <c r="AA65" i="76"/>
  <c r="AA94" i="76"/>
  <c r="AA70" i="76"/>
  <c r="AA89" i="76"/>
  <c r="AA96" i="76"/>
  <c r="AA86" i="76"/>
  <c r="AA75" i="76"/>
  <c r="AA80" i="76"/>
  <c r="AA90" i="76"/>
  <c r="AA85" i="76"/>
  <c r="AA79" i="76"/>
  <c r="AA84" i="76"/>
  <c r="AA92" i="76"/>
  <c r="AA62" i="76"/>
  <c r="AA52" i="76"/>
  <c r="AA88" i="76"/>
  <c r="AA73" i="76"/>
  <c r="AA56" i="76"/>
  <c r="N54" i="76"/>
  <c r="N59" i="76"/>
  <c r="N64" i="76"/>
  <c r="N74" i="76"/>
  <c r="N85" i="76"/>
  <c r="N90" i="76"/>
  <c r="N96" i="76"/>
  <c r="N53" i="76"/>
  <c r="N58" i="76"/>
  <c r="N63" i="76"/>
  <c r="N67" i="76"/>
  <c r="N77" i="76"/>
  <c r="N89" i="76"/>
  <c r="N94" i="76"/>
  <c r="N57" i="76"/>
  <c r="N66" i="76"/>
  <c r="N71" i="76"/>
  <c r="N76" i="76"/>
  <c r="N81" i="76"/>
  <c r="N93" i="76"/>
  <c r="N60" i="76"/>
  <c r="N65" i="76"/>
  <c r="N70" i="76"/>
  <c r="N75" i="76"/>
  <c r="N80" i="76"/>
  <c r="N86" i="76"/>
  <c r="N56" i="76"/>
  <c r="N84" i="76"/>
  <c r="N52" i="76"/>
  <c r="N92" i="76"/>
  <c r="N62" i="76"/>
  <c r="N79" i="76"/>
  <c r="N88" i="76"/>
  <c r="N73" i="76"/>
  <c r="Z54" i="76"/>
  <c r="Z59" i="76"/>
  <c r="Z64" i="76"/>
  <c r="Z74" i="76"/>
  <c r="Z85" i="76"/>
  <c r="Z90" i="76"/>
  <c r="Z96" i="76"/>
  <c r="Z53" i="76"/>
  <c r="Z58" i="76"/>
  <c r="Z63" i="76"/>
  <c r="Z67" i="76"/>
  <c r="Z77" i="76"/>
  <c r="Z89" i="76"/>
  <c r="Z94" i="76"/>
  <c r="Z57" i="76"/>
  <c r="Z66" i="76"/>
  <c r="Z71" i="76"/>
  <c r="Z76" i="76"/>
  <c r="Z81" i="76"/>
  <c r="Z93" i="76"/>
  <c r="Z60" i="76"/>
  <c r="Z65" i="76"/>
  <c r="Z70" i="76"/>
  <c r="Z75" i="76"/>
  <c r="Z80" i="76"/>
  <c r="Z86" i="76"/>
  <c r="Z84" i="76"/>
  <c r="Z92" i="76"/>
  <c r="Z88" i="76"/>
  <c r="Z62" i="76"/>
  <c r="Z79" i="76"/>
  <c r="Z52" i="76"/>
  <c r="Z73" i="76"/>
  <c r="Z56" i="76"/>
  <c r="V69" i="76"/>
  <c r="Z69" i="76"/>
  <c r="BQ85" i="78"/>
  <c r="BQ96" i="78"/>
  <c r="BR99" i="78"/>
  <c r="BQ95" i="78"/>
  <c r="BR86" i="78"/>
  <c r="BQ99" i="78"/>
  <c r="BR95" i="78"/>
  <c r="BQ102" i="78"/>
  <c r="BR89" i="78"/>
  <c r="BR92" i="78"/>
  <c r="BQ89" i="78"/>
  <c r="BQ97" i="78"/>
  <c r="BQ101" i="78"/>
  <c r="BR101" i="78"/>
  <c r="BQ83" i="78"/>
  <c r="BQ93" i="78"/>
  <c r="BR85" i="78"/>
  <c r="BR104" i="78"/>
  <c r="BQ106" i="78"/>
  <c r="BR102" i="78"/>
  <c r="BR87" i="78"/>
  <c r="BQ82" i="78"/>
  <c r="BQ90" i="78"/>
  <c r="BQ87" i="78"/>
  <c r="BR105" i="78"/>
  <c r="CC6" i="78"/>
  <c r="BQ104" i="78"/>
  <c r="BQ88" i="78"/>
  <c r="BQ91" i="78"/>
  <c r="BQ94" i="78"/>
  <c r="BR100" i="78"/>
  <c r="BR103" i="78"/>
  <c r="BR83" i="78"/>
  <c r="BR98" i="78"/>
  <c r="BR88" i="78"/>
  <c r="BQ92" i="78"/>
  <c r="BQ117" i="78"/>
  <c r="BQ103" i="78"/>
  <c r="BQ86" i="78"/>
  <c r="BR91" i="78"/>
  <c r="BR117" i="78"/>
  <c r="BR94" i="78"/>
  <c r="BR106" i="78"/>
  <c r="BR90" i="78"/>
  <c r="BQ100" i="78"/>
  <c r="BQ105" i="78"/>
  <c r="BQ98" i="78"/>
  <c r="BR97" i="78"/>
  <c r="BR43" i="78"/>
  <c r="BR96" i="78"/>
  <c r="BR93" i="78"/>
  <c r="BT117" i="78"/>
  <c r="BQ80" i="78"/>
  <c r="BQ84" i="78"/>
  <c r="BQ109" i="78"/>
  <c r="BR80" i="78"/>
  <c r="BR84" i="78"/>
  <c r="BR82" i="78"/>
  <c r="CD89" i="78"/>
  <c r="CD86" i="78"/>
  <c r="CD117" i="78"/>
  <c r="CD109" i="78"/>
  <c r="CD84" i="78"/>
  <c r="CD99" i="78"/>
  <c r="CD104" i="78"/>
  <c r="CD106" i="78"/>
  <c r="CD95" i="78"/>
  <c r="CD93" i="78"/>
  <c r="CD105" i="78"/>
  <c r="CD85" i="78"/>
  <c r="CD83" i="78"/>
  <c r="CD100" i="78"/>
  <c r="CD102" i="78"/>
  <c r="CD101" i="78"/>
  <c r="CD96" i="78"/>
  <c r="CD98" i="78"/>
  <c r="CD97" i="78"/>
  <c r="CD87" i="78"/>
  <c r="CD91" i="78"/>
  <c r="CD103" i="78"/>
  <c r="CD92" i="78"/>
  <c r="CD88" i="78"/>
  <c r="CD82" i="78"/>
  <c r="CD94" i="78"/>
  <c r="CD90" i="78"/>
  <c r="CE43" i="78"/>
  <c r="CP6" i="78"/>
  <c r="CB43" i="78"/>
  <c r="CM6" i="78"/>
  <c r="CE105" i="78"/>
  <c r="CE98" i="78"/>
  <c r="CE84" i="78"/>
  <c r="CE87" i="78"/>
  <c r="CE99" i="78"/>
  <c r="CE101" i="78"/>
  <c r="CE82" i="78"/>
  <c r="CE106" i="78"/>
  <c r="CE104" i="78"/>
  <c r="CE95" i="78"/>
  <c r="CE85" i="78"/>
  <c r="CE109" i="78"/>
  <c r="CE96" i="78"/>
  <c r="CE89" i="78"/>
  <c r="CE94" i="78"/>
  <c r="CE97" i="78"/>
  <c r="CE86" i="78"/>
  <c r="CE100" i="78"/>
  <c r="CE102" i="78"/>
  <c r="CE80" i="78"/>
  <c r="CE92" i="78"/>
  <c r="CE90" i="78"/>
  <c r="CE103" i="78"/>
  <c r="CE93" i="78"/>
  <c r="CE83" i="78"/>
  <c r="CE88" i="78"/>
  <c r="CE91" i="78"/>
  <c r="BO38" i="78"/>
  <c r="BO75" i="78"/>
  <c r="BO112" i="78"/>
  <c r="CA83" i="78"/>
  <c r="CA85" i="78"/>
  <c r="CL6" i="78"/>
  <c r="CA101" i="78"/>
  <c r="CA93" i="78"/>
  <c r="CA82" i="78"/>
  <c r="CA43" i="78"/>
  <c r="CA80" i="78"/>
  <c r="CA98" i="78"/>
  <c r="CA103" i="78"/>
  <c r="CA92" i="78"/>
  <c r="CA102" i="78"/>
  <c r="CA104" i="78"/>
  <c r="CA94" i="78"/>
  <c r="CA88" i="78"/>
  <c r="CA100" i="78"/>
  <c r="CA109" i="78"/>
  <c r="CA89" i="78"/>
  <c r="CA96" i="78"/>
  <c r="CA84" i="78"/>
  <c r="CA117" i="78"/>
  <c r="CA95" i="78"/>
  <c r="CA86" i="78"/>
  <c r="CA99" i="78"/>
  <c r="CA87" i="78"/>
  <c r="CA97" i="78"/>
  <c r="CA91" i="78"/>
  <c r="CA90" i="78"/>
  <c r="CA106" i="78"/>
  <c r="CA105" i="78"/>
  <c r="C8" i="52"/>
  <c r="D8" i="52"/>
  <c r="CD107" i="78" l="1"/>
  <c r="CL107" i="78"/>
  <c r="CP43" i="78"/>
  <c r="CP107" i="78"/>
  <c r="CC80" i="78"/>
  <c r="CB107" i="78"/>
  <c r="CC107" i="78"/>
  <c r="CO6" i="78"/>
  <c r="CO94" i="78" s="1"/>
  <c r="CD43" i="78"/>
  <c r="CE117" i="78"/>
  <c r="CK1" i="78"/>
  <c r="CB87" i="78"/>
  <c r="CB109" i="78"/>
  <c r="CB98" i="78"/>
  <c r="CC83" i="78"/>
  <c r="CC92" i="78"/>
  <c r="CC95" i="78"/>
  <c r="CC86" i="78"/>
  <c r="CC97" i="78"/>
  <c r="CB106" i="78"/>
  <c r="CB96" i="78"/>
  <c r="CC106" i="78"/>
  <c r="CN6" i="78"/>
  <c r="CC109" i="78"/>
  <c r="CB100" i="78"/>
  <c r="CC102" i="78"/>
  <c r="CB90" i="78"/>
  <c r="CB83" i="78"/>
  <c r="CC98" i="78"/>
  <c r="CB97" i="78"/>
  <c r="CB84" i="78"/>
  <c r="CB92" i="78"/>
  <c r="CB89" i="78"/>
  <c r="CC104" i="78"/>
  <c r="CB94" i="78"/>
  <c r="CB95" i="78"/>
  <c r="CB101" i="78"/>
  <c r="CC117" i="78"/>
  <c r="CC82" i="78"/>
  <c r="CC100" i="78"/>
  <c r="CB88" i="78"/>
  <c r="CB99" i="78"/>
  <c r="CC96" i="78"/>
  <c r="CC94" i="78"/>
  <c r="CC103" i="78"/>
  <c r="CC84" i="78"/>
  <c r="CB82" i="78"/>
  <c r="CB91" i="78"/>
  <c r="CB103" i="78"/>
  <c r="CB93" i="78"/>
  <c r="CC101" i="78"/>
  <c r="CC85" i="78"/>
  <c r="CC87" i="78"/>
  <c r="CC99" i="78"/>
  <c r="CB86" i="78"/>
  <c r="CB85" i="78"/>
  <c r="CC89" i="78"/>
  <c r="CC93" i="78"/>
  <c r="CC90" i="78"/>
  <c r="CC91" i="78"/>
  <c r="CB117" i="78"/>
  <c r="CB102" i="78"/>
  <c r="CB80" i="78"/>
  <c r="CB104" i="78"/>
  <c r="CB105" i="78"/>
  <c r="CC88" i="78"/>
  <c r="CC105" i="78"/>
  <c r="CC43" i="78"/>
  <c r="CO90" i="78"/>
  <c r="CO83" i="78"/>
  <c r="CO106" i="78"/>
  <c r="CO109" i="78"/>
  <c r="CO97" i="78"/>
  <c r="CO117" i="78"/>
  <c r="CP84" i="78"/>
  <c r="CP89" i="78"/>
  <c r="CP80" i="78"/>
  <c r="CP98" i="78"/>
  <c r="CP97" i="78"/>
  <c r="CP106" i="78"/>
  <c r="CP96" i="78"/>
  <c r="CP94" i="78"/>
  <c r="CP95" i="78"/>
  <c r="CP92" i="78"/>
  <c r="CP83" i="78"/>
  <c r="CP105" i="78"/>
  <c r="CP109" i="78"/>
  <c r="CP88" i="78"/>
  <c r="CP86" i="78"/>
  <c r="CP91" i="78"/>
  <c r="CP82" i="78"/>
  <c r="CP90" i="78"/>
  <c r="CP101" i="78"/>
  <c r="CP87" i="78"/>
  <c r="CM43" i="78"/>
  <c r="CP93" i="78"/>
  <c r="CP104" i="78"/>
  <c r="CP102" i="78"/>
  <c r="CP100" i="78"/>
  <c r="CP99" i="78"/>
  <c r="CP103" i="78"/>
  <c r="CP85" i="78"/>
  <c r="CL117" i="78"/>
  <c r="CL89" i="78"/>
  <c r="CL105" i="78"/>
  <c r="CL80" i="78"/>
  <c r="CL104" i="78"/>
  <c r="CL102" i="78"/>
  <c r="CL85" i="78"/>
  <c r="CL88" i="78"/>
  <c r="CL87" i="78"/>
  <c r="CL95" i="78"/>
  <c r="CL97" i="78"/>
  <c r="CL103" i="78"/>
  <c r="CL96" i="78"/>
  <c r="CL93" i="78"/>
  <c r="CL86" i="78"/>
  <c r="CL94" i="78"/>
  <c r="CL101" i="78"/>
  <c r="CL109" i="78"/>
  <c r="CL84" i="78"/>
  <c r="CL83" i="78"/>
  <c r="CL43" i="78"/>
  <c r="CL82" i="78"/>
  <c r="CL92" i="78"/>
  <c r="CL106" i="78"/>
  <c r="CL90" i="78"/>
  <c r="CL98" i="78"/>
  <c r="CL100" i="78"/>
  <c r="CL91" i="78"/>
  <c r="CL99" i="78"/>
  <c r="BZ38" i="78"/>
  <c r="BZ75" i="78"/>
  <c r="BZ112" i="78"/>
  <c r="I40" i="18"/>
  <c r="CN107" i="78" l="1"/>
  <c r="CO43" i="78"/>
  <c r="CO85" i="78"/>
  <c r="CO98" i="78"/>
  <c r="CO104" i="78"/>
  <c r="CO103" i="78"/>
  <c r="CP117" i="78"/>
  <c r="CM107" i="78"/>
  <c r="CO84" i="78"/>
  <c r="CO100" i="78"/>
  <c r="CO92" i="78"/>
  <c r="CO88" i="78"/>
  <c r="CO96" i="78"/>
  <c r="CO101" i="78"/>
  <c r="CO89" i="78"/>
  <c r="CO86" i="78"/>
  <c r="CO102" i="78"/>
  <c r="CO82" i="78"/>
  <c r="CO99" i="78"/>
  <c r="CO80" i="78"/>
  <c r="CO93" i="78"/>
  <c r="CO105" i="78"/>
  <c r="CO107" i="78"/>
  <c r="CO91" i="78"/>
  <c r="CO87" i="78"/>
  <c r="CO95" i="78"/>
  <c r="CM93" i="78"/>
  <c r="CN88" i="78"/>
  <c r="CN103" i="78"/>
  <c r="CM95" i="78"/>
  <c r="CN82" i="78"/>
  <c r="CM105" i="78"/>
  <c r="CM86" i="78"/>
  <c r="CN100" i="78"/>
  <c r="CM99" i="78"/>
  <c r="CM90" i="78"/>
  <c r="CN93" i="78"/>
  <c r="CN105" i="78"/>
  <c r="CM83" i="78"/>
  <c r="CM98" i="78"/>
  <c r="CN90" i="78"/>
  <c r="CN84" i="78"/>
  <c r="CM89" i="78"/>
  <c r="CM109" i="78"/>
  <c r="CN104" i="78"/>
  <c r="CN95" i="78"/>
  <c r="CM106" i="78"/>
  <c r="CN98" i="78"/>
  <c r="CN87" i="78"/>
  <c r="CM102" i="78"/>
  <c r="CM117" i="78"/>
  <c r="CN86" i="78"/>
  <c r="CN97" i="78"/>
  <c r="CM100" i="78"/>
  <c r="CM82" i="78"/>
  <c r="CM101" i="78"/>
  <c r="CM85" i="78"/>
  <c r="CN94" i="78"/>
  <c r="CN80" i="78"/>
  <c r="CN96" i="78"/>
  <c r="CM97" i="78"/>
  <c r="CM88" i="78"/>
  <c r="CM92" i="78"/>
  <c r="CN117" i="78"/>
  <c r="CN89" i="78"/>
  <c r="CN91" i="78"/>
  <c r="CN109" i="78"/>
  <c r="CM80" i="78"/>
  <c r="CM104" i="78"/>
  <c r="CM91" i="78"/>
  <c r="CM94" i="78"/>
  <c r="CM103" i="78"/>
  <c r="CN92" i="78"/>
  <c r="CN106" i="78"/>
  <c r="CN83" i="78"/>
  <c r="CN102" i="78"/>
  <c r="CM84" i="78"/>
  <c r="CM87" i="78"/>
  <c r="CM96" i="78"/>
  <c r="CN85" i="78"/>
  <c r="CN99" i="78"/>
  <c r="CN43" i="78"/>
  <c r="CN101" i="78"/>
  <c r="CK112" i="78"/>
  <c r="CK38" i="78"/>
  <c r="CK75" i="78"/>
  <c r="I41" i="18"/>
  <c r="H41" i="18"/>
  <c r="K40" i="18"/>
  <c r="J41" i="18"/>
  <c r="K41" i="18"/>
  <c r="J40" i="18"/>
  <c r="R10" i="80" l="1"/>
  <c r="R12" i="80"/>
  <c r="R13" i="80"/>
  <c r="R14" i="80"/>
  <c r="R15" i="80"/>
  <c r="R16" i="80"/>
  <c r="R17" i="80"/>
  <c r="R18" i="80"/>
  <c r="R19" i="80"/>
  <c r="R20" i="80"/>
  <c r="R21" i="80"/>
  <c r="R22" i="80"/>
  <c r="R23" i="80"/>
  <c r="R24" i="80"/>
  <c r="R25" i="80"/>
  <c r="R26" i="80"/>
  <c r="R27" i="80"/>
  <c r="R28" i="80"/>
  <c r="R29" i="80"/>
  <c r="R30" i="80"/>
  <c r="R31" i="80"/>
  <c r="R32" i="80"/>
  <c r="R9" i="80"/>
  <c r="I9" i="80"/>
  <c r="I10" i="80"/>
  <c r="I12" i="80"/>
  <c r="I13" i="80"/>
  <c r="I14" i="80"/>
  <c r="I15" i="80"/>
  <c r="I16" i="80"/>
  <c r="I17" i="80"/>
  <c r="I18" i="80"/>
  <c r="I19" i="80"/>
  <c r="I20" i="80"/>
  <c r="I21" i="80"/>
  <c r="I22" i="80"/>
  <c r="I23" i="80"/>
  <c r="I24" i="80"/>
  <c r="I25" i="80"/>
  <c r="I26" i="80"/>
  <c r="I27" i="80"/>
  <c r="I28" i="80"/>
  <c r="I29" i="80"/>
  <c r="I30" i="80"/>
  <c r="I31" i="80"/>
  <c r="I32" i="80"/>
  <c r="F35" i="80"/>
  <c r="F32" i="80"/>
  <c r="F31" i="80"/>
  <c r="F30" i="80"/>
  <c r="F29" i="80"/>
  <c r="F28" i="80"/>
  <c r="F27" i="80"/>
  <c r="F26" i="80"/>
  <c r="F25" i="80"/>
  <c r="F24" i="80"/>
  <c r="F23" i="80"/>
  <c r="F22" i="80"/>
  <c r="F21" i="80"/>
  <c r="F20" i="80"/>
  <c r="F19" i="80"/>
  <c r="F18" i="80"/>
  <c r="F17" i="80"/>
  <c r="F16" i="80"/>
  <c r="F15" i="80"/>
  <c r="F14" i="80"/>
  <c r="F13" i="80"/>
  <c r="F12" i="80"/>
  <c r="F11" i="80"/>
  <c r="F10" i="80"/>
  <c r="F8" i="80"/>
  <c r="C10" i="80"/>
  <c r="C11" i="80"/>
  <c r="C12" i="80"/>
  <c r="C13" i="80"/>
  <c r="C14" i="80"/>
  <c r="C15" i="80"/>
  <c r="C16" i="80"/>
  <c r="C17" i="80"/>
  <c r="C18" i="80"/>
  <c r="C19" i="80"/>
  <c r="C20" i="80"/>
  <c r="C21" i="80"/>
  <c r="C22" i="80"/>
  <c r="C23" i="80"/>
  <c r="C24" i="80"/>
  <c r="C25" i="80"/>
  <c r="C26" i="80"/>
  <c r="C27" i="80"/>
  <c r="C28" i="80"/>
  <c r="C29" i="80"/>
  <c r="C30" i="80"/>
  <c r="C31" i="80"/>
  <c r="C32" i="80"/>
  <c r="L10" i="80" l="1"/>
  <c r="L11" i="80"/>
  <c r="L12" i="80"/>
  <c r="L13" i="80"/>
  <c r="L15" i="80"/>
  <c r="L16" i="80"/>
  <c r="L17" i="80"/>
  <c r="L18" i="80"/>
  <c r="L19" i="80"/>
  <c r="L20" i="80"/>
  <c r="L21" i="80"/>
  <c r="L23" i="80"/>
  <c r="L24" i="80"/>
  <c r="L25" i="80"/>
  <c r="L26" i="80"/>
  <c r="L27" i="80"/>
  <c r="L28" i="80"/>
  <c r="L29" i="80"/>
  <c r="L31" i="80"/>
  <c r="L32" i="80"/>
  <c r="L9" i="80"/>
  <c r="H32" i="80"/>
  <c r="H31" i="80"/>
  <c r="H30" i="80"/>
  <c r="H29" i="80"/>
  <c r="H28" i="80"/>
  <c r="N28" i="80" s="1"/>
  <c r="H27" i="80"/>
  <c r="H26" i="80"/>
  <c r="N26" i="80" s="1"/>
  <c r="O26" i="80" s="1"/>
  <c r="H25" i="80"/>
  <c r="H24" i="80"/>
  <c r="H23" i="80"/>
  <c r="H22" i="80"/>
  <c r="H21" i="80"/>
  <c r="H20" i="80"/>
  <c r="H19" i="80"/>
  <c r="H18" i="80"/>
  <c r="H17" i="80"/>
  <c r="H16" i="80"/>
  <c r="H15" i="80"/>
  <c r="H14" i="80"/>
  <c r="H13" i="80"/>
  <c r="N13" i="80" s="1"/>
  <c r="O13" i="80" s="1"/>
  <c r="H12" i="80"/>
  <c r="H10" i="80"/>
  <c r="H9" i="80"/>
  <c r="N32" i="80" l="1"/>
  <c r="O32" i="80" s="1"/>
  <c r="N18" i="80"/>
  <c r="O18" i="80" s="1"/>
  <c r="N10" i="80"/>
  <c r="O10" i="80" s="1"/>
  <c r="O28" i="80"/>
  <c r="N21" i="80"/>
  <c r="O21" i="80" s="1"/>
  <c r="N29" i="80"/>
  <c r="O29" i="80" s="1"/>
  <c r="N24" i="80"/>
  <c r="O24" i="80" s="1"/>
  <c r="N20" i="80"/>
  <c r="O20" i="80" s="1"/>
  <c r="N16" i="80"/>
  <c r="O16" i="80" s="1"/>
  <c r="N12" i="80"/>
  <c r="O12" i="80" s="1"/>
  <c r="N9" i="80"/>
  <c r="O9" i="80" s="1"/>
  <c r="N17" i="80"/>
  <c r="O17" i="80" s="1"/>
  <c r="N25" i="80"/>
  <c r="O25" i="80" s="1"/>
  <c r="N22" i="80"/>
  <c r="O22" i="80" s="1"/>
  <c r="L22" i="80"/>
  <c r="N30" i="80"/>
  <c r="O30" i="80" s="1"/>
  <c r="L30" i="80"/>
  <c r="N14" i="80"/>
  <c r="O14" i="80" s="1"/>
  <c r="N31" i="80"/>
  <c r="O31" i="80" s="1"/>
  <c r="N23" i="80"/>
  <c r="O23" i="80" s="1"/>
  <c r="N15" i="80"/>
  <c r="O15" i="80" s="1"/>
  <c r="N27" i="80"/>
  <c r="O27" i="80" s="1"/>
  <c r="N11" i="80"/>
  <c r="O11" i="80" s="1"/>
  <c r="N19" i="80"/>
  <c r="O19" i="80" s="1"/>
  <c r="H23" i="16" l="1"/>
  <c r="H24" i="16"/>
  <c r="H43" i="16"/>
  <c r="H44" i="16"/>
  <c r="W35" i="78" l="1"/>
  <c r="AS35" i="78" s="1"/>
  <c r="W24" i="78"/>
  <c r="AS24" i="78" s="1"/>
  <c r="BO24" i="78" s="1"/>
  <c r="CK24" i="78" s="1"/>
  <c r="W9" i="78"/>
  <c r="AS9" i="78" s="1"/>
  <c r="BO9" i="78" s="1"/>
  <c r="CK9" i="78" s="1"/>
  <c r="W10" i="78"/>
  <c r="AS10" i="78" s="1"/>
  <c r="BO10" i="78" s="1"/>
  <c r="CK10" i="78" s="1"/>
  <c r="L11" i="78"/>
  <c r="AH11" i="78" s="1"/>
  <c r="BD11" i="78" s="1"/>
  <c r="BZ11" i="78" s="1"/>
  <c r="L12" i="78"/>
  <c r="AH12" i="78" s="1"/>
  <c r="BD12" i="78" s="1"/>
  <c r="BZ12" i="78" s="1"/>
  <c r="L13" i="78"/>
  <c r="AH13" i="78" s="1"/>
  <c r="BD13" i="78" s="1"/>
  <c r="BZ13" i="78" s="1"/>
  <c r="L14" i="78"/>
  <c r="AH14" i="78" s="1"/>
  <c r="BD14" i="78" s="1"/>
  <c r="BZ14" i="78" s="1"/>
  <c r="L15" i="78"/>
  <c r="AH15" i="78" s="1"/>
  <c r="BD15" i="78" s="1"/>
  <c r="BZ15" i="78" s="1"/>
  <c r="W16" i="78"/>
  <c r="AS16" i="78" s="1"/>
  <c r="BO16" i="78" s="1"/>
  <c r="CK16" i="78" s="1"/>
  <c r="W17" i="78"/>
  <c r="AS17" i="78" s="1"/>
  <c r="BO17" i="78" s="1"/>
  <c r="CK17" i="78" s="1"/>
  <c r="W18" i="78"/>
  <c r="AS18" i="78" s="1"/>
  <c r="BO18" i="78" s="1"/>
  <c r="CK18" i="78" s="1"/>
  <c r="L19" i="78"/>
  <c r="AH19" i="78" s="1"/>
  <c r="BD19" i="78" s="1"/>
  <c r="BZ19" i="78" s="1"/>
  <c r="L20" i="78"/>
  <c r="AH20" i="78" s="1"/>
  <c r="BD20" i="78" s="1"/>
  <c r="BZ20" i="78" s="1"/>
  <c r="L21" i="78"/>
  <c r="AH21" i="78" s="1"/>
  <c r="BD21" i="78" s="1"/>
  <c r="BZ21" i="78" s="1"/>
  <c r="L22" i="78"/>
  <c r="AH22" i="78" s="1"/>
  <c r="BD22" i="78" s="1"/>
  <c r="BZ22" i="78" s="1"/>
  <c r="L23" i="78"/>
  <c r="AH23" i="78" s="1"/>
  <c r="BD23" i="78" s="1"/>
  <c r="BZ23" i="78" s="1"/>
  <c r="W25" i="78"/>
  <c r="AS25" i="78" s="1"/>
  <c r="BO25" i="78" s="1"/>
  <c r="CK25" i="78" s="1"/>
  <c r="W26" i="78"/>
  <c r="AS26" i="78" s="1"/>
  <c r="BO26" i="78" s="1"/>
  <c r="CK26" i="78" s="1"/>
  <c r="W27" i="78"/>
  <c r="AS27" i="78" s="1"/>
  <c r="BO27" i="78" s="1"/>
  <c r="CK27" i="78" s="1"/>
  <c r="L28" i="78"/>
  <c r="AH28" i="78" s="1"/>
  <c r="BD28" i="78" s="1"/>
  <c r="BZ28" i="78" s="1"/>
  <c r="L29" i="78"/>
  <c r="AH29" i="78" s="1"/>
  <c r="BD29" i="78" s="1"/>
  <c r="BZ29" i="78" s="1"/>
  <c r="L30" i="78"/>
  <c r="AH30" i="78" s="1"/>
  <c r="BD30" i="78" s="1"/>
  <c r="BZ30" i="78" s="1"/>
  <c r="L31" i="78"/>
  <c r="AH31" i="78" s="1"/>
  <c r="BD31" i="78" s="1"/>
  <c r="BZ31" i="78" s="1"/>
  <c r="W32" i="78"/>
  <c r="AS32" i="78" s="1"/>
  <c r="BO32" i="78" s="1"/>
  <c r="CK32" i="78" s="1"/>
  <c r="W8" i="78"/>
  <c r="AS8" i="78" s="1"/>
  <c r="BO8" i="78" s="1"/>
  <c r="CK8" i="78" s="1"/>
  <c r="BO35" i="78" l="1"/>
  <c r="AS72" i="78"/>
  <c r="AS109" i="78"/>
  <c r="AS146" i="78"/>
  <c r="L27" i="78"/>
  <c r="AH27" i="78" s="1"/>
  <c r="BD27" i="78" s="1"/>
  <c r="BZ27" i="78" s="1"/>
  <c r="L18" i="78"/>
  <c r="AH18" i="78" s="1"/>
  <c r="BD18" i="78" s="1"/>
  <c r="BZ18" i="78" s="1"/>
  <c r="W29" i="78"/>
  <c r="AS29" i="78" s="1"/>
  <c r="BO29" i="78" s="1"/>
  <c r="CK29" i="78" s="1"/>
  <c r="L10" i="78"/>
  <c r="AH10" i="78" s="1"/>
  <c r="BD10" i="78" s="1"/>
  <c r="BZ10" i="78" s="1"/>
  <c r="W28" i="78"/>
  <c r="AS28" i="78" s="1"/>
  <c r="BO28" i="78" s="1"/>
  <c r="CK28" i="78" s="1"/>
  <c r="W19" i="78"/>
  <c r="AS19" i="78" s="1"/>
  <c r="BO19" i="78" s="1"/>
  <c r="CK19" i="78" s="1"/>
  <c r="W13" i="78"/>
  <c r="AS13" i="78" s="1"/>
  <c r="BO13" i="78" s="1"/>
  <c r="CK13" i="78" s="1"/>
  <c r="W11" i="78"/>
  <c r="AS11" i="78" s="1"/>
  <c r="BO11" i="78" s="1"/>
  <c r="CK11" i="78" s="1"/>
  <c r="L9" i="78"/>
  <c r="AH9" i="78" s="1"/>
  <c r="BD9" i="78" s="1"/>
  <c r="BZ9" i="78" s="1"/>
  <c r="L26" i="78"/>
  <c r="AH26" i="78" s="1"/>
  <c r="BD26" i="78" s="1"/>
  <c r="BZ26" i="78" s="1"/>
  <c r="W21" i="78"/>
  <c r="AS21" i="78" s="1"/>
  <c r="BO21" i="78" s="1"/>
  <c r="CK21" i="78" s="1"/>
  <c r="W20" i="78"/>
  <c r="AS20" i="78" s="1"/>
  <c r="BO20" i="78" s="1"/>
  <c r="CK20" i="78" s="1"/>
  <c r="L17" i="78"/>
  <c r="AH17" i="78" s="1"/>
  <c r="BD17" i="78" s="1"/>
  <c r="BZ17" i="78" s="1"/>
  <c r="W12" i="78"/>
  <c r="AS12" i="78" s="1"/>
  <c r="BO12" i="78" s="1"/>
  <c r="CK12" i="78" s="1"/>
  <c r="W31" i="78"/>
  <c r="AS31" i="78" s="1"/>
  <c r="BO31" i="78" s="1"/>
  <c r="CK31" i="78" s="1"/>
  <c r="W23" i="78"/>
  <c r="AS23" i="78" s="1"/>
  <c r="BO23" i="78" s="1"/>
  <c r="CK23" i="78" s="1"/>
  <c r="W15" i="78"/>
  <c r="AS15" i="78" s="1"/>
  <c r="BO15" i="78" s="1"/>
  <c r="CK15" i="78" s="1"/>
  <c r="W30" i="78"/>
  <c r="AS30" i="78" s="1"/>
  <c r="BO30" i="78" s="1"/>
  <c r="CK30" i="78" s="1"/>
  <c r="W22" i="78"/>
  <c r="AS22" i="78" s="1"/>
  <c r="BO22" i="78" s="1"/>
  <c r="CK22" i="78" s="1"/>
  <c r="W14" i="78"/>
  <c r="AS14" i="78" s="1"/>
  <c r="BO14" i="78" s="1"/>
  <c r="CK14" i="78" s="1"/>
  <c r="L8" i="78"/>
  <c r="AH8" i="78" s="1"/>
  <c r="BD8" i="78" s="1"/>
  <c r="BZ8" i="78" s="1"/>
  <c r="L25" i="78"/>
  <c r="AH25" i="78" s="1"/>
  <c r="BD25" i="78" s="1"/>
  <c r="BZ25" i="78" s="1"/>
  <c r="L32" i="78"/>
  <c r="AH32" i="78" s="1"/>
  <c r="BD32" i="78" s="1"/>
  <c r="BZ32" i="78" s="1"/>
  <c r="L24" i="78"/>
  <c r="AH24" i="78" s="1"/>
  <c r="BD24" i="78" s="1"/>
  <c r="BZ24" i="78" s="1"/>
  <c r="L16" i="78"/>
  <c r="AH16" i="78" s="1"/>
  <c r="BD16" i="78" s="1"/>
  <c r="BZ16" i="78" s="1"/>
  <c r="L35" i="78"/>
  <c r="AH35" i="78" s="1"/>
  <c r="AH109" i="78" l="1"/>
  <c r="AH72" i="78"/>
  <c r="BD35" i="78"/>
  <c r="AH146" i="78"/>
  <c r="BO72" i="78"/>
  <c r="BO146" i="78"/>
  <c r="CK35" i="78"/>
  <c r="BO109" i="78"/>
  <c r="C6" i="16"/>
  <c r="D6" i="16"/>
  <c r="A477" i="76" s="1"/>
  <c r="E6" i="16"/>
  <c r="F6" i="16"/>
  <c r="B6" i="16"/>
  <c r="L1" i="16" l="1"/>
  <c r="L39" i="16" s="1"/>
  <c r="A1" i="16"/>
  <c r="M152" i="75"/>
  <c r="H80" i="16"/>
  <c r="M51" i="75" s="1"/>
  <c r="AE54" i="16"/>
  <c r="T52" i="16"/>
  <c r="T51" i="16"/>
  <c r="AE53" i="16"/>
  <c r="U53" i="16"/>
  <c r="AE51" i="16"/>
  <c r="AD51" i="16"/>
  <c r="AD47" i="16"/>
  <c r="AF47" i="16"/>
  <c r="T46" i="16"/>
  <c r="AE48" i="16"/>
  <c r="AF52" i="16"/>
  <c r="AF53" i="16"/>
  <c r="T50" i="16"/>
  <c r="AE47" i="16"/>
  <c r="U54" i="16"/>
  <c r="T48" i="16"/>
  <c r="U51" i="16"/>
  <c r="S47" i="16"/>
  <c r="AD46" i="16"/>
  <c r="T53" i="16"/>
  <c r="T54" i="16"/>
  <c r="S51" i="16"/>
  <c r="U49" i="16"/>
  <c r="U47" i="16"/>
  <c r="S46" i="16"/>
  <c r="AE52" i="16"/>
  <c r="AE50" i="16"/>
  <c r="U50" i="16"/>
  <c r="AF50" i="16"/>
  <c r="S49" i="16"/>
  <c r="T47" i="16"/>
  <c r="U48" i="16"/>
  <c r="AE49" i="16"/>
  <c r="T49" i="16"/>
  <c r="AD49" i="16"/>
  <c r="AE46" i="16"/>
  <c r="U56" i="16"/>
  <c r="U46" i="16"/>
  <c r="AD53" i="16"/>
  <c r="AD52" i="16"/>
  <c r="AF48" i="16"/>
  <c r="AE56" i="16"/>
  <c r="S48" i="16"/>
  <c r="S53" i="16"/>
  <c r="AF51" i="16"/>
  <c r="S52" i="16"/>
  <c r="S50" i="16"/>
  <c r="AD48" i="16"/>
  <c r="AD54" i="16"/>
  <c r="AF46" i="16"/>
  <c r="AF49" i="16"/>
  <c r="S54" i="16"/>
  <c r="AD50" i="16"/>
  <c r="U52" i="16"/>
  <c r="T56" i="16"/>
  <c r="AF54" i="16"/>
  <c r="AF56" i="16"/>
  <c r="AD56" i="16"/>
  <c r="S56" i="16"/>
  <c r="AA3" i="106"/>
  <c r="Y3" i="106"/>
  <c r="AB3" i="106"/>
  <c r="X3" i="106"/>
  <c r="W1" i="106" s="1"/>
  <c r="Z3" i="106"/>
  <c r="AC3" i="106"/>
  <c r="X1" i="106" s="1"/>
  <c r="CK72" i="78"/>
  <c r="CK146" i="78"/>
  <c r="CK109" i="78"/>
  <c r="BD72" i="78"/>
  <c r="BZ35" i="78"/>
  <c r="BD146" i="78"/>
  <c r="BD109" i="78"/>
  <c r="H79" i="16"/>
  <c r="H47" i="16"/>
  <c r="F50" i="16"/>
  <c r="F52" i="16"/>
  <c r="F54" i="16"/>
  <c r="H46" i="16"/>
  <c r="H48" i="16"/>
  <c r="F51" i="16"/>
  <c r="H49" i="16"/>
  <c r="H50" i="16"/>
  <c r="H51" i="16"/>
  <c r="F47" i="16"/>
  <c r="I81" i="16" s="1"/>
  <c r="N47" i="75" s="1"/>
  <c r="H52" i="16"/>
  <c r="F53" i="16"/>
  <c r="H53" i="16"/>
  <c r="F48" i="16"/>
  <c r="F46" i="16"/>
  <c r="I80" i="16" s="1"/>
  <c r="N51" i="75" s="1"/>
  <c r="F49" i="16"/>
  <c r="H54" i="16"/>
  <c r="I46" i="16"/>
  <c r="J54" i="16"/>
  <c r="I53" i="16"/>
  <c r="H82" i="16"/>
  <c r="M41" i="75" s="1"/>
  <c r="H84" i="16"/>
  <c r="M30" i="75" s="1"/>
  <c r="H85" i="16"/>
  <c r="M24" i="75" s="1"/>
  <c r="H83" i="16"/>
  <c r="M34" i="75" s="1"/>
  <c r="F62" i="16"/>
  <c r="N1" i="107" s="1"/>
  <c r="A1" i="107" s="1"/>
  <c r="H87" i="16"/>
  <c r="M15" i="75" s="1"/>
  <c r="H81" i="16"/>
  <c r="M47" i="75" s="1"/>
  <c r="H88" i="16"/>
  <c r="M11" i="75" s="1"/>
  <c r="F44" i="16"/>
  <c r="I79" i="16" s="1"/>
  <c r="H86" i="16"/>
  <c r="M19" i="75" s="1"/>
  <c r="H4" i="16"/>
  <c r="N152" i="75" s="1"/>
  <c r="C44" i="16"/>
  <c r="C62" i="16"/>
  <c r="A1" i="106" l="1"/>
  <c r="A150" i="75"/>
  <c r="P4" i="31"/>
  <c r="A1" i="31" s="1"/>
  <c r="P35" i="31"/>
  <c r="A34" i="31" s="1"/>
  <c r="BZ109" i="78"/>
  <c r="BZ72" i="78"/>
  <c r="BZ146" i="78"/>
  <c r="H42" i="16"/>
  <c r="H22" i="16"/>
  <c r="E65" i="16" l="1"/>
  <c r="B46" i="16"/>
  <c r="C72" i="16" l="1"/>
  <c r="C54" i="16"/>
  <c r="C69" i="16"/>
  <c r="C64" i="16"/>
  <c r="C46" i="16"/>
  <c r="C68" i="16"/>
  <c r="C50" i="16"/>
  <c r="C67" i="16"/>
  <c r="C49" i="16"/>
  <c r="C65" i="16"/>
  <c r="C47" i="16"/>
  <c r="C66" i="16"/>
  <c r="C48" i="16"/>
  <c r="C71" i="16"/>
  <c r="C53" i="16"/>
  <c r="C70" i="16"/>
  <c r="C52" i="16"/>
  <c r="C51" i="16"/>
  <c r="F18" i="16"/>
  <c r="F14" i="11"/>
  <c r="E14" i="11"/>
  <c r="D14" i="11"/>
  <c r="C14" i="11"/>
  <c r="D18" i="16"/>
  <c r="M163" i="75" s="1"/>
  <c r="E18" i="16"/>
  <c r="C18" i="16"/>
  <c r="Q40" i="80"/>
  <c r="E40" i="80"/>
  <c r="B41" i="80"/>
  <c r="B40" i="80"/>
  <c r="H27" i="11" l="1"/>
  <c r="I27" i="11"/>
  <c r="AB14" i="106"/>
  <c r="Y14" i="106"/>
  <c r="C51" i="18"/>
  <c r="I61" i="18" s="1"/>
  <c r="X14" i="106"/>
  <c r="AC14" i="106"/>
  <c r="AA14" i="106"/>
  <c r="E51" i="18"/>
  <c r="K61" i="18" s="1"/>
  <c r="Z14" i="106"/>
  <c r="F52" i="11"/>
  <c r="F41" i="11"/>
  <c r="D33" i="16"/>
  <c r="H36" i="16"/>
  <c r="H56" i="16" s="1"/>
  <c r="D51" i="18"/>
  <c r="H90" i="16"/>
  <c r="F74" i="16"/>
  <c r="N13" i="107" s="1"/>
  <c r="F51" i="18"/>
  <c r="F56" i="16"/>
  <c r="C86" i="12"/>
  <c r="C113" i="12"/>
  <c r="C74" i="16"/>
  <c r="C56" i="16"/>
  <c r="C52" i="11"/>
  <c r="C41" i="11"/>
  <c r="I60" i="18" l="1"/>
  <c r="J12" i="11"/>
  <c r="J25" i="11" s="1"/>
  <c r="K60" i="18"/>
  <c r="L51" i="18"/>
  <c r="L61" i="18"/>
  <c r="L60" i="18"/>
  <c r="J61" i="18"/>
  <c r="J60" i="18"/>
  <c r="D116" i="49"/>
  <c r="D117" i="49"/>
  <c r="D112" i="49"/>
  <c r="D113" i="49"/>
  <c r="D109" i="49"/>
  <c r="D103" i="49"/>
  <c r="D104" i="49"/>
  <c r="D98" i="49"/>
  <c r="D87" i="49"/>
  <c r="D88" i="49"/>
  <c r="D83" i="49"/>
  <c r="D84" i="49"/>
  <c r="D80" i="49"/>
  <c r="D74" i="49"/>
  <c r="D75" i="49"/>
  <c r="D69" i="49"/>
  <c r="D58" i="49"/>
  <c r="D59" i="49"/>
  <c r="D54" i="49"/>
  <c r="D55" i="49"/>
  <c r="D51" i="49"/>
  <c r="D45" i="49"/>
  <c r="D46" i="49"/>
  <c r="A97" i="49"/>
  <c r="A184" i="49" s="1"/>
  <c r="A271" i="49" s="1"/>
  <c r="A70" i="49"/>
  <c r="A157" i="49" s="1"/>
  <c r="A244" i="49" s="1"/>
  <c r="A47" i="49"/>
  <c r="A134" i="49" s="1"/>
  <c r="A221" i="49" s="1"/>
  <c r="A49" i="49"/>
  <c r="A136" i="49" s="1"/>
  <c r="A223" i="49" s="1"/>
  <c r="A81" i="49"/>
  <c r="A168" i="49" s="1"/>
  <c r="A255" i="49" s="1"/>
  <c r="A84" i="49"/>
  <c r="A171" i="49" s="1"/>
  <c r="A258" i="49" s="1"/>
  <c r="A86" i="49"/>
  <c r="A173" i="49" s="1"/>
  <c r="A260" i="49" s="1"/>
  <c r="D25" i="49" l="1"/>
  <c r="D26" i="49"/>
  <c r="D30" i="49"/>
  <c r="J14" i="11"/>
  <c r="J27" i="11" s="1"/>
  <c r="D22" i="49"/>
  <c r="D29" i="49"/>
  <c r="D17" i="49"/>
  <c r="D11" i="49"/>
  <c r="D16" i="49"/>
  <c r="A76" i="49"/>
  <c r="A163" i="49" s="1"/>
  <c r="A250" i="49" s="1"/>
  <c r="A55" i="49"/>
  <c r="A142" i="49" s="1"/>
  <c r="A229" i="49" s="1"/>
  <c r="A113" i="49"/>
  <c r="A200" i="49" s="1"/>
  <c r="A287" i="49" s="1"/>
  <c r="A102" i="49"/>
  <c r="A189" i="49" s="1"/>
  <c r="A276" i="49" s="1"/>
  <c r="A68" i="49"/>
  <c r="A155" i="49" s="1"/>
  <c r="A242" i="49" s="1"/>
  <c r="F80" i="49"/>
  <c r="F74" i="49"/>
  <c r="F55" i="49"/>
  <c r="F69" i="49"/>
  <c r="F75" i="49"/>
  <c r="F117" i="49"/>
  <c r="F84" i="49"/>
  <c r="F104" i="49"/>
  <c r="F112" i="49"/>
  <c r="F45" i="49"/>
  <c r="F116" i="49"/>
  <c r="F58" i="49"/>
  <c r="F113" i="49"/>
  <c r="A72" i="49"/>
  <c r="A159" i="49" s="1"/>
  <c r="A246" i="49" s="1"/>
  <c r="F59" i="49"/>
  <c r="F98" i="49"/>
  <c r="F51" i="49"/>
  <c r="F83" i="49"/>
  <c r="A105" i="49"/>
  <c r="A192" i="49" s="1"/>
  <c r="A279" i="49" s="1"/>
  <c r="F103" i="49"/>
  <c r="F88" i="49"/>
  <c r="A88" i="49"/>
  <c r="A175" i="49" s="1"/>
  <c r="A262" i="49" s="1"/>
  <c r="A39" i="49"/>
  <c r="A126" i="49" s="1"/>
  <c r="A213" i="49" s="1"/>
  <c r="F46" i="49"/>
  <c r="F54" i="49"/>
  <c r="F87" i="49"/>
  <c r="F109" i="49"/>
  <c r="A115" i="49"/>
  <c r="A202" i="49" s="1"/>
  <c r="A289" i="49" s="1"/>
  <c r="A107" i="49"/>
  <c r="A194" i="49" s="1"/>
  <c r="A281" i="49" s="1"/>
  <c r="A99" i="49"/>
  <c r="A186" i="49" s="1"/>
  <c r="A273" i="49" s="1"/>
  <c r="A78" i="49"/>
  <c r="A165" i="49" s="1"/>
  <c r="A252" i="49" s="1"/>
  <c r="A52" i="49"/>
  <c r="A139" i="49" s="1"/>
  <c r="A226" i="49" s="1"/>
  <c r="A110" i="49"/>
  <c r="A197" i="49" s="1"/>
  <c r="A284" i="49" s="1"/>
  <c r="A51" i="49"/>
  <c r="A138" i="49" s="1"/>
  <c r="A225" i="49" s="1"/>
  <c r="A89" i="49"/>
  <c r="A176" i="49" s="1"/>
  <c r="A263" i="49" s="1"/>
  <c r="A73" i="49"/>
  <c r="A160" i="49" s="1"/>
  <c r="A247" i="49" s="1"/>
  <c r="A109" i="49"/>
  <c r="A196" i="49" s="1"/>
  <c r="A283" i="49" s="1"/>
  <c r="A60" i="49"/>
  <c r="A147" i="49" s="1"/>
  <c r="A234" i="49" s="1"/>
  <c r="A44" i="49"/>
  <c r="A131" i="49" s="1"/>
  <c r="A218" i="49" s="1"/>
  <c r="A101" i="49"/>
  <c r="A188" i="49" s="1"/>
  <c r="A275" i="49" s="1"/>
  <c r="A59" i="49"/>
  <c r="A146" i="49" s="1"/>
  <c r="A233" i="49" s="1"/>
  <c r="A43" i="49"/>
  <c r="A130" i="49" s="1"/>
  <c r="A217" i="49" s="1"/>
  <c r="A118" i="49"/>
  <c r="A205" i="49" s="1"/>
  <c r="A292" i="49" s="1"/>
  <c r="A57" i="49"/>
  <c r="A144" i="49" s="1"/>
  <c r="A231" i="49" s="1"/>
  <c r="A41" i="49"/>
  <c r="A128" i="49" s="1"/>
  <c r="A215" i="49" s="1"/>
  <c r="A80" i="49"/>
  <c r="A167" i="49" s="1"/>
  <c r="A254" i="49" s="1"/>
  <c r="A117" i="49"/>
  <c r="A204" i="49" s="1"/>
  <c r="A291" i="49" s="1"/>
  <c r="A54" i="49"/>
  <c r="A141" i="49" s="1"/>
  <c r="A228" i="49" s="1"/>
  <c r="A46" i="49"/>
  <c r="A133" i="49" s="1"/>
  <c r="A220" i="49" s="1"/>
  <c r="A38" i="49"/>
  <c r="A125" i="49" s="1"/>
  <c r="A212" i="49" s="1"/>
  <c r="A83" i="49"/>
  <c r="A170" i="49" s="1"/>
  <c r="A257" i="49" s="1"/>
  <c r="A75" i="49"/>
  <c r="A162" i="49" s="1"/>
  <c r="A249" i="49" s="1"/>
  <c r="A67" i="49"/>
  <c r="A154" i="49" s="1"/>
  <c r="A241" i="49" s="1"/>
  <c r="A112" i="49"/>
  <c r="A199" i="49" s="1"/>
  <c r="A286" i="49" s="1"/>
  <c r="A104" i="49"/>
  <c r="A191" i="49" s="1"/>
  <c r="A278" i="49" s="1"/>
  <c r="A96" i="49"/>
  <c r="A183" i="49" s="1"/>
  <c r="A270" i="49" s="1"/>
  <c r="A53" i="49"/>
  <c r="A140" i="49" s="1"/>
  <c r="A227" i="49" s="1"/>
  <c r="A45" i="49"/>
  <c r="A132" i="49" s="1"/>
  <c r="A219" i="49" s="1"/>
  <c r="A37" i="49"/>
  <c r="A124" i="49" s="1"/>
  <c r="A211" i="49" s="1"/>
  <c r="A82" i="49"/>
  <c r="A169" i="49" s="1"/>
  <c r="A256" i="49" s="1"/>
  <c r="A74" i="49"/>
  <c r="A161" i="49" s="1"/>
  <c r="A248" i="49" s="1"/>
  <c r="A66" i="49"/>
  <c r="A153" i="49" s="1"/>
  <c r="A240" i="49" s="1"/>
  <c r="A111" i="49"/>
  <c r="A198" i="49" s="1"/>
  <c r="A285" i="49" s="1"/>
  <c r="A103" i="49"/>
  <c r="A190" i="49" s="1"/>
  <c r="A277" i="49" s="1"/>
  <c r="A95" i="49"/>
  <c r="A182" i="49" s="1"/>
  <c r="A269" i="49" s="1"/>
  <c r="A58" i="49"/>
  <c r="A145" i="49" s="1"/>
  <c r="A232" i="49" s="1"/>
  <c r="A50" i="49"/>
  <c r="A137" i="49" s="1"/>
  <c r="A224" i="49" s="1"/>
  <c r="A42" i="49"/>
  <c r="A129" i="49" s="1"/>
  <c r="A216" i="49" s="1"/>
  <c r="A87" i="49"/>
  <c r="A174" i="49" s="1"/>
  <c r="A261" i="49" s="1"/>
  <c r="A79" i="49"/>
  <c r="A166" i="49" s="1"/>
  <c r="A253" i="49" s="1"/>
  <c r="A71" i="49"/>
  <c r="A158" i="49" s="1"/>
  <c r="A245" i="49" s="1"/>
  <c r="A116" i="49"/>
  <c r="A203" i="49" s="1"/>
  <c r="A290" i="49" s="1"/>
  <c r="A108" i="49"/>
  <c r="A195" i="49" s="1"/>
  <c r="A282" i="49" s="1"/>
  <c r="A100" i="49"/>
  <c r="A187" i="49" s="1"/>
  <c r="A274" i="49" s="1"/>
  <c r="A56" i="49"/>
  <c r="A143" i="49" s="1"/>
  <c r="A230" i="49" s="1"/>
  <c r="A48" i="49"/>
  <c r="A135" i="49" s="1"/>
  <c r="A222" i="49" s="1"/>
  <c r="A40" i="49"/>
  <c r="A127" i="49" s="1"/>
  <c r="A214" i="49" s="1"/>
  <c r="A85" i="49"/>
  <c r="A172" i="49" s="1"/>
  <c r="A259" i="49" s="1"/>
  <c r="A77" i="49"/>
  <c r="A164" i="49" s="1"/>
  <c r="A251" i="49" s="1"/>
  <c r="A69" i="49"/>
  <c r="A156" i="49" s="1"/>
  <c r="A243" i="49" s="1"/>
  <c r="A114" i="49"/>
  <c r="A201" i="49" s="1"/>
  <c r="A288" i="49" s="1"/>
  <c r="A106" i="49"/>
  <c r="A193" i="49" s="1"/>
  <c r="A280" i="49" s="1"/>
  <c r="A98" i="49"/>
  <c r="A185" i="49" s="1"/>
  <c r="A272" i="49" s="1"/>
  <c r="F29" i="49" l="1"/>
  <c r="F22" i="49"/>
  <c r="F16" i="49"/>
  <c r="F30" i="49"/>
  <c r="F25" i="49"/>
  <c r="F17" i="49"/>
  <c r="F11" i="49"/>
  <c r="F26" i="49"/>
  <c r="A15" i="44" l="1"/>
  <c r="A6" i="44"/>
  <c r="A7" i="44"/>
  <c r="A5" i="44"/>
  <c r="A109" i="71"/>
  <c r="A120" i="71"/>
  <c r="A84" i="71"/>
  <c r="A85" i="71"/>
  <c r="A67" i="18"/>
  <c r="A50" i="71"/>
  <c r="A88" i="71"/>
  <c r="A126" i="71"/>
  <c r="A73" i="18"/>
  <c r="A74" i="18"/>
  <c r="A93" i="71"/>
  <c r="A131" i="71"/>
  <c r="A96" i="71"/>
  <c r="A134" i="71"/>
  <c r="A61" i="71"/>
  <c r="A136" i="71"/>
  <c r="A139" i="71"/>
  <c r="A104" i="71"/>
  <c r="A142" i="71"/>
  <c r="A119" i="71"/>
  <c r="A18" i="16"/>
  <c r="A9" i="16"/>
  <c r="A10" i="16"/>
  <c r="A11" i="16"/>
  <c r="A12" i="16"/>
  <c r="A13" i="16"/>
  <c r="A14" i="16"/>
  <c r="A15" i="16"/>
  <c r="A16" i="16"/>
  <c r="A8" i="16"/>
  <c r="L71" i="16" l="1"/>
  <c r="W71" i="16"/>
  <c r="L53" i="16"/>
  <c r="L33" i="16"/>
  <c r="W53" i="16"/>
  <c r="W33" i="16"/>
  <c r="L32" i="16"/>
  <c r="L70" i="16"/>
  <c r="W70" i="16"/>
  <c r="L52" i="16"/>
  <c r="W52" i="16"/>
  <c r="W32" i="16"/>
  <c r="L69" i="16"/>
  <c r="W69" i="16"/>
  <c r="L51" i="16"/>
  <c r="L31" i="16"/>
  <c r="W51" i="16"/>
  <c r="W31" i="16"/>
  <c r="L68" i="16"/>
  <c r="L30" i="16"/>
  <c r="W68" i="16"/>
  <c r="L50" i="16"/>
  <c r="W50" i="16"/>
  <c r="W30" i="16"/>
  <c r="L67" i="16"/>
  <c r="W67" i="16"/>
  <c r="L49" i="16"/>
  <c r="L29" i="16"/>
  <c r="W49" i="16"/>
  <c r="W29" i="16"/>
  <c r="W48" i="16"/>
  <c r="W28" i="16"/>
  <c r="L66" i="16"/>
  <c r="W66" i="16"/>
  <c r="L48" i="16"/>
  <c r="L28" i="16"/>
  <c r="W64" i="16"/>
  <c r="L46" i="16"/>
  <c r="L26" i="16"/>
  <c r="W46" i="16"/>
  <c r="W26" i="16"/>
  <c r="L64" i="16"/>
  <c r="L47" i="16"/>
  <c r="L27" i="16"/>
  <c r="W47" i="16"/>
  <c r="W27" i="16"/>
  <c r="L65" i="16"/>
  <c r="W65" i="16"/>
  <c r="W72" i="16"/>
  <c r="L54" i="16"/>
  <c r="L34" i="16"/>
  <c r="W54" i="16"/>
  <c r="W34" i="16"/>
  <c r="L72" i="16"/>
  <c r="A51" i="18"/>
  <c r="L56" i="16"/>
  <c r="L36" i="16"/>
  <c r="W56" i="16"/>
  <c r="W36" i="16"/>
  <c r="L74" i="16"/>
  <c r="W74" i="16"/>
  <c r="A56" i="71"/>
  <c r="A49" i="71"/>
  <c r="L14" i="75"/>
  <c r="A103" i="71"/>
  <c r="A90" i="71"/>
  <c r="A87" i="71"/>
  <c r="A133" i="71"/>
  <c r="A65" i="71"/>
  <c r="A141" i="71"/>
  <c r="A57" i="71"/>
  <c r="A102" i="71"/>
  <c r="A135" i="71"/>
  <c r="A125" i="71"/>
  <c r="A143" i="71"/>
  <c r="A86" i="71"/>
  <c r="A72" i="71"/>
  <c r="A106" i="71"/>
  <c r="A45" i="71"/>
  <c r="A54" i="71"/>
  <c r="A132" i="71"/>
  <c r="A146" i="71"/>
  <c r="A69" i="71"/>
  <c r="A53" i="71"/>
  <c r="A99" i="71"/>
  <c r="A83" i="71"/>
  <c r="A130" i="71"/>
  <c r="A66" i="18"/>
  <c r="A98" i="71"/>
  <c r="A127" i="71"/>
  <c r="A64" i="71"/>
  <c r="A48" i="71"/>
  <c r="A95" i="71"/>
  <c r="A25" i="18"/>
  <c r="A62" i="71"/>
  <c r="A46" i="71"/>
  <c r="A94" i="71"/>
  <c r="A140" i="71"/>
  <c r="A124" i="71"/>
  <c r="A82" i="71"/>
  <c r="A91" i="71"/>
  <c r="A138" i="71"/>
  <c r="A122" i="71"/>
  <c r="A64" i="18"/>
  <c r="A72" i="18"/>
  <c r="A63" i="71"/>
  <c r="A55" i="71"/>
  <c r="A47" i="71"/>
  <c r="A101" i="71"/>
  <c r="A123" i="71"/>
  <c r="A71" i="18"/>
  <c r="A137" i="71"/>
  <c r="A129" i="71"/>
  <c r="A121" i="71"/>
  <c r="A65" i="18"/>
  <c r="A68" i="71"/>
  <c r="A60" i="71"/>
  <c r="A52" i="71"/>
  <c r="A128" i="71"/>
  <c r="A100" i="71"/>
  <c r="A92" i="71"/>
  <c r="A67" i="71"/>
  <c r="A59" i="71"/>
  <c r="A51" i="71"/>
  <c r="A105" i="71"/>
  <c r="A97" i="71"/>
  <c r="A89" i="71"/>
  <c r="A66" i="71"/>
  <c r="A58" i="71"/>
  <c r="L49" i="76" l="1"/>
  <c r="L96" i="76"/>
  <c r="L23" i="76"/>
  <c r="L70" i="76"/>
  <c r="L23" i="75"/>
  <c r="A87" i="18"/>
  <c r="A96" i="18"/>
  <c r="L18" i="75"/>
  <c r="A92" i="18"/>
  <c r="L17" i="75"/>
  <c r="A93" i="18"/>
  <c r="A81" i="18"/>
  <c r="L29" i="75"/>
  <c r="A100" i="18"/>
  <c r="L10" i="75"/>
  <c r="A77" i="18"/>
  <c r="L33" i="75"/>
  <c r="A70" i="18"/>
  <c r="L40" i="75"/>
  <c r="L4" i="83" l="1"/>
  <c r="O4" i="83" s="1"/>
  <c r="R4" i="83" s="1"/>
  <c r="F4" i="83"/>
  <c r="E4" i="83"/>
  <c r="H4" i="83" l="1"/>
  <c r="AM5" i="80"/>
  <c r="Z5" i="80"/>
  <c r="K4" i="83" l="1"/>
  <c r="N4" i="83" s="1"/>
  <c r="Q4" i="83" s="1"/>
  <c r="A67" i="80" l="1"/>
  <c r="A66" i="80"/>
  <c r="A65" i="80"/>
  <c r="A64" i="80"/>
  <c r="A63" i="80"/>
  <c r="A62" i="80"/>
  <c r="A61" i="80"/>
  <c r="A59" i="80"/>
  <c r="A58" i="80"/>
  <c r="A57" i="80"/>
  <c r="A56" i="80"/>
  <c r="A55" i="80"/>
  <c r="A54" i="80"/>
  <c r="A53" i="80"/>
  <c r="A51" i="80"/>
  <c r="A50" i="80"/>
  <c r="A49" i="80"/>
  <c r="A48" i="80"/>
  <c r="A47" i="80"/>
  <c r="A46" i="80"/>
  <c r="A45" i="80"/>
  <c r="A44" i="80"/>
  <c r="A71" i="80"/>
  <c r="I41" i="80"/>
  <c r="C41" i="80"/>
  <c r="A41" i="80"/>
  <c r="N40" i="80"/>
  <c r="K40" i="80"/>
  <c r="H40" i="80"/>
  <c r="K39" i="80"/>
  <c r="A35" i="80"/>
  <c r="AT14" i="80"/>
  <c r="AT12" i="80"/>
  <c r="AT10" i="80"/>
  <c r="AT8" i="80"/>
  <c r="L5" i="80"/>
  <c r="O5" i="80" s="1"/>
  <c r="R5" i="80" s="1"/>
  <c r="F5" i="80"/>
  <c r="F41" i="80" s="1"/>
  <c r="E5" i="80"/>
  <c r="E41" i="80" s="1"/>
  <c r="H55" i="80" l="1"/>
  <c r="I63" i="80"/>
  <c r="R65" i="80"/>
  <c r="I46" i="80"/>
  <c r="I65" i="80"/>
  <c r="H65" i="80"/>
  <c r="R68" i="80"/>
  <c r="R60" i="80"/>
  <c r="R59" i="80"/>
  <c r="R52" i="80"/>
  <c r="R51" i="80"/>
  <c r="I61" i="80"/>
  <c r="I53" i="80"/>
  <c r="I45" i="80"/>
  <c r="R63" i="80"/>
  <c r="H57" i="80"/>
  <c r="H51" i="80"/>
  <c r="I47" i="80"/>
  <c r="R66" i="80"/>
  <c r="R67" i="80"/>
  <c r="R50" i="80"/>
  <c r="I62" i="80"/>
  <c r="I58" i="80"/>
  <c r="I54" i="80"/>
  <c r="H67" i="80"/>
  <c r="R61" i="80"/>
  <c r="R62" i="80"/>
  <c r="H58" i="80"/>
  <c r="I56" i="80"/>
  <c r="R55" i="80"/>
  <c r="I55" i="80"/>
  <c r="R54" i="80"/>
  <c r="R53" i="80"/>
  <c r="R47" i="80"/>
  <c r="I48" i="80"/>
  <c r="R46" i="80"/>
  <c r="I51" i="80"/>
  <c r="I59" i="80"/>
  <c r="I67" i="80"/>
  <c r="R48" i="80"/>
  <c r="R56" i="80"/>
  <c r="R64" i="80"/>
  <c r="I64" i="80"/>
  <c r="I57" i="80"/>
  <c r="I50" i="80"/>
  <c r="F64" i="80"/>
  <c r="I52" i="80"/>
  <c r="I60" i="80"/>
  <c r="I68" i="80"/>
  <c r="R49" i="80"/>
  <c r="R57" i="80"/>
  <c r="I49" i="80"/>
  <c r="H59" i="80"/>
  <c r="C61" i="80"/>
  <c r="I66" i="80"/>
  <c r="H62" i="80"/>
  <c r="R58" i="80"/>
  <c r="H49" i="80"/>
  <c r="H48" i="80"/>
  <c r="H60" i="80"/>
  <c r="H52" i="80"/>
  <c r="H68" i="80"/>
  <c r="H66" i="80"/>
  <c r="H47" i="80"/>
  <c r="H50" i="80"/>
  <c r="H56" i="80"/>
  <c r="H63" i="80"/>
  <c r="H54" i="80"/>
  <c r="H45" i="80"/>
  <c r="H53" i="80"/>
  <c r="H61" i="80"/>
  <c r="H46" i="80"/>
  <c r="H64" i="80"/>
  <c r="H5" i="80"/>
  <c r="H41" i="80" s="1"/>
  <c r="I40" i="80"/>
  <c r="A37" i="80" s="1"/>
  <c r="A52" i="80"/>
  <c r="A60" i="80"/>
  <c r="A68" i="80"/>
  <c r="I4" i="80"/>
  <c r="A1" i="80" s="1"/>
  <c r="L41" i="80"/>
  <c r="O41" i="80" s="1"/>
  <c r="R41" i="80" s="1"/>
  <c r="A37" i="79"/>
  <c r="A112" i="78"/>
  <c r="Z132" i="78"/>
  <c r="Z120" i="78"/>
  <c r="X120" i="78"/>
  <c r="M132" i="78"/>
  <c r="O126" i="78"/>
  <c r="M121" i="78"/>
  <c r="D95" i="78"/>
  <c r="E84" i="78"/>
  <c r="B126" i="78"/>
  <c r="B124" i="78"/>
  <c r="D121" i="78"/>
  <c r="Z95" i="78"/>
  <c r="Y43" i="78"/>
  <c r="A106" i="78"/>
  <c r="L106" i="78" s="1"/>
  <c r="AH106" i="78" s="1"/>
  <c r="BD106" i="78" s="1"/>
  <c r="BZ106" i="78" s="1"/>
  <c r="A142" i="78"/>
  <c r="L142" i="78" s="1"/>
  <c r="AH142" i="78" s="1"/>
  <c r="BD142" i="78" s="1"/>
  <c r="BZ142" i="78" s="1"/>
  <c r="A103" i="78"/>
  <c r="W103" i="78" s="1"/>
  <c r="AS103" i="78" s="1"/>
  <c r="BO103" i="78" s="1"/>
  <c r="CK103" i="78" s="1"/>
  <c r="A63" i="78"/>
  <c r="L63" i="78" s="1"/>
  <c r="AH63" i="78" s="1"/>
  <c r="BD63" i="78" s="1"/>
  <c r="BZ63" i="78" s="1"/>
  <c r="A98" i="78"/>
  <c r="L98" i="78" s="1"/>
  <c r="AH98" i="78" s="1"/>
  <c r="BD98" i="78" s="1"/>
  <c r="BZ98" i="78" s="1"/>
  <c r="A95" i="78"/>
  <c r="W95" i="78" s="1"/>
  <c r="AS95" i="78" s="1"/>
  <c r="BO95" i="78" s="1"/>
  <c r="CK95" i="78" s="1"/>
  <c r="A55" i="78"/>
  <c r="L55" i="78" s="1"/>
  <c r="AH55" i="78" s="1"/>
  <c r="BD55" i="78" s="1"/>
  <c r="BZ55" i="78" s="1"/>
  <c r="A90" i="78"/>
  <c r="L90" i="78" s="1"/>
  <c r="AH90" i="78" s="1"/>
  <c r="BD90" i="78" s="1"/>
  <c r="BZ90" i="78" s="1"/>
  <c r="A126" i="78"/>
  <c r="L126" i="78" s="1"/>
  <c r="AH126" i="78" s="1"/>
  <c r="BD126" i="78" s="1"/>
  <c r="BZ126" i="78" s="1"/>
  <c r="A87" i="78"/>
  <c r="W87" i="78" s="1"/>
  <c r="AS87" i="78" s="1"/>
  <c r="BO87" i="78" s="1"/>
  <c r="CK87" i="78" s="1"/>
  <c r="A47" i="78"/>
  <c r="L47" i="78" s="1"/>
  <c r="AH47" i="78" s="1"/>
  <c r="BD47" i="78" s="1"/>
  <c r="BZ47" i="78" s="1"/>
  <c r="A83" i="78"/>
  <c r="L83" i="78" s="1"/>
  <c r="AH83" i="78" s="1"/>
  <c r="BD83" i="78" s="1"/>
  <c r="BZ83" i="78" s="1"/>
  <c r="A119" i="78"/>
  <c r="L119" i="78" s="1"/>
  <c r="AH119" i="78" s="1"/>
  <c r="BD119" i="78" s="1"/>
  <c r="BZ119" i="78" s="1"/>
  <c r="W146" i="78"/>
  <c r="L146" i="78"/>
  <c r="A146" i="78"/>
  <c r="Z133" i="78"/>
  <c r="AA131" i="78"/>
  <c r="M126" i="78"/>
  <c r="O124" i="78"/>
  <c r="AA119" i="78"/>
  <c r="X119" i="78"/>
  <c r="Z117" i="78"/>
  <c r="E117" i="78"/>
  <c r="W109" i="78"/>
  <c r="L109" i="78"/>
  <c r="A109" i="78"/>
  <c r="Z96" i="78"/>
  <c r="O87" i="78"/>
  <c r="Z84" i="78"/>
  <c r="E80" i="78"/>
  <c r="W72" i="78"/>
  <c r="L72" i="78"/>
  <c r="A72" i="78"/>
  <c r="AA43" i="78"/>
  <c r="Z43" i="78"/>
  <c r="U43" i="78"/>
  <c r="U80" i="78" s="1"/>
  <c r="T43" i="78"/>
  <c r="T80" i="78" s="1"/>
  <c r="S43" i="78"/>
  <c r="S80" i="78" s="1"/>
  <c r="P43" i="78"/>
  <c r="O43" i="78"/>
  <c r="J43" i="78"/>
  <c r="J80" i="78" s="1"/>
  <c r="I43" i="78"/>
  <c r="I80" i="78" s="1"/>
  <c r="H43" i="78"/>
  <c r="H80" i="78" s="1"/>
  <c r="F43" i="78"/>
  <c r="E43" i="78"/>
  <c r="D43" i="78"/>
  <c r="U42" i="78"/>
  <c r="U79" i="78" s="1"/>
  <c r="T42" i="78"/>
  <c r="T79" i="78" s="1"/>
  <c r="S42" i="78"/>
  <c r="S79" i="78" s="1"/>
  <c r="J42" i="78"/>
  <c r="J79" i="78" s="1"/>
  <c r="I42" i="78"/>
  <c r="I79" i="78" s="1"/>
  <c r="H42" i="78"/>
  <c r="H79" i="78" s="1"/>
  <c r="H78" i="78"/>
  <c r="Z80" i="78" l="1"/>
  <c r="X87" i="78"/>
  <c r="AB43" i="78"/>
  <c r="AA96" i="78"/>
  <c r="AA117" i="78"/>
  <c r="P82" i="78"/>
  <c r="Q43" i="78"/>
  <c r="W75" i="78"/>
  <c r="AA94" i="78"/>
  <c r="AA80" i="78"/>
  <c r="AA95" i="78"/>
  <c r="P117" i="78"/>
  <c r="X43" i="78"/>
  <c r="M43" i="78"/>
  <c r="M117" i="78"/>
  <c r="X82" i="78"/>
  <c r="X117" i="78"/>
  <c r="X80" i="78"/>
  <c r="AA86" i="78"/>
  <c r="A128" i="78"/>
  <c r="L128" i="78" s="1"/>
  <c r="AH128" i="78" s="1"/>
  <c r="BD128" i="78" s="1"/>
  <c r="BZ128" i="78" s="1"/>
  <c r="A136" i="78"/>
  <c r="L136" i="78" s="1"/>
  <c r="AH136" i="78" s="1"/>
  <c r="BD136" i="78" s="1"/>
  <c r="BZ136" i="78" s="1"/>
  <c r="W119" i="78"/>
  <c r="AS119" i="78" s="1"/>
  <c r="BO119" i="78" s="1"/>
  <c r="CK119" i="78" s="1"/>
  <c r="A127" i="78"/>
  <c r="W127" i="78" s="1"/>
  <c r="AS127" i="78" s="1"/>
  <c r="BO127" i="78" s="1"/>
  <c r="CK127" i="78" s="1"/>
  <c r="A135" i="78"/>
  <c r="W135" i="78" s="1"/>
  <c r="AS135" i="78" s="1"/>
  <c r="BO135" i="78" s="1"/>
  <c r="CK135" i="78" s="1"/>
  <c r="W83" i="78"/>
  <c r="AS83" i="78" s="1"/>
  <c r="BO83" i="78" s="1"/>
  <c r="CK83" i="78" s="1"/>
  <c r="L87" i="78"/>
  <c r="AH87" i="78" s="1"/>
  <c r="BD87" i="78" s="1"/>
  <c r="BZ87" i="78" s="1"/>
  <c r="W98" i="78"/>
  <c r="AS98" i="78" s="1"/>
  <c r="BO98" i="78" s="1"/>
  <c r="CK98" i="78" s="1"/>
  <c r="A120" i="78"/>
  <c r="L120" i="78" s="1"/>
  <c r="AH120" i="78" s="1"/>
  <c r="BD120" i="78" s="1"/>
  <c r="BZ120" i="78" s="1"/>
  <c r="W106" i="78"/>
  <c r="AS106" i="78" s="1"/>
  <c r="BO106" i="78" s="1"/>
  <c r="CK106" i="78" s="1"/>
  <c r="A85" i="78"/>
  <c r="L85" i="78" s="1"/>
  <c r="AH85" i="78" s="1"/>
  <c r="BD85" i="78" s="1"/>
  <c r="BZ85" i="78" s="1"/>
  <c r="L95" i="78"/>
  <c r="AH95" i="78" s="1"/>
  <c r="BD95" i="78" s="1"/>
  <c r="BZ95" i="78" s="1"/>
  <c r="A92" i="78"/>
  <c r="L92" i="78" s="1"/>
  <c r="AH92" i="78" s="1"/>
  <c r="BD92" i="78" s="1"/>
  <c r="BZ92" i="78" s="1"/>
  <c r="A130" i="78"/>
  <c r="L103" i="78"/>
  <c r="AH103" i="78" s="1"/>
  <c r="BD103" i="78" s="1"/>
  <c r="BZ103" i="78" s="1"/>
  <c r="W90" i="78"/>
  <c r="AS90" i="78" s="1"/>
  <c r="BO90" i="78" s="1"/>
  <c r="CK90" i="78" s="1"/>
  <c r="A138" i="78"/>
  <c r="A84" i="78"/>
  <c r="L84" i="78" s="1"/>
  <c r="AH84" i="78" s="1"/>
  <c r="BD84" i="78" s="1"/>
  <c r="BZ84" i="78" s="1"/>
  <c r="W47" i="78"/>
  <c r="AS47" i="78" s="1"/>
  <c r="BO47" i="78" s="1"/>
  <c r="CK47" i="78" s="1"/>
  <c r="W55" i="78"/>
  <c r="AS55" i="78" s="1"/>
  <c r="BO55" i="78" s="1"/>
  <c r="CK55" i="78" s="1"/>
  <c r="A122" i="78"/>
  <c r="W63" i="78"/>
  <c r="AS63" i="78" s="1"/>
  <c r="BO63" i="78" s="1"/>
  <c r="CK63" i="78" s="1"/>
  <c r="A56" i="78"/>
  <c r="A143" i="78"/>
  <c r="L143" i="78" s="1"/>
  <c r="AH143" i="78" s="1"/>
  <c r="BD143" i="78" s="1"/>
  <c r="BZ143" i="78" s="1"/>
  <c r="A104" i="78"/>
  <c r="A141" i="78"/>
  <c r="A52" i="78"/>
  <c r="A60" i="78"/>
  <c r="A68" i="78"/>
  <c r="W142" i="78"/>
  <c r="AS142" i="78" s="1"/>
  <c r="BO142" i="78" s="1"/>
  <c r="CK142" i="78" s="1"/>
  <c r="A125" i="78"/>
  <c r="A96" i="78"/>
  <c r="A133" i="78"/>
  <c r="A134" i="78"/>
  <c r="W126" i="78"/>
  <c r="AS126" i="78" s="1"/>
  <c r="BO126" i="78" s="1"/>
  <c r="CK126" i="78" s="1"/>
  <c r="A48" i="78"/>
  <c r="A93" i="78"/>
  <c r="A121" i="78"/>
  <c r="A129" i="78"/>
  <c r="A137" i="78"/>
  <c r="A64" i="78"/>
  <c r="A101" i="78"/>
  <c r="A123" i="78"/>
  <c r="A131" i="78"/>
  <c r="A139" i="78"/>
  <c r="A100" i="78"/>
  <c r="A124" i="78"/>
  <c r="A132" i="78"/>
  <c r="A140" i="78"/>
  <c r="F46" i="80"/>
  <c r="F57" i="80"/>
  <c r="F61" i="80"/>
  <c r="F45" i="80"/>
  <c r="F47" i="80"/>
  <c r="F49" i="80"/>
  <c r="K61" i="80"/>
  <c r="K48" i="80"/>
  <c r="L48" i="80" s="1"/>
  <c r="K53" i="80"/>
  <c r="C59" i="80"/>
  <c r="K59" i="80"/>
  <c r="K68" i="80"/>
  <c r="K66" i="80"/>
  <c r="C45" i="80"/>
  <c r="K62" i="80"/>
  <c r="K65" i="80"/>
  <c r="C67" i="80"/>
  <c r="K56" i="80"/>
  <c r="L56" i="80" s="1"/>
  <c r="K58" i="80"/>
  <c r="N58" i="80" s="1"/>
  <c r="O58" i="80" s="1"/>
  <c r="K49" i="80"/>
  <c r="C49" i="80"/>
  <c r="K54" i="80"/>
  <c r="K55" i="80"/>
  <c r="N55" i="80" s="1"/>
  <c r="O55" i="80" s="1"/>
  <c r="K63" i="80"/>
  <c r="L63" i="80" s="1"/>
  <c r="K67" i="80"/>
  <c r="C62" i="80"/>
  <c r="K50" i="80"/>
  <c r="H71" i="80"/>
  <c r="K51" i="80"/>
  <c r="C55" i="80"/>
  <c r="C54" i="80"/>
  <c r="C63" i="80"/>
  <c r="C52" i="80"/>
  <c r="K45" i="80"/>
  <c r="K47" i="80"/>
  <c r="K57" i="80"/>
  <c r="K60" i="80"/>
  <c r="N60" i="80" s="1"/>
  <c r="O60" i="80" s="1"/>
  <c r="C68" i="80"/>
  <c r="X13" i="79"/>
  <c r="AA126" i="78"/>
  <c r="AA124" i="78"/>
  <c r="AA121" i="78"/>
  <c r="Z83" i="78"/>
  <c r="Z126" i="78"/>
  <c r="X125" i="78"/>
  <c r="X94" i="78"/>
  <c r="O95" i="78"/>
  <c r="P119" i="78"/>
  <c r="O119" i="78"/>
  <c r="M131" i="78"/>
  <c r="E131" i="78"/>
  <c r="E124" i="78"/>
  <c r="E121" i="78"/>
  <c r="E120" i="78"/>
  <c r="E132" i="78"/>
  <c r="D124" i="78"/>
  <c r="B133" i="78"/>
  <c r="B120" i="78"/>
  <c r="B131" i="78"/>
  <c r="D80" i="78"/>
  <c r="B43" i="78"/>
  <c r="B83" i="78"/>
  <c r="P96" i="78"/>
  <c r="P80" i="78"/>
  <c r="O80" i="78"/>
  <c r="O82" i="78"/>
  <c r="O117" i="78"/>
  <c r="P88" i="78"/>
  <c r="L38" i="78"/>
  <c r="M84" i="78"/>
  <c r="X22" i="79"/>
  <c r="AA132" i="78"/>
  <c r="AA84" i="78"/>
  <c r="AA120" i="78"/>
  <c r="AA83" i="78"/>
  <c r="Z121" i="78"/>
  <c r="Z88" i="78"/>
  <c r="Z125" i="78"/>
  <c r="X131" i="78"/>
  <c r="X89" i="78"/>
  <c r="X126" i="78"/>
  <c r="X83" i="78"/>
  <c r="P91" i="78"/>
  <c r="P131" i="78"/>
  <c r="O132" i="78"/>
  <c r="O131" i="78"/>
  <c r="M124" i="78"/>
  <c r="E133" i="78"/>
  <c r="E126" i="78"/>
  <c r="E125" i="78"/>
  <c r="E119" i="78"/>
  <c r="D133" i="78"/>
  <c r="E94" i="78"/>
  <c r="D125" i="78"/>
  <c r="D120" i="78"/>
  <c r="E83" i="78"/>
  <c r="D132" i="78"/>
  <c r="D131" i="78"/>
  <c r="D126" i="78"/>
  <c r="B132" i="78"/>
  <c r="B125" i="78"/>
  <c r="B87" i="78"/>
  <c r="B121" i="78"/>
  <c r="E89" i="78"/>
  <c r="D87" i="78"/>
  <c r="E95" i="78"/>
  <c r="E87" i="78"/>
  <c r="E88" i="78"/>
  <c r="E96" i="78"/>
  <c r="D89" i="78"/>
  <c r="D83" i="78"/>
  <c r="D96" i="78"/>
  <c r="D94" i="78"/>
  <c r="D84" i="78"/>
  <c r="D88" i="78"/>
  <c r="B117" i="78"/>
  <c r="B95" i="78"/>
  <c r="C43" i="78"/>
  <c r="B88" i="78"/>
  <c r="B94" i="78"/>
  <c r="B96" i="78"/>
  <c r="B89" i="78"/>
  <c r="B84" i="78"/>
  <c r="K46" i="80"/>
  <c r="K64" i="80"/>
  <c r="N64" i="80" s="1"/>
  <c r="O64" i="80" s="1"/>
  <c r="C60" i="80"/>
  <c r="F48" i="80"/>
  <c r="C66" i="80"/>
  <c r="C46" i="80"/>
  <c r="C53" i="80"/>
  <c r="F51" i="80"/>
  <c r="C71" i="80"/>
  <c r="I71" i="80"/>
  <c r="C65" i="80"/>
  <c r="C50" i="80"/>
  <c r="C58" i="80"/>
  <c r="C64" i="80"/>
  <c r="C47" i="80"/>
  <c r="K52" i="80"/>
  <c r="F66" i="80"/>
  <c r="F65" i="80"/>
  <c r="F63" i="80"/>
  <c r="F59" i="80"/>
  <c r="F68" i="80"/>
  <c r="F62" i="80"/>
  <c r="F54" i="80"/>
  <c r="F53" i="80"/>
  <c r="F71" i="80"/>
  <c r="F58" i="80"/>
  <c r="F60" i="80"/>
  <c r="F55" i="80"/>
  <c r="F67" i="80"/>
  <c r="F52" i="80"/>
  <c r="C56" i="80"/>
  <c r="F50" i="80"/>
  <c r="C51" i="80"/>
  <c r="F56" i="80"/>
  <c r="C57" i="80"/>
  <c r="C48" i="80"/>
  <c r="K5" i="80"/>
  <c r="N5" i="80" s="1"/>
  <c r="Q5" i="80" s="1"/>
  <c r="Q41" i="80" s="1"/>
  <c r="D93" i="78"/>
  <c r="M141" i="78"/>
  <c r="M134" i="78"/>
  <c r="P135" i="78"/>
  <c r="AA136" i="78"/>
  <c r="O127" i="78"/>
  <c r="M142" i="78"/>
  <c r="P130" i="78"/>
  <c r="O102" i="78"/>
  <c r="P85" i="78"/>
  <c r="O143" i="78"/>
  <c r="K41" i="80"/>
  <c r="N41" i="80" s="1"/>
  <c r="X127" i="78"/>
  <c r="X102" i="78"/>
  <c r="B102" i="78"/>
  <c r="X90" i="78"/>
  <c r="AA91" i="78"/>
  <c r="X139" i="78"/>
  <c r="O137" i="78"/>
  <c r="AA130" i="78"/>
  <c r="Z139" i="78"/>
  <c r="D129" i="78"/>
  <c r="O140" i="78"/>
  <c r="X142" i="78"/>
  <c r="D106" i="78"/>
  <c r="P122" i="78"/>
  <c r="O106" i="78"/>
  <c r="X136" i="78"/>
  <c r="AA140" i="78"/>
  <c r="X101" i="78"/>
  <c r="P123" i="78"/>
  <c r="O103" i="78"/>
  <c r="B123" i="78"/>
  <c r="B127" i="78"/>
  <c r="B135" i="78"/>
  <c r="B139" i="78"/>
  <c r="E130" i="78"/>
  <c r="E134" i="78"/>
  <c r="E142" i="78"/>
  <c r="M139" i="78"/>
  <c r="B91" i="78"/>
  <c r="F55" i="78"/>
  <c r="X128" i="78"/>
  <c r="D90" i="78"/>
  <c r="B92" i="78"/>
  <c r="B100" i="78"/>
  <c r="E91" i="78"/>
  <c r="E103" i="78"/>
  <c r="M140" i="78"/>
  <c r="O86" i="78"/>
  <c r="P138" i="78"/>
  <c r="AA99" i="78"/>
  <c r="X106" i="78"/>
  <c r="Z97" i="78"/>
  <c r="B97" i="78"/>
  <c r="B138" i="78"/>
  <c r="E141" i="78"/>
  <c r="B86" i="78"/>
  <c r="B90" i="78"/>
  <c r="B98" i="78"/>
  <c r="E93" i="78"/>
  <c r="E101" i="78"/>
  <c r="E105" i="78"/>
  <c r="X28" i="79"/>
  <c r="D91" i="78"/>
  <c r="E140" i="78"/>
  <c r="P106" i="78"/>
  <c r="P143" i="78"/>
  <c r="D128" i="78"/>
  <c r="E128" i="78"/>
  <c r="X98" i="78"/>
  <c r="X135" i="78"/>
  <c r="Z102" i="78"/>
  <c r="X105" i="78"/>
  <c r="AA143" i="78"/>
  <c r="O90" i="78"/>
  <c r="O130" i="78"/>
  <c r="P93" i="78"/>
  <c r="Z103" i="78"/>
  <c r="B129" i="78"/>
  <c r="B137" i="78"/>
  <c r="B104" i="78"/>
  <c r="X86" i="78"/>
  <c r="AA127" i="78"/>
  <c r="X138" i="78"/>
  <c r="AA139" i="78"/>
  <c r="B85" i="78"/>
  <c r="B101" i="78"/>
  <c r="E92" i="78"/>
  <c r="D141" i="78"/>
  <c r="O138" i="78"/>
  <c r="M104" i="78"/>
  <c r="M122" i="78"/>
  <c r="O134" i="78"/>
  <c r="M137" i="78"/>
  <c r="D136" i="78"/>
  <c r="E122" i="78"/>
  <c r="B141" i="78"/>
  <c r="Z99" i="78"/>
  <c r="AA142" i="78"/>
  <c r="B103" i="78"/>
  <c r="E90" i="78"/>
  <c r="X18" i="79"/>
  <c r="O28" i="79"/>
  <c r="D85" i="78"/>
  <c r="D139" i="78"/>
  <c r="E102" i="78"/>
  <c r="D100" i="78"/>
  <c r="P101" i="78"/>
  <c r="X85" i="78"/>
  <c r="X122" i="78"/>
  <c r="D86" i="78"/>
  <c r="D101" i="78"/>
  <c r="B128" i="78"/>
  <c r="B136" i="78"/>
  <c r="E123" i="78"/>
  <c r="E127" i="78"/>
  <c r="E139" i="78"/>
  <c r="E143" i="78"/>
  <c r="D104" i="78"/>
  <c r="D127" i="78"/>
  <c r="O85" i="78"/>
  <c r="D123" i="78"/>
  <c r="D135" i="78"/>
  <c r="E98" i="78"/>
  <c r="E106" i="78"/>
  <c r="D143" i="78"/>
  <c r="E104" i="78"/>
  <c r="D98" i="78"/>
  <c r="D92" i="78"/>
  <c r="D105" i="78"/>
  <c r="M129" i="78"/>
  <c r="M92" i="78"/>
  <c r="Z140" i="78"/>
  <c r="AA103" i="78"/>
  <c r="E135" i="78"/>
  <c r="B140" i="78"/>
  <c r="B105" i="78"/>
  <c r="E100" i="78"/>
  <c r="D137" i="78"/>
  <c r="M100" i="78"/>
  <c r="Z104" i="78"/>
  <c r="B130" i="78"/>
  <c r="B134" i="78"/>
  <c r="B142" i="78"/>
  <c r="E129" i="78"/>
  <c r="E137" i="78"/>
  <c r="E86" i="78"/>
  <c r="B93" i="78"/>
  <c r="B99" i="78"/>
  <c r="D102" i="78"/>
  <c r="B122" i="78"/>
  <c r="M123" i="78"/>
  <c r="P127" i="78"/>
  <c r="O135" i="78"/>
  <c r="M29" i="79"/>
  <c r="D142" i="78"/>
  <c r="D122" i="78"/>
  <c r="D130" i="78"/>
  <c r="D134" i="78"/>
  <c r="D97" i="78"/>
  <c r="D99" i="78"/>
  <c r="B106" i="78"/>
  <c r="D138" i="78"/>
  <c r="O142" i="78"/>
  <c r="P102" i="78"/>
  <c r="Z136" i="78"/>
  <c r="D60" i="78"/>
  <c r="D140" i="78"/>
  <c r="C66" i="78"/>
  <c r="B143" i="78"/>
  <c r="E138" i="78"/>
  <c r="E85" i="78"/>
  <c r="E97" i="78"/>
  <c r="E99" i="78"/>
  <c r="E136" i="78"/>
  <c r="AA123" i="78"/>
  <c r="AA129" i="78"/>
  <c r="Z91" i="78"/>
  <c r="X93" i="78"/>
  <c r="Z141" i="78"/>
  <c r="X143" i="78"/>
  <c r="N50" i="78"/>
  <c r="AA134" i="78"/>
  <c r="AA137" i="78"/>
  <c r="M136" i="78"/>
  <c r="P99" i="78"/>
  <c r="P104" i="78"/>
  <c r="AA92" i="78"/>
  <c r="X134" i="78"/>
  <c r="AA105" i="78"/>
  <c r="D103" i="78"/>
  <c r="Z129" i="78"/>
  <c r="Z92" i="78"/>
  <c r="X91" i="78"/>
  <c r="Z128" i="78"/>
  <c r="X130" i="78"/>
  <c r="Z123" i="78"/>
  <c r="X123" i="78"/>
  <c r="AA128" i="78"/>
  <c r="Z137" i="78"/>
  <c r="AA102" i="78"/>
  <c r="Z82" i="78"/>
  <c r="Z57" i="78"/>
  <c r="X121" i="78"/>
  <c r="X84" i="78"/>
  <c r="AA85" i="78"/>
  <c r="Z85" i="78"/>
  <c r="Z122" i="78"/>
  <c r="X124" i="78"/>
  <c r="AA88" i="78"/>
  <c r="AA125" i="78"/>
  <c r="Z90" i="78"/>
  <c r="X92" i="78"/>
  <c r="Z130" i="78"/>
  <c r="AA93" i="78"/>
  <c r="Z93" i="78"/>
  <c r="X95" i="78"/>
  <c r="X132" i="78"/>
  <c r="AA133" i="78"/>
  <c r="Z98" i="78"/>
  <c r="X100" i="78"/>
  <c r="Z138" i="78"/>
  <c r="AA101" i="78"/>
  <c r="Z101" i="78"/>
  <c r="X140" i="78"/>
  <c r="X103" i="78"/>
  <c r="AA141" i="78"/>
  <c r="AA104" i="78"/>
  <c r="Z106" i="78"/>
  <c r="Z119" i="78"/>
  <c r="Z127" i="78"/>
  <c r="X129" i="78"/>
  <c r="Z135" i="78"/>
  <c r="Z87" i="78"/>
  <c r="X97" i="78"/>
  <c r="AA122" i="78"/>
  <c r="Z86" i="78"/>
  <c r="AA87" i="78"/>
  <c r="Z94" i="78"/>
  <c r="AA98" i="78"/>
  <c r="X104" i="78"/>
  <c r="Z105" i="78"/>
  <c r="X141" i="78"/>
  <c r="Z142" i="78"/>
  <c r="Z143" i="78"/>
  <c r="AA106" i="78"/>
  <c r="Z124" i="78"/>
  <c r="X137" i="78"/>
  <c r="AA82" i="78"/>
  <c r="X96" i="78"/>
  <c r="AA97" i="78"/>
  <c r="X99" i="78"/>
  <c r="Z131" i="78"/>
  <c r="Z134" i="78"/>
  <c r="AA135" i="78"/>
  <c r="AA138" i="78"/>
  <c r="X88" i="78"/>
  <c r="Z89" i="78"/>
  <c r="AA90" i="78"/>
  <c r="Z100" i="78"/>
  <c r="X133" i="78"/>
  <c r="AA89" i="78"/>
  <c r="AA100" i="78"/>
  <c r="O101" i="78"/>
  <c r="O122" i="78"/>
  <c r="O98" i="78"/>
  <c r="P90" i="78"/>
  <c r="P98" i="78"/>
  <c r="P139" i="78"/>
  <c r="Q62" i="78"/>
  <c r="M135" i="78"/>
  <c r="O120" i="78"/>
  <c r="M101" i="78"/>
  <c r="O91" i="78"/>
  <c r="O104" i="78"/>
  <c r="P86" i="78"/>
  <c r="P84" i="78"/>
  <c r="M88" i="78"/>
  <c r="P92" i="78"/>
  <c r="M69" i="78"/>
  <c r="M82" i="78"/>
  <c r="M130" i="78"/>
  <c r="O88" i="78"/>
  <c r="M119" i="78"/>
  <c r="O83" i="78"/>
  <c r="M125" i="78"/>
  <c r="P126" i="78"/>
  <c r="P94" i="78"/>
  <c r="P134" i="78"/>
  <c r="O99" i="78"/>
  <c r="P142" i="78"/>
  <c r="O125" i="78"/>
  <c r="O133" i="78"/>
  <c r="O141" i="78"/>
  <c r="O93" i="78"/>
  <c r="P125" i="78"/>
  <c r="P133" i="78"/>
  <c r="P141" i="78"/>
  <c r="D117" i="78"/>
  <c r="S78" i="78"/>
  <c r="H41" i="78"/>
  <c r="B80" i="78"/>
  <c r="S41" i="78"/>
  <c r="D82" i="78"/>
  <c r="E82" i="78"/>
  <c r="D119" i="78"/>
  <c r="M83" i="78"/>
  <c r="O89" i="78"/>
  <c r="P95" i="78"/>
  <c r="M99" i="78"/>
  <c r="O105" i="78"/>
  <c r="M138" i="78"/>
  <c r="O84" i="78"/>
  <c r="P89" i="78"/>
  <c r="O94" i="78"/>
  <c r="M98" i="78"/>
  <c r="O100" i="78"/>
  <c r="P105" i="78"/>
  <c r="O123" i="78"/>
  <c r="P124" i="78"/>
  <c r="P132" i="78"/>
  <c r="O139" i="78"/>
  <c r="P140" i="78"/>
  <c r="M120" i="78"/>
  <c r="P83" i="78"/>
  <c r="O121" i="78"/>
  <c r="P87" i="78"/>
  <c r="M91" i="78"/>
  <c r="M96" i="78"/>
  <c r="O97" i="78"/>
  <c r="P103" i="78"/>
  <c r="P121" i="78"/>
  <c r="O128" i="78"/>
  <c r="P129" i="78"/>
  <c r="O136" i="78"/>
  <c r="P137" i="78"/>
  <c r="M128" i="78"/>
  <c r="O129" i="78"/>
  <c r="M143" i="78"/>
  <c r="M90" i="78"/>
  <c r="O92" i="78"/>
  <c r="P97" i="78"/>
  <c r="M106" i="78"/>
  <c r="P120" i="78"/>
  <c r="P128" i="78"/>
  <c r="M133" i="78"/>
  <c r="P136" i="78"/>
  <c r="P100" i="78"/>
  <c r="M127" i="78"/>
  <c r="O96" i="78"/>
  <c r="M80" i="78"/>
  <c r="M89" i="78"/>
  <c r="M97" i="78"/>
  <c r="M105" i="78"/>
  <c r="N43" i="78"/>
  <c r="M87" i="78"/>
  <c r="M95" i="78"/>
  <c r="M103" i="78"/>
  <c r="M86" i="78"/>
  <c r="M94" i="78"/>
  <c r="M102" i="78"/>
  <c r="M85" i="78"/>
  <c r="M93" i="78"/>
  <c r="A49" i="78"/>
  <c r="A65" i="78"/>
  <c r="A50" i="78"/>
  <c r="A58" i="78"/>
  <c r="A66" i="78"/>
  <c r="A86" i="78"/>
  <c r="A94" i="78"/>
  <c r="A102" i="78"/>
  <c r="A45" i="78"/>
  <c r="A53" i="78"/>
  <c r="A61" i="78"/>
  <c r="A69" i="78"/>
  <c r="A89" i="78"/>
  <c r="A97" i="78"/>
  <c r="A105" i="78"/>
  <c r="A46" i="78"/>
  <c r="A54" i="78"/>
  <c r="A62" i="78"/>
  <c r="A82" i="78"/>
  <c r="A57" i="78"/>
  <c r="A51" i="78"/>
  <c r="A59" i="78"/>
  <c r="A67" i="78"/>
  <c r="A88" i="78"/>
  <c r="A91" i="78"/>
  <c r="A99" i="78"/>
  <c r="A75" i="78"/>
  <c r="A38" i="78"/>
  <c r="L127" i="78" l="1"/>
  <c r="AH127" i="78" s="1"/>
  <c r="BD127" i="78" s="1"/>
  <c r="BZ127" i="78" s="1"/>
  <c r="W85" i="78"/>
  <c r="AS85" i="78" s="1"/>
  <c r="BO85" i="78" s="1"/>
  <c r="CK85" i="78" s="1"/>
  <c r="W112" i="78"/>
  <c r="W38" i="78"/>
  <c r="W136" i="78"/>
  <c r="AS136" i="78" s="1"/>
  <c r="BO136" i="78" s="1"/>
  <c r="CK136" i="78" s="1"/>
  <c r="W128" i="78"/>
  <c r="AS128" i="78" s="1"/>
  <c r="BO128" i="78" s="1"/>
  <c r="CK128" i="78" s="1"/>
  <c r="W120" i="78"/>
  <c r="AS120" i="78" s="1"/>
  <c r="BO120" i="78" s="1"/>
  <c r="CK120" i="78" s="1"/>
  <c r="W84" i="78"/>
  <c r="AS84" i="78" s="1"/>
  <c r="BO84" i="78" s="1"/>
  <c r="CK84" i="78" s="1"/>
  <c r="L135" i="78"/>
  <c r="AH135" i="78" s="1"/>
  <c r="BD135" i="78" s="1"/>
  <c r="BZ135" i="78" s="1"/>
  <c r="W143" i="78"/>
  <c r="AS143" i="78" s="1"/>
  <c r="BO143" i="78" s="1"/>
  <c r="CK143" i="78" s="1"/>
  <c r="W138" i="78"/>
  <c r="AS138" i="78" s="1"/>
  <c r="BO138" i="78" s="1"/>
  <c r="CK138" i="78" s="1"/>
  <c r="L138" i="78"/>
  <c r="AH138" i="78" s="1"/>
  <c r="BD138" i="78" s="1"/>
  <c r="BZ138" i="78" s="1"/>
  <c r="W122" i="78"/>
  <c r="AS122" i="78" s="1"/>
  <c r="BO122" i="78" s="1"/>
  <c r="CK122" i="78" s="1"/>
  <c r="L122" i="78"/>
  <c r="AH122" i="78" s="1"/>
  <c r="BD122" i="78" s="1"/>
  <c r="BZ122" i="78" s="1"/>
  <c r="W92" i="78"/>
  <c r="AS92" i="78" s="1"/>
  <c r="BO92" i="78" s="1"/>
  <c r="CK92" i="78" s="1"/>
  <c r="W130" i="78"/>
  <c r="AS130" i="78" s="1"/>
  <c r="BO130" i="78" s="1"/>
  <c r="CK130" i="78" s="1"/>
  <c r="L130" i="78"/>
  <c r="AH130" i="78" s="1"/>
  <c r="BD130" i="78" s="1"/>
  <c r="BZ130" i="78" s="1"/>
  <c r="L56" i="78"/>
  <c r="AH56" i="78" s="1"/>
  <c r="BD56" i="78" s="1"/>
  <c r="BZ56" i="78" s="1"/>
  <c r="W56" i="78"/>
  <c r="AS56" i="78" s="1"/>
  <c r="BO56" i="78" s="1"/>
  <c r="CK56" i="78" s="1"/>
  <c r="L82" i="78"/>
  <c r="AH82" i="78" s="1"/>
  <c r="BD82" i="78" s="1"/>
  <c r="BZ82" i="78" s="1"/>
  <c r="W82" i="78"/>
  <c r="AS82" i="78" s="1"/>
  <c r="BO82" i="78" s="1"/>
  <c r="CK82" i="78" s="1"/>
  <c r="W50" i="78"/>
  <c r="AS50" i="78" s="1"/>
  <c r="BO50" i="78" s="1"/>
  <c r="CK50" i="78" s="1"/>
  <c r="L50" i="78"/>
  <c r="AH50" i="78" s="1"/>
  <c r="BD50" i="78" s="1"/>
  <c r="BZ50" i="78" s="1"/>
  <c r="L64" i="78"/>
  <c r="AH64" i="78" s="1"/>
  <c r="BD64" i="78" s="1"/>
  <c r="BZ64" i="78" s="1"/>
  <c r="W64" i="78"/>
  <c r="AS64" i="78" s="1"/>
  <c r="BO64" i="78" s="1"/>
  <c r="CK64" i="78" s="1"/>
  <c r="L129" i="78"/>
  <c r="AH129" i="78" s="1"/>
  <c r="BD129" i="78" s="1"/>
  <c r="BZ129" i="78" s="1"/>
  <c r="W129" i="78"/>
  <c r="AS129" i="78" s="1"/>
  <c r="BO129" i="78" s="1"/>
  <c r="CK129" i="78" s="1"/>
  <c r="L52" i="78"/>
  <c r="AH52" i="78" s="1"/>
  <c r="BD52" i="78" s="1"/>
  <c r="BZ52" i="78" s="1"/>
  <c r="W52" i="78"/>
  <c r="AS52" i="78" s="1"/>
  <c r="BO52" i="78" s="1"/>
  <c r="CK52" i="78" s="1"/>
  <c r="L88" i="78"/>
  <c r="AH88" i="78" s="1"/>
  <c r="BD88" i="78" s="1"/>
  <c r="BZ88" i="78" s="1"/>
  <c r="W88" i="78"/>
  <c r="AS88" i="78" s="1"/>
  <c r="BO88" i="78" s="1"/>
  <c r="CK88" i="78" s="1"/>
  <c r="W89" i="78"/>
  <c r="AS89" i="78" s="1"/>
  <c r="BO89" i="78" s="1"/>
  <c r="CK89" i="78" s="1"/>
  <c r="L89" i="78"/>
  <c r="AH89" i="78" s="1"/>
  <c r="BD89" i="78" s="1"/>
  <c r="BZ89" i="78" s="1"/>
  <c r="W102" i="78"/>
  <c r="AS102" i="78" s="1"/>
  <c r="BO102" i="78" s="1"/>
  <c r="CK102" i="78" s="1"/>
  <c r="L102" i="78"/>
  <c r="AH102" i="78" s="1"/>
  <c r="BD102" i="78" s="1"/>
  <c r="BZ102" i="78" s="1"/>
  <c r="L121" i="78"/>
  <c r="AH121" i="78" s="1"/>
  <c r="BD121" i="78" s="1"/>
  <c r="BZ121" i="78" s="1"/>
  <c r="W121" i="78"/>
  <c r="AS121" i="78" s="1"/>
  <c r="BO121" i="78" s="1"/>
  <c r="CK121" i="78" s="1"/>
  <c r="W125" i="78"/>
  <c r="AS125" i="78" s="1"/>
  <c r="BO125" i="78" s="1"/>
  <c r="CK125" i="78" s="1"/>
  <c r="L125" i="78"/>
  <c r="AH125" i="78" s="1"/>
  <c r="BD125" i="78" s="1"/>
  <c r="BZ125" i="78" s="1"/>
  <c r="L57" i="78"/>
  <c r="AH57" i="78" s="1"/>
  <c r="BD57" i="78" s="1"/>
  <c r="BZ57" i="78" s="1"/>
  <c r="W57" i="78"/>
  <c r="AS57" i="78" s="1"/>
  <c r="BO57" i="78" s="1"/>
  <c r="CK57" i="78" s="1"/>
  <c r="W132" i="78"/>
  <c r="AS132" i="78" s="1"/>
  <c r="BO132" i="78" s="1"/>
  <c r="CK132" i="78" s="1"/>
  <c r="L132" i="78"/>
  <c r="AH132" i="78" s="1"/>
  <c r="BD132" i="78" s="1"/>
  <c r="BZ132" i="78" s="1"/>
  <c r="L99" i="78"/>
  <c r="AH99" i="78" s="1"/>
  <c r="BD99" i="78" s="1"/>
  <c r="BZ99" i="78" s="1"/>
  <c r="W99" i="78"/>
  <c r="AS99" i="78" s="1"/>
  <c r="BO99" i="78" s="1"/>
  <c r="CK99" i="78" s="1"/>
  <c r="W58" i="78"/>
  <c r="AS58" i="78" s="1"/>
  <c r="BO58" i="78" s="1"/>
  <c r="CK58" i="78" s="1"/>
  <c r="L58" i="78"/>
  <c r="AH58" i="78" s="1"/>
  <c r="BD58" i="78" s="1"/>
  <c r="BZ58" i="78" s="1"/>
  <c r="L101" i="78"/>
  <c r="AH101" i="78" s="1"/>
  <c r="BD101" i="78" s="1"/>
  <c r="BZ101" i="78" s="1"/>
  <c r="W101" i="78"/>
  <c r="AS101" i="78" s="1"/>
  <c r="BO101" i="78" s="1"/>
  <c r="CK101" i="78" s="1"/>
  <c r="L91" i="78"/>
  <c r="AH91" i="78" s="1"/>
  <c r="BD91" i="78" s="1"/>
  <c r="BZ91" i="78" s="1"/>
  <c r="W91" i="78"/>
  <c r="AS91" i="78" s="1"/>
  <c r="BO91" i="78" s="1"/>
  <c r="CK91" i="78" s="1"/>
  <c r="L62" i="78"/>
  <c r="AH62" i="78" s="1"/>
  <c r="BD62" i="78" s="1"/>
  <c r="BZ62" i="78" s="1"/>
  <c r="W62" i="78"/>
  <c r="AS62" i="78" s="1"/>
  <c r="BO62" i="78" s="1"/>
  <c r="CK62" i="78" s="1"/>
  <c r="W94" i="78"/>
  <c r="AS94" i="78" s="1"/>
  <c r="BO94" i="78" s="1"/>
  <c r="CK94" i="78" s="1"/>
  <c r="L94" i="78"/>
  <c r="AH94" i="78" s="1"/>
  <c r="BD94" i="78" s="1"/>
  <c r="BZ94" i="78" s="1"/>
  <c r="L93" i="78"/>
  <c r="AH93" i="78" s="1"/>
  <c r="BD93" i="78" s="1"/>
  <c r="BZ93" i="78" s="1"/>
  <c r="W93" i="78"/>
  <c r="AS93" i="78" s="1"/>
  <c r="BO93" i="78" s="1"/>
  <c r="CK93" i="78" s="1"/>
  <c r="L67" i="78"/>
  <c r="AH67" i="78" s="1"/>
  <c r="BD67" i="78" s="1"/>
  <c r="BZ67" i="78" s="1"/>
  <c r="W67" i="78"/>
  <c r="AS67" i="78" s="1"/>
  <c r="BO67" i="78" s="1"/>
  <c r="CK67" i="78" s="1"/>
  <c r="L54" i="78"/>
  <c r="AH54" i="78" s="1"/>
  <c r="BD54" i="78" s="1"/>
  <c r="BZ54" i="78" s="1"/>
  <c r="W54" i="78"/>
  <c r="AS54" i="78" s="1"/>
  <c r="BO54" i="78" s="1"/>
  <c r="CK54" i="78" s="1"/>
  <c r="W86" i="78"/>
  <c r="AS86" i="78" s="1"/>
  <c r="BO86" i="78" s="1"/>
  <c r="CK86" i="78" s="1"/>
  <c r="L86" i="78"/>
  <c r="AH86" i="78" s="1"/>
  <c r="BD86" i="78" s="1"/>
  <c r="BZ86" i="78" s="1"/>
  <c r="L65" i="78"/>
  <c r="AH65" i="78" s="1"/>
  <c r="BD65" i="78" s="1"/>
  <c r="BZ65" i="78" s="1"/>
  <c r="W65" i="78"/>
  <c r="AS65" i="78" s="1"/>
  <c r="BO65" i="78" s="1"/>
  <c r="CK65" i="78" s="1"/>
  <c r="L48" i="78"/>
  <c r="AH48" i="78" s="1"/>
  <c r="BD48" i="78" s="1"/>
  <c r="BZ48" i="78" s="1"/>
  <c r="W48" i="78"/>
  <c r="AS48" i="78" s="1"/>
  <c r="BO48" i="78" s="1"/>
  <c r="CK48" i="78" s="1"/>
  <c r="W96" i="78"/>
  <c r="AS96" i="78" s="1"/>
  <c r="BO96" i="78" s="1"/>
  <c r="CK96" i="78" s="1"/>
  <c r="L96" i="78"/>
  <c r="AH96" i="78" s="1"/>
  <c r="BD96" i="78" s="1"/>
  <c r="BZ96" i="78" s="1"/>
  <c r="W66" i="78"/>
  <c r="AS66" i="78" s="1"/>
  <c r="BO66" i="78" s="1"/>
  <c r="CK66" i="78" s="1"/>
  <c r="L66" i="78"/>
  <c r="AH66" i="78" s="1"/>
  <c r="BD66" i="78" s="1"/>
  <c r="BZ66" i="78" s="1"/>
  <c r="L123" i="78"/>
  <c r="AH123" i="78" s="1"/>
  <c r="BD123" i="78" s="1"/>
  <c r="BZ123" i="78" s="1"/>
  <c r="W123" i="78"/>
  <c r="AS123" i="78" s="1"/>
  <c r="BO123" i="78" s="1"/>
  <c r="CK123" i="78" s="1"/>
  <c r="W60" i="78"/>
  <c r="AS60" i="78" s="1"/>
  <c r="BO60" i="78" s="1"/>
  <c r="CK60" i="78" s="1"/>
  <c r="L60" i="78"/>
  <c r="AH60" i="78" s="1"/>
  <c r="BD60" i="78" s="1"/>
  <c r="BZ60" i="78" s="1"/>
  <c r="W105" i="78"/>
  <c r="AS105" i="78" s="1"/>
  <c r="BO105" i="78" s="1"/>
  <c r="CK105" i="78" s="1"/>
  <c r="L105" i="78"/>
  <c r="AH105" i="78" s="1"/>
  <c r="BD105" i="78" s="1"/>
  <c r="BZ105" i="78" s="1"/>
  <c r="L137" i="78"/>
  <c r="AH137" i="78" s="1"/>
  <c r="BD137" i="78" s="1"/>
  <c r="BZ137" i="78" s="1"/>
  <c r="W137" i="78"/>
  <c r="AS137" i="78" s="1"/>
  <c r="BO137" i="78" s="1"/>
  <c r="CK137" i="78" s="1"/>
  <c r="W97" i="78"/>
  <c r="AS97" i="78" s="1"/>
  <c r="BO97" i="78" s="1"/>
  <c r="CK97" i="78" s="1"/>
  <c r="L97" i="78"/>
  <c r="AH97" i="78" s="1"/>
  <c r="BD97" i="78" s="1"/>
  <c r="BZ97" i="78" s="1"/>
  <c r="W133" i="78"/>
  <c r="AS133" i="78" s="1"/>
  <c r="BO133" i="78" s="1"/>
  <c r="CK133" i="78" s="1"/>
  <c r="L133" i="78"/>
  <c r="AH133" i="78" s="1"/>
  <c r="BD133" i="78" s="1"/>
  <c r="BZ133" i="78" s="1"/>
  <c r="W59" i="78"/>
  <c r="AS59" i="78" s="1"/>
  <c r="BO59" i="78" s="1"/>
  <c r="CK59" i="78" s="1"/>
  <c r="L59" i="78"/>
  <c r="AH59" i="78" s="1"/>
  <c r="BD59" i="78" s="1"/>
  <c r="BZ59" i="78" s="1"/>
  <c r="L46" i="78"/>
  <c r="AH46" i="78" s="1"/>
  <c r="BD46" i="78" s="1"/>
  <c r="BZ46" i="78" s="1"/>
  <c r="W46" i="78"/>
  <c r="AS46" i="78" s="1"/>
  <c r="BO46" i="78" s="1"/>
  <c r="CK46" i="78" s="1"/>
  <c r="W69" i="78"/>
  <c r="AS69" i="78" s="1"/>
  <c r="BO69" i="78" s="1"/>
  <c r="CK69" i="78" s="1"/>
  <c r="L69" i="78"/>
  <c r="AH69" i="78" s="1"/>
  <c r="BD69" i="78" s="1"/>
  <c r="BZ69" i="78" s="1"/>
  <c r="L49" i="78"/>
  <c r="AH49" i="78" s="1"/>
  <c r="BD49" i="78" s="1"/>
  <c r="BZ49" i="78" s="1"/>
  <c r="W49" i="78"/>
  <c r="AS49" i="78" s="1"/>
  <c r="BO49" i="78" s="1"/>
  <c r="CK49" i="78" s="1"/>
  <c r="L100" i="78"/>
  <c r="AH100" i="78" s="1"/>
  <c r="BD100" i="78" s="1"/>
  <c r="BZ100" i="78" s="1"/>
  <c r="W100" i="78"/>
  <c r="AS100" i="78" s="1"/>
  <c r="BO100" i="78" s="1"/>
  <c r="CK100" i="78" s="1"/>
  <c r="W139" i="78"/>
  <c r="AS139" i="78" s="1"/>
  <c r="BO139" i="78" s="1"/>
  <c r="CK139" i="78" s="1"/>
  <c r="L139" i="78"/>
  <c r="AH139" i="78" s="1"/>
  <c r="BD139" i="78" s="1"/>
  <c r="BZ139" i="78" s="1"/>
  <c r="L68" i="78"/>
  <c r="AH68" i="78" s="1"/>
  <c r="BD68" i="78" s="1"/>
  <c r="BZ68" i="78" s="1"/>
  <c r="W68" i="78"/>
  <c r="AS68" i="78" s="1"/>
  <c r="BO68" i="78" s="1"/>
  <c r="CK68" i="78" s="1"/>
  <c r="W141" i="78"/>
  <c r="AS141" i="78" s="1"/>
  <c r="BO141" i="78" s="1"/>
  <c r="CK141" i="78" s="1"/>
  <c r="L141" i="78"/>
  <c r="AH141" i="78" s="1"/>
  <c r="BD141" i="78" s="1"/>
  <c r="BZ141" i="78" s="1"/>
  <c r="W53" i="78"/>
  <c r="AS53" i="78" s="1"/>
  <c r="BO53" i="78" s="1"/>
  <c r="CK53" i="78" s="1"/>
  <c r="L53" i="78"/>
  <c r="AH53" i="78" s="1"/>
  <c r="BD53" i="78" s="1"/>
  <c r="BZ53" i="78" s="1"/>
  <c r="L134" i="78"/>
  <c r="AH134" i="78" s="1"/>
  <c r="BD134" i="78" s="1"/>
  <c r="BZ134" i="78" s="1"/>
  <c r="W134" i="78"/>
  <c r="AS134" i="78" s="1"/>
  <c r="BO134" i="78" s="1"/>
  <c r="CK134" i="78" s="1"/>
  <c r="W45" i="78"/>
  <c r="AS45" i="78" s="1"/>
  <c r="BO45" i="78" s="1"/>
  <c r="CK45" i="78" s="1"/>
  <c r="L45" i="78"/>
  <c r="AH45" i="78" s="1"/>
  <c r="BD45" i="78" s="1"/>
  <c r="BZ45" i="78" s="1"/>
  <c r="L124" i="78"/>
  <c r="AH124" i="78" s="1"/>
  <c r="BD124" i="78" s="1"/>
  <c r="BZ124" i="78" s="1"/>
  <c r="W124" i="78"/>
  <c r="AS124" i="78" s="1"/>
  <c r="BO124" i="78" s="1"/>
  <c r="CK124" i="78" s="1"/>
  <c r="W51" i="78"/>
  <c r="AS51" i="78" s="1"/>
  <c r="BO51" i="78" s="1"/>
  <c r="CK51" i="78" s="1"/>
  <c r="L51" i="78"/>
  <c r="AH51" i="78" s="1"/>
  <c r="BD51" i="78" s="1"/>
  <c r="BZ51" i="78" s="1"/>
  <c r="W61" i="78"/>
  <c r="AS61" i="78" s="1"/>
  <c r="BO61" i="78" s="1"/>
  <c r="CK61" i="78" s="1"/>
  <c r="L61" i="78"/>
  <c r="AH61" i="78" s="1"/>
  <c r="BD61" i="78" s="1"/>
  <c r="BZ61" i="78" s="1"/>
  <c r="L140" i="78"/>
  <c r="AH140" i="78" s="1"/>
  <c r="BD140" i="78" s="1"/>
  <c r="BZ140" i="78" s="1"/>
  <c r="W140" i="78"/>
  <c r="AS140" i="78" s="1"/>
  <c r="BO140" i="78" s="1"/>
  <c r="CK140" i="78" s="1"/>
  <c r="W131" i="78"/>
  <c r="AS131" i="78" s="1"/>
  <c r="BO131" i="78" s="1"/>
  <c r="CK131" i="78" s="1"/>
  <c r="L131" i="78"/>
  <c r="AH131" i="78" s="1"/>
  <c r="BD131" i="78" s="1"/>
  <c r="BZ131" i="78" s="1"/>
  <c r="L104" i="78"/>
  <c r="AH104" i="78" s="1"/>
  <c r="BD104" i="78" s="1"/>
  <c r="BZ104" i="78" s="1"/>
  <c r="W104" i="78"/>
  <c r="AS104" i="78" s="1"/>
  <c r="BO104" i="78" s="1"/>
  <c r="CK104" i="78" s="1"/>
  <c r="L66" i="80"/>
  <c r="N62" i="80"/>
  <c r="O62" i="80" s="1"/>
  <c r="L61" i="80"/>
  <c r="N61" i="80"/>
  <c r="O61" i="80" s="1"/>
  <c r="N66" i="80"/>
  <c r="O66" i="80" s="1"/>
  <c r="N48" i="80"/>
  <c r="O48" i="80" s="1"/>
  <c r="N53" i="80"/>
  <c r="O53" i="80" s="1"/>
  <c r="L53" i="80"/>
  <c r="L47" i="80"/>
  <c r="N68" i="80"/>
  <c r="O68" i="80" s="1"/>
  <c r="N54" i="80"/>
  <c r="O54" i="80" s="1"/>
  <c r="N59" i="80"/>
  <c r="O59" i="80" s="1"/>
  <c r="L51" i="80"/>
  <c r="L45" i="80"/>
  <c r="L59" i="80"/>
  <c r="N56" i="80"/>
  <c r="O56" i="80" s="1"/>
  <c r="L68" i="80"/>
  <c r="L49" i="80"/>
  <c r="L50" i="80"/>
  <c r="N65" i="80"/>
  <c r="O65" i="80" s="1"/>
  <c r="N63" i="80"/>
  <c r="O63" i="80" s="1"/>
  <c r="N45" i="80"/>
  <c r="O45" i="80" s="1"/>
  <c r="N50" i="80"/>
  <c r="O50" i="80" s="1"/>
  <c r="N49" i="80"/>
  <c r="O49" i="80" s="1"/>
  <c r="L62" i="80"/>
  <c r="N51" i="80"/>
  <c r="O51" i="80" s="1"/>
  <c r="L54" i="80"/>
  <c r="L58" i="80"/>
  <c r="L65" i="80"/>
  <c r="L55" i="80"/>
  <c r="N47" i="80"/>
  <c r="O47" i="80" s="1"/>
  <c r="N67" i="80"/>
  <c r="O67" i="80" s="1"/>
  <c r="L67" i="80"/>
  <c r="L64" i="80"/>
  <c r="L60" i="80"/>
  <c r="L57" i="80"/>
  <c r="N46" i="80"/>
  <c r="O46" i="80" s="1"/>
  <c r="N57" i="80"/>
  <c r="O57" i="80" s="1"/>
  <c r="X21" i="79"/>
  <c r="X14" i="79"/>
  <c r="X15" i="79"/>
  <c r="N9" i="79"/>
  <c r="X10" i="79"/>
  <c r="X20" i="79"/>
  <c r="C72" i="78"/>
  <c r="L75" i="78"/>
  <c r="L112" i="78"/>
  <c r="X9" i="79"/>
  <c r="Z55" i="78"/>
  <c r="F58" i="78"/>
  <c r="L46" i="80"/>
  <c r="L52" i="80"/>
  <c r="N52" i="80"/>
  <c r="O52" i="80" s="1"/>
  <c r="F54" i="78"/>
  <c r="N19" i="79"/>
  <c r="O16" i="79"/>
  <c r="M54" i="78"/>
  <c r="N16" i="79"/>
  <c r="P61" i="78"/>
  <c r="D65" i="78"/>
  <c r="O12" i="79"/>
  <c r="N31" i="79"/>
  <c r="F72" i="78"/>
  <c r="F66" i="78"/>
  <c r="F51" i="78"/>
  <c r="N15" i="79"/>
  <c r="F49" i="78"/>
  <c r="N25" i="79"/>
  <c r="F50" i="78"/>
  <c r="N8" i="79"/>
  <c r="N29" i="79"/>
  <c r="N26" i="79"/>
  <c r="N67" i="78"/>
  <c r="N35" i="79"/>
  <c r="O61" i="78"/>
  <c r="F62" i="78"/>
  <c r="F52" i="78"/>
  <c r="O64" i="78"/>
  <c r="O65" i="78"/>
  <c r="P57" i="78"/>
  <c r="O56" i="78"/>
  <c r="D72" i="78"/>
  <c r="F60" i="78"/>
  <c r="F57" i="78"/>
  <c r="D46" i="78"/>
  <c r="F56" i="78"/>
  <c r="F67" i="78"/>
  <c r="D69" i="78"/>
  <c r="D109" i="78"/>
  <c r="F48" i="78"/>
  <c r="F65" i="78"/>
  <c r="Q57" i="78"/>
  <c r="N63" i="78"/>
  <c r="Q47" i="78"/>
  <c r="D56" i="78"/>
  <c r="N13" i="79"/>
  <c r="F47" i="78"/>
  <c r="N14" i="79"/>
  <c r="F45" i="78"/>
  <c r="N54" i="78"/>
  <c r="F68" i="78"/>
  <c r="N22" i="79"/>
  <c r="N32" i="79"/>
  <c r="N21" i="79"/>
  <c r="F63" i="78"/>
  <c r="N57" i="78"/>
  <c r="Q55" i="78"/>
  <c r="N18" i="79"/>
  <c r="N17" i="79"/>
  <c r="D68" i="78"/>
  <c r="X30" i="79"/>
  <c r="F64" i="78"/>
  <c r="N24" i="79"/>
  <c r="F59" i="78"/>
  <c r="N30" i="79"/>
  <c r="N10" i="79"/>
  <c r="N20" i="79"/>
  <c r="Z58" i="78"/>
  <c r="D64" i="78"/>
  <c r="N28" i="79"/>
  <c r="X27" i="79"/>
  <c r="N12" i="79"/>
  <c r="N27" i="79"/>
  <c r="F61" i="78"/>
  <c r="F46" i="78"/>
  <c r="N11" i="79"/>
  <c r="N23" i="79"/>
  <c r="B64" i="78"/>
  <c r="O45" i="78"/>
  <c r="M27" i="79"/>
  <c r="B69" i="78"/>
  <c r="M45" i="78"/>
  <c r="P58" i="78"/>
  <c r="O55" i="78"/>
  <c r="O69" i="78"/>
  <c r="D66" i="78"/>
  <c r="C55" i="78"/>
  <c r="F69" i="78"/>
  <c r="F53" i="78"/>
  <c r="O48" i="78"/>
  <c r="O60" i="78"/>
  <c r="O58" i="78"/>
  <c r="O52" i="78"/>
  <c r="O59" i="78"/>
  <c r="O47" i="78"/>
  <c r="N52" i="78"/>
  <c r="Z61" i="78"/>
  <c r="O51" i="78"/>
  <c r="O50" i="78"/>
  <c r="B53" i="78"/>
  <c r="N64" i="78"/>
  <c r="O46" i="78"/>
  <c r="O49" i="78"/>
  <c r="O62" i="78"/>
  <c r="O68" i="78"/>
  <c r="O63" i="78"/>
  <c r="O53" i="78"/>
  <c r="AA69" i="78"/>
  <c r="Z66" i="78"/>
  <c r="Z69" i="78"/>
  <c r="X31" i="79"/>
  <c r="O66" i="78"/>
  <c r="O67" i="78"/>
  <c r="N69" i="78"/>
  <c r="O57" i="78"/>
  <c r="O72" i="78"/>
  <c r="M25" i="79"/>
  <c r="P64" i="78"/>
  <c r="P54" i="78"/>
  <c r="C45" i="78"/>
  <c r="P59" i="78"/>
  <c r="O146" i="78"/>
  <c r="P66" i="78"/>
  <c r="P48" i="78"/>
  <c r="O24" i="79"/>
  <c r="C56" i="78"/>
  <c r="P49" i="78"/>
  <c r="P67" i="78"/>
  <c r="P45" i="78"/>
  <c r="P69" i="78"/>
  <c r="P52" i="78"/>
  <c r="P56" i="78"/>
  <c r="P68" i="78"/>
  <c r="O30" i="79"/>
  <c r="C54" i="78"/>
  <c r="P72" i="78"/>
  <c r="P55" i="78"/>
  <c r="P46" i="78"/>
  <c r="P60" i="78"/>
  <c r="P50" i="78"/>
  <c r="P65" i="78"/>
  <c r="P51" i="78"/>
  <c r="P53" i="78"/>
  <c r="P63" i="78"/>
  <c r="P62" i="78"/>
  <c r="P47" i="78"/>
  <c r="AA48" i="78"/>
  <c r="AA64" i="78"/>
  <c r="AA58" i="78"/>
  <c r="X23" i="79"/>
  <c r="N66" i="78"/>
  <c r="D58" i="78"/>
  <c r="D57" i="78"/>
  <c r="D52" i="78"/>
  <c r="D48" i="78"/>
  <c r="D54" i="78"/>
  <c r="D50" i="78"/>
  <c r="D49" i="78"/>
  <c r="D45" i="78"/>
  <c r="D61" i="78"/>
  <c r="D59" i="78"/>
  <c r="D67" i="78"/>
  <c r="D63" i="78"/>
  <c r="D51" i="78"/>
  <c r="D55" i="78"/>
  <c r="D53" i="78"/>
  <c r="D62" i="78"/>
  <c r="D47" i="78"/>
  <c r="X26" i="79"/>
  <c r="X47" i="78"/>
  <c r="N65" i="78"/>
  <c r="N47" i="78"/>
  <c r="N68" i="78"/>
  <c r="N45" i="78"/>
  <c r="N51" i="78"/>
  <c r="N62" i="78"/>
  <c r="N46" i="78"/>
  <c r="N53" i="78"/>
  <c r="N56" i="78"/>
  <c r="N59" i="78"/>
  <c r="N55" i="78"/>
  <c r="N72" i="78"/>
  <c r="N58" i="78"/>
  <c r="N48" i="78"/>
  <c r="V23" i="79"/>
  <c r="X11" i="79"/>
  <c r="N49" i="78"/>
  <c r="X12" i="79"/>
  <c r="E66" i="78"/>
  <c r="E57" i="78"/>
  <c r="E50" i="78"/>
  <c r="E59" i="78"/>
  <c r="E52" i="78"/>
  <c r="E58" i="78"/>
  <c r="E109" i="78"/>
  <c r="E51" i="78"/>
  <c r="E67" i="78"/>
  <c r="E56" i="78"/>
  <c r="E48" i="78"/>
  <c r="E62" i="78"/>
  <c r="E55" i="78"/>
  <c r="E54" i="78"/>
  <c r="E47" i="78"/>
  <c r="E60" i="78"/>
  <c r="E46" i="78"/>
  <c r="E64" i="78"/>
  <c r="E53" i="78"/>
  <c r="E61" i="78"/>
  <c r="E63" i="78"/>
  <c r="E68" i="78"/>
  <c r="E69" i="78"/>
  <c r="E65" i="78"/>
  <c r="N61" i="78"/>
  <c r="M48" i="78"/>
  <c r="M46" i="78"/>
  <c r="N60" i="78"/>
  <c r="X25" i="79"/>
  <c r="E49" i="78"/>
  <c r="M21" i="79"/>
  <c r="M15" i="79"/>
  <c r="M13" i="79"/>
  <c r="M9" i="79"/>
  <c r="M20" i="79"/>
  <c r="M14" i="79"/>
  <c r="M32" i="79"/>
  <c r="M30" i="79"/>
  <c r="M16" i="79"/>
  <c r="M24" i="79"/>
  <c r="M22" i="79"/>
  <c r="M10" i="79"/>
  <c r="M28" i="79"/>
  <c r="M18" i="79"/>
  <c r="M12" i="79"/>
  <c r="M35" i="79"/>
  <c r="M23" i="79"/>
  <c r="Z45" i="78"/>
  <c r="O18" i="79"/>
  <c r="M31" i="79"/>
  <c r="M11" i="79"/>
  <c r="C48" i="78"/>
  <c r="B48" i="78"/>
  <c r="X19" i="79"/>
  <c r="B55" i="78"/>
  <c r="B49" i="78"/>
  <c r="B59" i="78"/>
  <c r="B67" i="78"/>
  <c r="B63" i="78"/>
  <c r="B52" i="78"/>
  <c r="B57" i="78"/>
  <c r="B68" i="78"/>
  <c r="B58" i="78"/>
  <c r="B51" i="78"/>
  <c r="B47" i="78"/>
  <c r="B65" i="78"/>
  <c r="B50" i="78"/>
  <c r="X17" i="79"/>
  <c r="X32" i="79"/>
  <c r="O26" i="79"/>
  <c r="C57" i="78"/>
  <c r="C50" i="78"/>
  <c r="C47" i="78"/>
  <c r="C67" i="78"/>
  <c r="C52" i="78"/>
  <c r="C49" i="78"/>
  <c r="C59" i="78"/>
  <c r="C62" i="78"/>
  <c r="C58" i="78"/>
  <c r="C51" i="78"/>
  <c r="C61" i="78"/>
  <c r="C46" i="78"/>
  <c r="C53" i="78"/>
  <c r="C69" i="78"/>
  <c r="C65" i="78"/>
  <c r="C68" i="78"/>
  <c r="C60" i="78"/>
  <c r="B62" i="78"/>
  <c r="O19" i="79"/>
  <c r="M19" i="79"/>
  <c r="O11" i="79"/>
  <c r="C63" i="78"/>
  <c r="B66" i="78"/>
  <c r="B54" i="78"/>
  <c r="B60" i="78"/>
  <c r="X16" i="79"/>
  <c r="O8" i="79"/>
  <c r="O22" i="79"/>
  <c r="O20" i="79"/>
  <c r="O14" i="79"/>
  <c r="O10" i="79"/>
  <c r="O35" i="79"/>
  <c r="O31" i="79"/>
  <c r="O27" i="79"/>
  <c r="O23" i="79"/>
  <c r="O15" i="79"/>
  <c r="O13" i="79"/>
  <c r="O17" i="79"/>
  <c r="O25" i="79"/>
  <c r="O21" i="79"/>
  <c r="O29" i="79"/>
  <c r="O9" i="79"/>
  <c r="B45" i="78"/>
  <c r="Y60" i="78"/>
  <c r="M17" i="79"/>
  <c r="B61" i="78"/>
  <c r="M26" i="79"/>
  <c r="B56" i="78"/>
  <c r="C64" i="78"/>
  <c r="O32" i="79"/>
  <c r="X24" i="79"/>
  <c r="X57" i="78"/>
  <c r="X65" i="78"/>
  <c r="Z49" i="78"/>
  <c r="X68" i="78"/>
  <c r="X60" i="78"/>
  <c r="X51" i="78"/>
  <c r="X63" i="78"/>
  <c r="Z63" i="78"/>
  <c r="X67" i="78"/>
  <c r="X59" i="78"/>
  <c r="AB57" i="78"/>
  <c r="AB54" i="78"/>
  <c r="AB66" i="78"/>
  <c r="AB60" i="78"/>
  <c r="AB46" i="78"/>
  <c r="AB61" i="78"/>
  <c r="AB52" i="78"/>
  <c r="AB53" i="78"/>
  <c r="AB49" i="78"/>
  <c r="AB58" i="78"/>
  <c r="AB72" i="78"/>
  <c r="AB50" i="78"/>
  <c r="AB45" i="78"/>
  <c r="AB59" i="78"/>
  <c r="AA146" i="78"/>
  <c r="AB68" i="78"/>
  <c r="AB62" i="78"/>
  <c r="AB65" i="78"/>
  <c r="AB48" i="78"/>
  <c r="AB67" i="78"/>
  <c r="AB51" i="78"/>
  <c r="Y72" i="78"/>
  <c r="Y56" i="78"/>
  <c r="Y53" i="78"/>
  <c r="Y51" i="78"/>
  <c r="Y65" i="78"/>
  <c r="Y59" i="78"/>
  <c r="Y45" i="78"/>
  <c r="Y57" i="78"/>
  <c r="Y49" i="78"/>
  <c r="X146" i="78"/>
  <c r="Y48" i="78"/>
  <c r="Y54" i="78"/>
  <c r="Y69" i="78"/>
  <c r="Y58" i="78"/>
  <c r="Y52" i="78"/>
  <c r="Y47" i="78"/>
  <c r="Y67" i="78"/>
  <c r="Y61" i="78"/>
  <c r="Y64" i="78"/>
  <c r="Y50" i="78"/>
  <c r="AA60" i="78"/>
  <c r="AA52" i="78"/>
  <c r="AB69" i="78"/>
  <c r="Y63" i="78"/>
  <c r="X72" i="78"/>
  <c r="X56" i="78"/>
  <c r="X53" i="78"/>
  <c r="X50" i="78"/>
  <c r="X48" i="78"/>
  <c r="X66" i="78"/>
  <c r="X109" i="78"/>
  <c r="X62" i="78"/>
  <c r="X45" i="78"/>
  <c r="X69" i="78"/>
  <c r="X46" i="78"/>
  <c r="X54" i="78"/>
  <c r="X64" i="78"/>
  <c r="X58" i="78"/>
  <c r="X52" i="78"/>
  <c r="X55" i="78"/>
  <c r="X49" i="78"/>
  <c r="X61" i="78"/>
  <c r="AB64" i="78"/>
  <c r="Y68" i="78"/>
  <c r="AA68" i="78"/>
  <c r="AA66" i="78"/>
  <c r="Y66" i="78"/>
  <c r="Z109" i="78"/>
  <c r="Z62" i="78"/>
  <c r="Z59" i="78"/>
  <c r="Z60" i="78"/>
  <c r="Z46" i="78"/>
  <c r="Z68" i="78"/>
  <c r="Z48" i="78"/>
  <c r="Z54" i="78"/>
  <c r="Z51" i="78"/>
  <c r="Z64" i="78"/>
  <c r="Z52" i="78"/>
  <c r="Z67" i="78"/>
  <c r="Z50" i="78"/>
  <c r="Z47" i="78"/>
  <c r="Z53" i="78"/>
  <c r="Z72" i="78"/>
  <c r="Z56" i="78"/>
  <c r="Z146" i="78"/>
  <c r="AA55" i="78"/>
  <c r="AA63" i="78"/>
  <c r="AA57" i="78"/>
  <c r="AA54" i="78"/>
  <c r="AA51" i="78"/>
  <c r="AA67" i="78"/>
  <c r="AA72" i="78"/>
  <c r="AA46" i="78"/>
  <c r="AA49" i="78"/>
  <c r="AA47" i="78"/>
  <c r="AA59" i="78"/>
  <c r="AA45" i="78"/>
  <c r="AA65" i="78"/>
  <c r="AA56" i="78"/>
  <c r="AA50" i="78"/>
  <c r="AA62" i="78"/>
  <c r="AA53" i="78"/>
  <c r="AA109" i="78"/>
  <c r="AB63" i="78"/>
  <c r="AB56" i="78"/>
  <c r="AB47" i="78"/>
  <c r="Z65" i="78"/>
  <c r="Y62" i="78"/>
  <c r="Y55" i="78"/>
  <c r="AA61" i="78"/>
  <c r="Y46" i="78"/>
  <c r="AB55" i="78"/>
  <c r="Q46" i="78"/>
  <c r="M67" i="78"/>
  <c r="M56" i="78"/>
  <c r="O54" i="78"/>
  <c r="O109" i="78"/>
  <c r="Q65" i="78"/>
  <c r="Q49" i="78"/>
  <c r="M61" i="78"/>
  <c r="M146" i="78"/>
  <c r="M62" i="78"/>
  <c r="Q50" i="78"/>
  <c r="M53" i="78"/>
  <c r="Q48" i="78"/>
  <c r="Q45" i="78"/>
  <c r="Q51" i="78"/>
  <c r="Q69" i="78"/>
  <c r="Q64" i="78"/>
  <c r="Q61" i="78"/>
  <c r="Q53" i="78"/>
  <c r="P146" i="78"/>
  <c r="Q67" i="78"/>
  <c r="Q72" i="78"/>
  <c r="Q60" i="78"/>
  <c r="Q56" i="78"/>
  <c r="Q59" i="78"/>
  <c r="P109" i="78"/>
  <c r="Q54" i="78"/>
  <c r="Q58" i="78"/>
  <c r="Q63" i="78"/>
  <c r="Q52" i="78"/>
  <c r="M51" i="78"/>
  <c r="Q68" i="78"/>
  <c r="M60" i="78"/>
  <c r="M55" i="78"/>
  <c r="M109" i="78"/>
  <c r="M72" i="78"/>
  <c r="M49" i="78"/>
  <c r="M52" i="78"/>
  <c r="M64" i="78"/>
  <c r="M65" i="78"/>
  <c r="M63" i="78"/>
  <c r="M66" i="78"/>
  <c r="M47" i="78"/>
  <c r="M57" i="78"/>
  <c r="M68" i="78"/>
  <c r="M59" i="78"/>
  <c r="M58" i="78"/>
  <c r="M50" i="78"/>
  <c r="Q66" i="78"/>
  <c r="E72" i="78"/>
  <c r="E45" i="78"/>
  <c r="D146" i="78"/>
  <c r="E146" i="78"/>
  <c r="V32" i="79" l="1"/>
  <c r="V29" i="79"/>
  <c r="V12" i="79"/>
  <c r="V26" i="79"/>
  <c r="V11" i="79"/>
  <c r="V22" i="79"/>
  <c r="V20" i="79"/>
  <c r="V14" i="79"/>
  <c r="V10" i="79"/>
  <c r="V21" i="79"/>
  <c r="V15" i="79"/>
  <c r="V13" i="79"/>
  <c r="V9" i="79"/>
  <c r="V35" i="79"/>
  <c r="V27" i="79"/>
  <c r="V28" i="79"/>
  <c r="V30" i="79"/>
  <c r="V18" i="79"/>
  <c r="V31" i="79"/>
  <c r="V25" i="79"/>
  <c r="V24" i="79"/>
  <c r="V16" i="79"/>
  <c r="V17" i="79"/>
  <c r="V19" i="79"/>
  <c r="O2" i="76"/>
  <c r="A197" i="76" l="1"/>
  <c r="A1" i="76"/>
  <c r="A162" i="76"/>
  <c r="A267" i="76"/>
  <c r="A407" i="76"/>
  <c r="A372" i="76"/>
  <c r="A116" i="76"/>
  <c r="A58" i="76"/>
  <c r="A232" i="76"/>
  <c r="A337" i="76"/>
  <c r="A442" i="76"/>
  <c r="A302" i="76"/>
  <c r="J12" i="78"/>
  <c r="J49" i="78" s="1"/>
  <c r="J86" i="78" s="1"/>
  <c r="U18" i="78"/>
  <c r="U55" i="78" s="1"/>
  <c r="U92" i="78" s="1"/>
  <c r="J18" i="78"/>
  <c r="J55" i="78" s="1"/>
  <c r="J92" i="78" s="1"/>
  <c r="J17" i="78"/>
  <c r="J54" i="78" s="1"/>
  <c r="J91" i="78" s="1"/>
  <c r="J31" i="78"/>
  <c r="J68" i="78" s="1"/>
  <c r="J105" i="78" s="1"/>
  <c r="J23" i="78"/>
  <c r="J60" i="78" s="1"/>
  <c r="J97" i="78" s="1"/>
  <c r="L43" i="75"/>
  <c r="L44" i="75"/>
  <c r="L45" i="75"/>
  <c r="L46" i="75"/>
  <c r="L36" i="75"/>
  <c r="L37" i="75"/>
  <c r="L38" i="75"/>
  <c r="L39" i="75"/>
  <c r="L32" i="75"/>
  <c r="L26" i="75"/>
  <c r="L27" i="75"/>
  <c r="L28" i="75"/>
  <c r="L22" i="75"/>
  <c r="L13" i="75"/>
  <c r="L9" i="75"/>
  <c r="J26" i="78" l="1"/>
  <c r="J63" i="78" s="1"/>
  <c r="J100" i="78" s="1"/>
  <c r="U26" i="78"/>
  <c r="U63" i="78" s="1"/>
  <c r="U100" i="78" s="1"/>
  <c r="J30" i="78"/>
  <c r="J67" i="78" s="1"/>
  <c r="J104" i="78" s="1"/>
  <c r="J27" i="78"/>
  <c r="J64" i="78" s="1"/>
  <c r="J101" i="78" s="1"/>
  <c r="U31" i="78"/>
  <c r="U68" i="78" s="1"/>
  <c r="U105" i="78" s="1"/>
  <c r="U12" i="78"/>
  <c r="U49" i="78" s="1"/>
  <c r="U86" i="78" s="1"/>
  <c r="A101" i="18"/>
  <c r="A97" i="18"/>
  <c r="A88" i="18"/>
  <c r="A84" i="18"/>
  <c r="A83" i="18"/>
  <c r="A82" i="18"/>
  <c r="A78" i="18"/>
  <c r="F26" i="18"/>
  <c r="E26" i="18"/>
  <c r="C26" i="18"/>
  <c r="F25" i="18"/>
  <c r="E25" i="18"/>
  <c r="C25" i="18"/>
  <c r="B25" i="18"/>
  <c r="B26" i="18"/>
  <c r="I48" i="18" l="1"/>
  <c r="I13" i="18"/>
  <c r="I49" i="18"/>
  <c r="I20" i="18"/>
  <c r="D26" i="18"/>
  <c r="I26" i="18" s="1"/>
  <c r="I19" i="18"/>
  <c r="I18" i="18"/>
  <c r="I12" i="18"/>
  <c r="U23" i="78"/>
  <c r="U60" i="78" s="1"/>
  <c r="U97" i="78" s="1"/>
  <c r="I35" i="18"/>
  <c r="I22" i="18"/>
  <c r="I32" i="18"/>
  <c r="U30" i="78"/>
  <c r="U67" i="78" s="1"/>
  <c r="U104" i="78" s="1"/>
  <c r="I21" i="18"/>
  <c r="U27" i="78"/>
  <c r="U64" i="78" s="1"/>
  <c r="U101" i="78" s="1"/>
  <c r="I15" i="18"/>
  <c r="I31" i="18"/>
  <c r="D25" i="18"/>
  <c r="I25" i="18" s="1"/>
  <c r="I30" i="18"/>
  <c r="I36" i="18"/>
  <c r="I29" i="18"/>
  <c r="H22" i="18"/>
  <c r="K31" i="18"/>
  <c r="H15" i="18"/>
  <c r="H31" i="18"/>
  <c r="K32" i="18"/>
  <c r="K15" i="18"/>
  <c r="H32" i="18"/>
  <c r="K22" i="18"/>
  <c r="E143" i="71"/>
  <c r="D143" i="71"/>
  <c r="B143" i="71"/>
  <c r="E142" i="71"/>
  <c r="D142" i="71"/>
  <c r="B142" i="71"/>
  <c r="E141" i="71"/>
  <c r="D141" i="71"/>
  <c r="B141" i="71"/>
  <c r="E140" i="71"/>
  <c r="D140" i="71"/>
  <c r="B140" i="71"/>
  <c r="E139" i="71"/>
  <c r="D139" i="71"/>
  <c r="B139" i="71"/>
  <c r="E138" i="71"/>
  <c r="D138" i="71"/>
  <c r="B138" i="71"/>
  <c r="E137" i="71"/>
  <c r="D137" i="71"/>
  <c r="B137" i="71"/>
  <c r="E136" i="71"/>
  <c r="D136" i="71"/>
  <c r="B136" i="71"/>
  <c r="E135" i="71"/>
  <c r="D135" i="71"/>
  <c r="B135" i="71"/>
  <c r="E134" i="71"/>
  <c r="D134" i="71"/>
  <c r="B134" i="71"/>
  <c r="E133" i="71"/>
  <c r="D133" i="71"/>
  <c r="B133" i="71"/>
  <c r="E132" i="71"/>
  <c r="D132" i="71"/>
  <c r="B132" i="71"/>
  <c r="E131" i="71"/>
  <c r="D131" i="71"/>
  <c r="B131" i="71"/>
  <c r="E130" i="71"/>
  <c r="D130" i="71"/>
  <c r="B130" i="71"/>
  <c r="E129" i="71"/>
  <c r="D129" i="71"/>
  <c r="B129" i="71"/>
  <c r="E128" i="71"/>
  <c r="D128" i="71"/>
  <c r="B128" i="71"/>
  <c r="E127" i="71"/>
  <c r="D127" i="71"/>
  <c r="B127" i="71"/>
  <c r="E126" i="71"/>
  <c r="D126" i="71"/>
  <c r="B126" i="71"/>
  <c r="E125" i="71"/>
  <c r="D125" i="71"/>
  <c r="B125" i="71"/>
  <c r="E124" i="71"/>
  <c r="D124" i="71"/>
  <c r="B124" i="71"/>
  <c r="E123" i="71"/>
  <c r="D123" i="71"/>
  <c r="B123" i="71"/>
  <c r="E122" i="71"/>
  <c r="D122" i="71"/>
  <c r="B122" i="71"/>
  <c r="E121" i="71"/>
  <c r="D121" i="71"/>
  <c r="B121" i="71"/>
  <c r="E120" i="71"/>
  <c r="D120" i="71"/>
  <c r="B120" i="71"/>
  <c r="E119" i="71"/>
  <c r="D119" i="71"/>
  <c r="B119" i="71"/>
  <c r="E117" i="71"/>
  <c r="D117" i="71"/>
  <c r="B117" i="71"/>
  <c r="E106" i="71"/>
  <c r="D106" i="71"/>
  <c r="E105" i="71"/>
  <c r="D105" i="71"/>
  <c r="B105" i="71"/>
  <c r="E104" i="71"/>
  <c r="D104" i="71"/>
  <c r="B104" i="71"/>
  <c r="E103" i="71"/>
  <c r="D103" i="71"/>
  <c r="B103" i="71"/>
  <c r="E102" i="71"/>
  <c r="D102" i="71"/>
  <c r="B102" i="71"/>
  <c r="E101" i="71"/>
  <c r="D101" i="71"/>
  <c r="B101" i="71"/>
  <c r="E100" i="71"/>
  <c r="D100" i="71"/>
  <c r="B100" i="71"/>
  <c r="E99" i="71"/>
  <c r="D99" i="71"/>
  <c r="B99" i="71"/>
  <c r="E98" i="71"/>
  <c r="D98" i="71"/>
  <c r="B98" i="71"/>
  <c r="E97" i="71"/>
  <c r="D97" i="71"/>
  <c r="B97" i="71"/>
  <c r="E96" i="71"/>
  <c r="D96" i="71"/>
  <c r="B96" i="71"/>
  <c r="E95" i="71"/>
  <c r="D95" i="71"/>
  <c r="B95" i="71"/>
  <c r="E94" i="71"/>
  <c r="D94" i="71"/>
  <c r="B94" i="71"/>
  <c r="E93" i="71"/>
  <c r="D93" i="71"/>
  <c r="B93" i="71"/>
  <c r="E92" i="71"/>
  <c r="D92" i="71"/>
  <c r="B92" i="71"/>
  <c r="E91" i="71"/>
  <c r="D91" i="71"/>
  <c r="B91" i="71"/>
  <c r="E90" i="71"/>
  <c r="D90" i="71"/>
  <c r="B90" i="71"/>
  <c r="E89" i="71"/>
  <c r="D89" i="71"/>
  <c r="B89" i="71"/>
  <c r="E88" i="71"/>
  <c r="D88" i="71"/>
  <c r="B88" i="71"/>
  <c r="E87" i="71"/>
  <c r="D87" i="71"/>
  <c r="B87" i="71"/>
  <c r="E86" i="71"/>
  <c r="D86" i="71"/>
  <c r="B86" i="71"/>
  <c r="E85" i="71"/>
  <c r="D85" i="71"/>
  <c r="B85" i="71"/>
  <c r="E84" i="71"/>
  <c r="D84" i="71"/>
  <c r="B84" i="71"/>
  <c r="E83" i="71"/>
  <c r="D83" i="71"/>
  <c r="B83" i="71"/>
  <c r="E82" i="71"/>
  <c r="D82" i="71"/>
  <c r="E80" i="71"/>
  <c r="D80" i="71"/>
  <c r="B80" i="71"/>
  <c r="D72" i="71"/>
  <c r="D69" i="71"/>
  <c r="D68" i="71"/>
  <c r="D67" i="71"/>
  <c r="D66" i="71"/>
  <c r="D65" i="71"/>
  <c r="E64" i="71"/>
  <c r="D64" i="71"/>
  <c r="D63" i="71"/>
  <c r="D62" i="71"/>
  <c r="D61" i="71"/>
  <c r="D60" i="71"/>
  <c r="D59" i="71"/>
  <c r="D58" i="71"/>
  <c r="D57" i="71"/>
  <c r="D56" i="71"/>
  <c r="D55" i="71"/>
  <c r="E54" i="71"/>
  <c r="D54" i="71"/>
  <c r="D53" i="71"/>
  <c r="D52" i="71"/>
  <c r="D51" i="71"/>
  <c r="D50" i="71"/>
  <c r="B50" i="71"/>
  <c r="D49" i="71"/>
  <c r="D48" i="71"/>
  <c r="D47" i="71"/>
  <c r="D46" i="71"/>
  <c r="D45" i="71"/>
  <c r="J43" i="71"/>
  <c r="J80" i="71" s="1"/>
  <c r="I43" i="71"/>
  <c r="I80" i="71" s="1"/>
  <c r="H43" i="71"/>
  <c r="H80" i="71" s="1"/>
  <c r="F43" i="71"/>
  <c r="E43" i="71"/>
  <c r="D43" i="71"/>
  <c r="C43" i="71"/>
  <c r="B43" i="71"/>
  <c r="J42" i="71"/>
  <c r="J79" i="71" s="1"/>
  <c r="I42" i="71"/>
  <c r="I79" i="71" s="1"/>
  <c r="H42" i="71"/>
  <c r="H79" i="71" s="1"/>
  <c r="H41" i="71"/>
  <c r="A112" i="71"/>
  <c r="L25" i="18" l="1"/>
  <c r="L26" i="18"/>
  <c r="I45" i="18"/>
  <c r="I44" i="18"/>
  <c r="I14" i="18"/>
  <c r="H78" i="71"/>
  <c r="C52" i="71"/>
  <c r="B58" i="71"/>
  <c r="E50" i="71"/>
  <c r="C68" i="71"/>
  <c r="E67" i="71"/>
  <c r="E45" i="71"/>
  <c r="E63" i="71"/>
  <c r="E51" i="71"/>
  <c r="C56" i="71"/>
  <c r="E59" i="71"/>
  <c r="E72" i="71"/>
  <c r="E56" i="71"/>
  <c r="E49" i="71"/>
  <c r="E60" i="71"/>
  <c r="E69" i="71"/>
  <c r="E53" i="71"/>
  <c r="E57" i="71"/>
  <c r="E61" i="71"/>
  <c r="E66" i="71"/>
  <c r="C47" i="71"/>
  <c r="C50" i="71"/>
  <c r="C66" i="71"/>
  <c r="C46" i="71"/>
  <c r="C48" i="71"/>
  <c r="C45" i="71"/>
  <c r="C54" i="71"/>
  <c r="C49" i="71"/>
  <c r="E48" i="71"/>
  <c r="E46" i="71"/>
  <c r="F54" i="71"/>
  <c r="F57" i="71"/>
  <c r="F64" i="71"/>
  <c r="D146" i="71"/>
  <c r="E52" i="71"/>
  <c r="E55" i="71"/>
  <c r="E65" i="71"/>
  <c r="E68" i="71"/>
  <c r="E47" i="71"/>
  <c r="E58" i="71"/>
  <c r="E62" i="71"/>
  <c r="D109" i="71"/>
  <c r="F61" i="71"/>
  <c r="F67" i="71"/>
  <c r="F66" i="71"/>
  <c r="F50" i="71"/>
  <c r="F56" i="71"/>
  <c r="F62" i="71"/>
  <c r="F46" i="71"/>
  <c r="F48" i="71"/>
  <c r="F52" i="71"/>
  <c r="F59" i="71"/>
  <c r="F69" i="71"/>
  <c r="F55" i="71"/>
  <c r="F53" i="71"/>
  <c r="F60" i="71"/>
  <c r="F72" i="71"/>
  <c r="E109" i="71"/>
  <c r="F65" i="71"/>
  <c r="E146" i="71"/>
  <c r="F45" i="71"/>
  <c r="F47" i="71"/>
  <c r="F49" i="71"/>
  <c r="F51" i="71"/>
  <c r="F63" i="71"/>
  <c r="F58" i="71"/>
  <c r="F68" i="71"/>
  <c r="C58" i="71"/>
  <c r="C60" i="71"/>
  <c r="C62" i="71"/>
  <c r="C64" i="71"/>
  <c r="B66" i="71"/>
  <c r="C51" i="71"/>
  <c r="C53" i="71"/>
  <c r="C55" i="71"/>
  <c r="C57" i="71"/>
  <c r="C59" i="71"/>
  <c r="C61" i="71"/>
  <c r="C63" i="71"/>
  <c r="C65" i="71"/>
  <c r="C67" i="71"/>
  <c r="C69" i="71"/>
  <c r="B52" i="71"/>
  <c r="B60" i="71"/>
  <c r="B68" i="71"/>
  <c r="B49" i="71"/>
  <c r="B57" i="71"/>
  <c r="B65" i="71"/>
  <c r="B55" i="71"/>
  <c r="B63" i="71"/>
  <c r="B51" i="71"/>
  <c r="B59" i="71"/>
  <c r="B67" i="71"/>
  <c r="B47" i="71"/>
  <c r="B46" i="71"/>
  <c r="B54" i="71"/>
  <c r="B62" i="71"/>
  <c r="B48" i="71"/>
  <c r="B56" i="71"/>
  <c r="B64" i="71"/>
  <c r="B45" i="71"/>
  <c r="B53" i="71"/>
  <c r="B61" i="71"/>
  <c r="B69" i="71"/>
  <c r="J15" i="18"/>
  <c r="J31" i="18"/>
  <c r="J32" i="18"/>
  <c r="J27" i="71"/>
  <c r="J17" i="71"/>
  <c r="J26" i="71"/>
  <c r="J18" i="71"/>
  <c r="J12" i="71"/>
  <c r="J30" i="71"/>
  <c r="J22" i="18"/>
  <c r="J23" i="71"/>
  <c r="J31" i="71"/>
  <c r="A75" i="71"/>
  <c r="A38" i="71"/>
  <c r="J55" i="71" l="1"/>
  <c r="J92" i="71" s="1"/>
  <c r="Q47" i="31"/>
  <c r="J63" i="71"/>
  <c r="J100" i="71" s="1"/>
  <c r="Q55" i="31"/>
  <c r="J54" i="71"/>
  <c r="J91" i="71" s="1"/>
  <c r="Q46" i="31"/>
  <c r="J64" i="71"/>
  <c r="J101" i="71" s="1"/>
  <c r="Q56" i="31"/>
  <c r="J68" i="71"/>
  <c r="J105" i="71" s="1"/>
  <c r="Q60" i="31"/>
  <c r="J60" i="71"/>
  <c r="J97" i="71" s="1"/>
  <c r="Q52" i="31"/>
  <c r="J67" i="71"/>
  <c r="J104" i="71" s="1"/>
  <c r="Q59" i="31"/>
  <c r="J49" i="71"/>
  <c r="J86" i="71" s="1"/>
  <c r="Q41" i="31"/>
  <c r="C3" i="83" l="1"/>
  <c r="I3" i="83" s="1"/>
  <c r="A1" i="83" s="1"/>
  <c r="A20" i="62" l="1"/>
  <c r="A18" i="62"/>
  <c r="A17" i="62"/>
  <c r="A16" i="62"/>
  <c r="A14" i="62"/>
  <c r="A13" i="62"/>
  <c r="A12" i="62"/>
  <c r="A10" i="62"/>
  <c r="A9" i="62"/>
  <c r="A8" i="62"/>
  <c r="A7" i="62"/>
  <c r="A23" i="62"/>
  <c r="K20" i="62" l="1"/>
  <c r="J20" i="62"/>
  <c r="I20" i="62"/>
  <c r="H20" i="62"/>
  <c r="L18" i="62"/>
  <c r="K18" i="62"/>
  <c r="J18" i="62"/>
  <c r="I18" i="62"/>
  <c r="H18" i="62"/>
  <c r="L17" i="62"/>
  <c r="K17" i="62"/>
  <c r="J17" i="62"/>
  <c r="I17" i="62"/>
  <c r="H17" i="62"/>
  <c r="L16" i="62"/>
  <c r="J16" i="62"/>
  <c r="I16" i="62"/>
  <c r="H16" i="62"/>
  <c r="L14" i="62"/>
  <c r="K14" i="62"/>
  <c r="J14" i="62"/>
  <c r="I14" i="62"/>
  <c r="H14" i="62"/>
  <c r="L13" i="62"/>
  <c r="K13" i="62"/>
  <c r="J13" i="62"/>
  <c r="I13" i="62"/>
  <c r="H13" i="62"/>
  <c r="L12" i="62"/>
  <c r="K12" i="62"/>
  <c r="J12" i="62"/>
  <c r="I12" i="62"/>
  <c r="H12" i="62"/>
  <c r="L10" i="62"/>
  <c r="K10" i="62"/>
  <c r="J10" i="62"/>
  <c r="I10" i="62"/>
  <c r="H10" i="62"/>
  <c r="L9" i="62"/>
  <c r="K9" i="62"/>
  <c r="J9" i="62"/>
  <c r="I9" i="62"/>
  <c r="H9" i="62"/>
  <c r="L8" i="62"/>
  <c r="K8" i="62"/>
  <c r="J8" i="62"/>
  <c r="I8" i="62"/>
  <c r="H8" i="62"/>
  <c r="L7" i="62"/>
  <c r="J7" i="62"/>
  <c r="I7" i="62"/>
  <c r="H7" i="62"/>
  <c r="L5" i="62"/>
  <c r="K5" i="62"/>
  <c r="J5" i="62"/>
  <c r="I5" i="62"/>
  <c r="H5" i="62"/>
  <c r="A1" i="62"/>
  <c r="K7" i="62" l="1"/>
  <c r="K16" i="62"/>
  <c r="L20" i="62"/>
  <c r="DP82" i="60" l="1"/>
  <c r="CR82" i="60"/>
  <c r="BT82" i="60"/>
  <c r="AV82" i="60"/>
  <c r="X82" i="60"/>
  <c r="DP55" i="60"/>
  <c r="CR55" i="60"/>
  <c r="BT55" i="60"/>
  <c r="AV55" i="60"/>
  <c r="X55" i="60"/>
  <c r="DP3" i="60"/>
  <c r="CR3" i="60"/>
  <c r="BT3" i="60"/>
  <c r="AV3" i="60"/>
  <c r="L9" i="60"/>
  <c r="L10" i="60"/>
  <c r="L11" i="60"/>
  <c r="L12" i="60"/>
  <c r="L13" i="60"/>
  <c r="L14" i="60"/>
  <c r="L15" i="60"/>
  <c r="L16" i="60"/>
  <c r="L17" i="60"/>
  <c r="L18" i="60"/>
  <c r="L19" i="60"/>
  <c r="L20" i="60"/>
  <c r="L21" i="60"/>
  <c r="L22" i="60"/>
  <c r="L23" i="60"/>
  <c r="L24" i="60"/>
  <c r="L25" i="60"/>
  <c r="L26" i="60"/>
  <c r="L27" i="60"/>
  <c r="L28" i="60"/>
  <c r="L29" i="60"/>
  <c r="L30" i="60"/>
  <c r="L31" i="60"/>
  <c r="L32" i="60"/>
  <c r="L33" i="60"/>
  <c r="L34" i="60"/>
  <c r="L35" i="60"/>
  <c r="L36" i="60"/>
  <c r="L37" i="60"/>
  <c r="L38" i="60"/>
  <c r="L39" i="60"/>
  <c r="L40" i="60"/>
  <c r="L41" i="60"/>
  <c r="L42" i="60"/>
  <c r="L43" i="60"/>
  <c r="L44" i="60"/>
  <c r="L45" i="60"/>
  <c r="L46" i="60"/>
  <c r="L47" i="60"/>
  <c r="L48" i="60"/>
  <c r="DP50" i="60"/>
  <c r="DP77" i="60" s="1"/>
  <c r="DJ50" i="60"/>
  <c r="DJ94" i="60" s="1"/>
  <c r="DD50" i="60"/>
  <c r="CX50" i="60"/>
  <c r="CR50" i="60"/>
  <c r="CR94" i="60" s="1"/>
  <c r="CL50" i="60"/>
  <c r="CL77" i="60" s="1"/>
  <c r="CF50" i="60"/>
  <c r="CF94" i="60" s="1"/>
  <c r="BZ50" i="60"/>
  <c r="BZ94" i="60" s="1"/>
  <c r="BT50" i="60"/>
  <c r="BT94" i="60" s="1"/>
  <c r="BN50" i="60"/>
  <c r="BN77" i="60" s="1"/>
  <c r="BH50" i="60"/>
  <c r="BB50" i="60"/>
  <c r="AV50" i="60"/>
  <c r="AV94" i="60" s="1"/>
  <c r="AP50" i="60"/>
  <c r="AP94" i="60" s="1"/>
  <c r="AJ50" i="60"/>
  <c r="AJ77" i="60" s="1"/>
  <c r="AD50" i="60"/>
  <c r="AD94" i="60" s="1"/>
  <c r="X50" i="60"/>
  <c r="X94" i="60" s="1"/>
  <c r="R50" i="60"/>
  <c r="R94" i="60" s="1"/>
  <c r="L50" i="60"/>
  <c r="F50" i="60"/>
  <c r="DP48" i="60"/>
  <c r="DP47" i="60"/>
  <c r="DP46" i="60"/>
  <c r="DP45" i="60"/>
  <c r="DP44" i="60"/>
  <c r="DP43" i="60"/>
  <c r="DP42" i="60"/>
  <c r="DP41" i="60"/>
  <c r="DP40" i="60"/>
  <c r="DP39" i="60"/>
  <c r="DP38" i="60"/>
  <c r="DP37" i="60"/>
  <c r="DP36" i="60"/>
  <c r="DP35" i="60"/>
  <c r="DP34" i="60"/>
  <c r="DP33" i="60"/>
  <c r="DP32" i="60"/>
  <c r="DP31" i="60"/>
  <c r="DP30" i="60"/>
  <c r="DP29" i="60"/>
  <c r="DP28" i="60"/>
  <c r="DP27" i="60"/>
  <c r="DP26" i="60"/>
  <c r="DP25" i="60"/>
  <c r="DP24" i="60"/>
  <c r="DP23" i="60"/>
  <c r="DP22" i="60"/>
  <c r="DP21" i="60"/>
  <c r="DP20" i="60"/>
  <c r="DP19" i="60"/>
  <c r="DP18" i="60"/>
  <c r="DP17" i="60"/>
  <c r="DP16" i="60"/>
  <c r="DP15" i="60"/>
  <c r="DP14" i="60"/>
  <c r="DP13" i="60"/>
  <c r="DP12" i="60"/>
  <c r="DP11" i="60"/>
  <c r="DP10" i="60"/>
  <c r="DP9" i="60"/>
  <c r="DP8" i="60"/>
  <c r="DJ48" i="60"/>
  <c r="DJ47" i="60"/>
  <c r="DJ46" i="60"/>
  <c r="DJ45" i="60"/>
  <c r="DJ44" i="60"/>
  <c r="DJ43" i="60"/>
  <c r="DJ42" i="60"/>
  <c r="DJ41" i="60"/>
  <c r="DJ40" i="60"/>
  <c r="DJ39" i="60"/>
  <c r="DJ38" i="60"/>
  <c r="DJ37" i="60"/>
  <c r="DJ36" i="60"/>
  <c r="DJ35" i="60"/>
  <c r="DJ34" i="60"/>
  <c r="DJ33" i="60"/>
  <c r="DJ32" i="60"/>
  <c r="DJ31" i="60"/>
  <c r="DJ30" i="60"/>
  <c r="DJ29" i="60"/>
  <c r="DJ28" i="60"/>
  <c r="DJ27" i="60"/>
  <c r="DJ26" i="60"/>
  <c r="DJ25" i="60"/>
  <c r="DJ24" i="60"/>
  <c r="DJ23" i="60"/>
  <c r="DJ22" i="60"/>
  <c r="DJ21" i="60"/>
  <c r="DJ20" i="60"/>
  <c r="DJ19" i="60"/>
  <c r="DJ18" i="60"/>
  <c r="DJ17" i="60"/>
  <c r="DJ16" i="60"/>
  <c r="DJ15" i="60"/>
  <c r="DJ14" i="60"/>
  <c r="DJ13" i="60"/>
  <c r="DJ12" i="60"/>
  <c r="DJ11" i="60"/>
  <c r="DJ10" i="60"/>
  <c r="DJ9" i="60"/>
  <c r="DJ8" i="60"/>
  <c r="DD48" i="60"/>
  <c r="DD47" i="60"/>
  <c r="DD46" i="60"/>
  <c r="DD45" i="60"/>
  <c r="DD44" i="60"/>
  <c r="DD43" i="60"/>
  <c r="DD42" i="60"/>
  <c r="DD41" i="60"/>
  <c r="DD40" i="60"/>
  <c r="DD39" i="60"/>
  <c r="DD38" i="60"/>
  <c r="DD37" i="60"/>
  <c r="DD36" i="60"/>
  <c r="DD35" i="60"/>
  <c r="DD34" i="60"/>
  <c r="DD33" i="60"/>
  <c r="DD32" i="60"/>
  <c r="DD31" i="60"/>
  <c r="DD30" i="60"/>
  <c r="DD29" i="60"/>
  <c r="DD28" i="60"/>
  <c r="DD27" i="60"/>
  <c r="DD26" i="60"/>
  <c r="DD25" i="60"/>
  <c r="DD24" i="60"/>
  <c r="DD23" i="60"/>
  <c r="DD22" i="60"/>
  <c r="DD21" i="60"/>
  <c r="DD20" i="60"/>
  <c r="DD19" i="60"/>
  <c r="DD18" i="60"/>
  <c r="DD17" i="60"/>
  <c r="DD16" i="60"/>
  <c r="DD15" i="60"/>
  <c r="DD14" i="60"/>
  <c r="DD13" i="60"/>
  <c r="DD12" i="60"/>
  <c r="DD11" i="60"/>
  <c r="DD10" i="60"/>
  <c r="DD9" i="60"/>
  <c r="DD8" i="60"/>
  <c r="CX48" i="60"/>
  <c r="CX47" i="60"/>
  <c r="CX46" i="60"/>
  <c r="CX45" i="60"/>
  <c r="CX44" i="60"/>
  <c r="CX43" i="60"/>
  <c r="CX42" i="60"/>
  <c r="CX41" i="60"/>
  <c r="CX40" i="60"/>
  <c r="CX39" i="60"/>
  <c r="CX38" i="60"/>
  <c r="CX37" i="60"/>
  <c r="CX36" i="60"/>
  <c r="CX35" i="60"/>
  <c r="CX34" i="60"/>
  <c r="CX33" i="60"/>
  <c r="CX32" i="60"/>
  <c r="CX31" i="60"/>
  <c r="CX30" i="60"/>
  <c r="CX29" i="60"/>
  <c r="CX28" i="60"/>
  <c r="CX27" i="60"/>
  <c r="CX26" i="60"/>
  <c r="CX25" i="60"/>
  <c r="CX24" i="60"/>
  <c r="CX23" i="60"/>
  <c r="CX22" i="60"/>
  <c r="CX21" i="60"/>
  <c r="CX20" i="60"/>
  <c r="CX19" i="60"/>
  <c r="CX18" i="60"/>
  <c r="CX17" i="60"/>
  <c r="CX16" i="60"/>
  <c r="CX15" i="60"/>
  <c r="CX14" i="60"/>
  <c r="CX13" i="60"/>
  <c r="CX12" i="60"/>
  <c r="CX11" i="60"/>
  <c r="CX10" i="60"/>
  <c r="CX9" i="60"/>
  <c r="CX8" i="60"/>
  <c r="CR48" i="60"/>
  <c r="CR47" i="60"/>
  <c r="CR46" i="60"/>
  <c r="CR45" i="60"/>
  <c r="CR44" i="60"/>
  <c r="CR43" i="60"/>
  <c r="CR42" i="60"/>
  <c r="CR41" i="60"/>
  <c r="CR40" i="60"/>
  <c r="CR39" i="60"/>
  <c r="CR38" i="60"/>
  <c r="CR37" i="60"/>
  <c r="CR36" i="60"/>
  <c r="CR35" i="60"/>
  <c r="CR34" i="60"/>
  <c r="CR33" i="60"/>
  <c r="CR32" i="60"/>
  <c r="CR31" i="60"/>
  <c r="CR30" i="60"/>
  <c r="CR29" i="60"/>
  <c r="CR28" i="60"/>
  <c r="CR27" i="60"/>
  <c r="CR26" i="60"/>
  <c r="CR25" i="60"/>
  <c r="CR24" i="60"/>
  <c r="CR23" i="60"/>
  <c r="CR22" i="60"/>
  <c r="CR21" i="60"/>
  <c r="CR20" i="60"/>
  <c r="CR19" i="60"/>
  <c r="CR18" i="60"/>
  <c r="CR17" i="60"/>
  <c r="CR16" i="60"/>
  <c r="CR15" i="60"/>
  <c r="CR14" i="60"/>
  <c r="CR13" i="60"/>
  <c r="CR12" i="60"/>
  <c r="CR11" i="60"/>
  <c r="CR10" i="60"/>
  <c r="CR9" i="60"/>
  <c r="CR8" i="60"/>
  <c r="CL48" i="60"/>
  <c r="CL47" i="60"/>
  <c r="CL46" i="60"/>
  <c r="CL45" i="60"/>
  <c r="CL44" i="60"/>
  <c r="CL43" i="60"/>
  <c r="CL42" i="60"/>
  <c r="CL41" i="60"/>
  <c r="CL40" i="60"/>
  <c r="CL39" i="60"/>
  <c r="CL38" i="60"/>
  <c r="CL37" i="60"/>
  <c r="CL36" i="60"/>
  <c r="CL35" i="60"/>
  <c r="CL34" i="60"/>
  <c r="CL33" i="60"/>
  <c r="CL32" i="60"/>
  <c r="CL31" i="60"/>
  <c r="CL30" i="60"/>
  <c r="CL29" i="60"/>
  <c r="CL28" i="60"/>
  <c r="CL27" i="60"/>
  <c r="CL26" i="60"/>
  <c r="CL25" i="60"/>
  <c r="CL24" i="60"/>
  <c r="CL23" i="60"/>
  <c r="CL22" i="60"/>
  <c r="CL21" i="60"/>
  <c r="CL20" i="60"/>
  <c r="CL19" i="60"/>
  <c r="CL18" i="60"/>
  <c r="CL17" i="60"/>
  <c r="CL16" i="60"/>
  <c r="CL15" i="60"/>
  <c r="CL14" i="60"/>
  <c r="CL13" i="60"/>
  <c r="CL12" i="60"/>
  <c r="CL11" i="60"/>
  <c r="CL10" i="60"/>
  <c r="CL9" i="60"/>
  <c r="CL8" i="60"/>
  <c r="CF48" i="60"/>
  <c r="CF47" i="60"/>
  <c r="CF46" i="60"/>
  <c r="CF45" i="60"/>
  <c r="CF44" i="60"/>
  <c r="CF43" i="60"/>
  <c r="CF42" i="60"/>
  <c r="CF41" i="60"/>
  <c r="CF40" i="60"/>
  <c r="CF39" i="60"/>
  <c r="CF38" i="60"/>
  <c r="CF37" i="60"/>
  <c r="CF36" i="60"/>
  <c r="CF35" i="60"/>
  <c r="CF34" i="60"/>
  <c r="CF33" i="60"/>
  <c r="CF32" i="60"/>
  <c r="CF31" i="60"/>
  <c r="CF30" i="60"/>
  <c r="CF29" i="60"/>
  <c r="CF28" i="60"/>
  <c r="CF27" i="60"/>
  <c r="CF26" i="60"/>
  <c r="CF25" i="60"/>
  <c r="CF24" i="60"/>
  <c r="CF23" i="60"/>
  <c r="CF22" i="60"/>
  <c r="CF21" i="60"/>
  <c r="CF20" i="60"/>
  <c r="CF19" i="60"/>
  <c r="CF18" i="60"/>
  <c r="CF17" i="60"/>
  <c r="CF16" i="60"/>
  <c r="CF15" i="60"/>
  <c r="CF14" i="60"/>
  <c r="CF13" i="60"/>
  <c r="CF12" i="60"/>
  <c r="CF11" i="60"/>
  <c r="CF10" i="60"/>
  <c r="CF9" i="60"/>
  <c r="CF8" i="60"/>
  <c r="BZ48" i="60"/>
  <c r="BZ47" i="60"/>
  <c r="BZ46" i="60"/>
  <c r="BZ45" i="60"/>
  <c r="BZ44" i="60"/>
  <c r="BZ43" i="60"/>
  <c r="BZ42" i="60"/>
  <c r="BZ41" i="60"/>
  <c r="BZ40" i="60"/>
  <c r="BZ39" i="60"/>
  <c r="BZ38" i="60"/>
  <c r="BZ37" i="60"/>
  <c r="BZ36" i="60"/>
  <c r="BZ35" i="60"/>
  <c r="BZ34" i="60"/>
  <c r="BZ33" i="60"/>
  <c r="BZ32" i="60"/>
  <c r="BZ31" i="60"/>
  <c r="BZ30" i="60"/>
  <c r="BZ29" i="60"/>
  <c r="BZ28" i="60"/>
  <c r="BZ27" i="60"/>
  <c r="BZ26" i="60"/>
  <c r="BZ25" i="60"/>
  <c r="BZ24" i="60"/>
  <c r="BZ23" i="60"/>
  <c r="BZ22" i="60"/>
  <c r="BZ21" i="60"/>
  <c r="BZ20" i="60"/>
  <c r="BZ19" i="60"/>
  <c r="BZ18" i="60"/>
  <c r="BZ17" i="60"/>
  <c r="BZ16" i="60"/>
  <c r="BZ15" i="60"/>
  <c r="BZ14" i="60"/>
  <c r="BZ13" i="60"/>
  <c r="BZ12" i="60"/>
  <c r="BZ11" i="60"/>
  <c r="BZ10" i="60"/>
  <c r="BZ9" i="60"/>
  <c r="BZ8" i="60"/>
  <c r="BT48" i="60"/>
  <c r="BT47" i="60"/>
  <c r="BT46" i="60"/>
  <c r="BT45" i="60"/>
  <c r="BT44" i="60"/>
  <c r="BT43" i="60"/>
  <c r="BT42" i="60"/>
  <c r="BT41" i="60"/>
  <c r="BT40" i="60"/>
  <c r="BT39" i="60"/>
  <c r="BT38" i="60"/>
  <c r="BT37" i="60"/>
  <c r="BT36" i="60"/>
  <c r="BT35" i="60"/>
  <c r="BT34" i="60"/>
  <c r="BT33" i="60"/>
  <c r="BT32" i="60"/>
  <c r="BT31" i="60"/>
  <c r="BT30" i="60"/>
  <c r="BT29" i="60"/>
  <c r="BT28" i="60"/>
  <c r="BT27" i="60"/>
  <c r="BT26" i="60"/>
  <c r="BT25" i="60"/>
  <c r="BT24" i="60"/>
  <c r="BT23" i="60"/>
  <c r="BT22" i="60"/>
  <c r="BT21" i="60"/>
  <c r="BT20" i="60"/>
  <c r="BT19" i="60"/>
  <c r="BT18" i="60"/>
  <c r="BT17" i="60"/>
  <c r="BT16" i="60"/>
  <c r="BT15" i="60"/>
  <c r="BT14" i="60"/>
  <c r="BT13" i="60"/>
  <c r="BT12" i="60"/>
  <c r="BT11" i="60"/>
  <c r="BT10" i="60"/>
  <c r="BT9" i="60"/>
  <c r="BT8" i="60"/>
  <c r="BN48" i="60"/>
  <c r="BN47" i="60"/>
  <c r="BN46" i="60"/>
  <c r="BN45" i="60"/>
  <c r="BN44" i="60"/>
  <c r="BN43" i="60"/>
  <c r="BN42" i="60"/>
  <c r="BN41" i="60"/>
  <c r="BN40" i="60"/>
  <c r="BN39" i="60"/>
  <c r="BN38" i="60"/>
  <c r="BN37" i="60"/>
  <c r="BN36" i="60"/>
  <c r="BN35" i="60"/>
  <c r="BN34" i="60"/>
  <c r="BN33" i="60"/>
  <c r="BN32" i="60"/>
  <c r="BN31" i="60"/>
  <c r="BN30" i="60"/>
  <c r="BN29" i="60"/>
  <c r="BN28" i="60"/>
  <c r="BN27" i="60"/>
  <c r="BN26" i="60"/>
  <c r="BN25" i="60"/>
  <c r="BN24" i="60"/>
  <c r="BN23" i="60"/>
  <c r="BN22" i="60"/>
  <c r="BN21" i="60"/>
  <c r="BN20" i="60"/>
  <c r="BN19" i="60"/>
  <c r="BN18" i="60"/>
  <c r="BN17" i="60"/>
  <c r="BN16" i="60"/>
  <c r="BN15" i="60"/>
  <c r="BN14" i="60"/>
  <c r="BN13" i="60"/>
  <c r="BN12" i="60"/>
  <c r="BN11" i="60"/>
  <c r="BN10" i="60"/>
  <c r="BN9" i="60"/>
  <c r="BN8" i="60"/>
  <c r="BH48" i="60"/>
  <c r="BH47" i="60"/>
  <c r="BH46" i="60"/>
  <c r="BH45" i="60"/>
  <c r="BH44" i="60"/>
  <c r="BH43" i="60"/>
  <c r="BH42" i="60"/>
  <c r="BH41" i="60"/>
  <c r="BH40" i="60"/>
  <c r="BH39" i="60"/>
  <c r="BH38" i="60"/>
  <c r="BH37" i="60"/>
  <c r="BH36" i="60"/>
  <c r="BH35" i="60"/>
  <c r="BH34" i="60"/>
  <c r="BH33" i="60"/>
  <c r="BH32" i="60"/>
  <c r="BH31" i="60"/>
  <c r="BH30" i="60"/>
  <c r="BH29" i="60"/>
  <c r="BH28" i="60"/>
  <c r="BH27" i="60"/>
  <c r="BH26" i="60"/>
  <c r="BH25" i="60"/>
  <c r="BH24" i="60"/>
  <c r="BH23" i="60"/>
  <c r="BH22" i="60"/>
  <c r="BH21" i="60"/>
  <c r="BH20" i="60"/>
  <c r="BH19" i="60"/>
  <c r="BH18" i="60"/>
  <c r="BH17" i="60"/>
  <c r="BH16" i="60"/>
  <c r="BH15" i="60"/>
  <c r="BH14" i="60"/>
  <c r="BH13" i="60"/>
  <c r="BH12" i="60"/>
  <c r="BH11" i="60"/>
  <c r="BH10" i="60"/>
  <c r="BH9" i="60"/>
  <c r="BH8" i="60"/>
  <c r="BB48" i="60"/>
  <c r="BB47" i="60"/>
  <c r="BB46" i="60"/>
  <c r="BB45" i="60"/>
  <c r="BB44" i="60"/>
  <c r="BB43" i="60"/>
  <c r="BB42" i="60"/>
  <c r="BB41" i="60"/>
  <c r="BB40" i="60"/>
  <c r="BB39" i="60"/>
  <c r="BB38" i="60"/>
  <c r="BB37" i="60"/>
  <c r="BB36" i="60"/>
  <c r="BB35" i="60"/>
  <c r="BB34" i="60"/>
  <c r="BB33" i="60"/>
  <c r="BB32" i="60"/>
  <c r="BB31" i="60"/>
  <c r="BB30" i="60"/>
  <c r="BB29" i="60"/>
  <c r="BB28" i="60"/>
  <c r="BB27" i="60"/>
  <c r="BB26" i="60"/>
  <c r="BB25" i="60"/>
  <c r="BB24" i="60"/>
  <c r="BB23" i="60"/>
  <c r="BB22" i="60"/>
  <c r="BB21" i="60"/>
  <c r="BB20" i="60"/>
  <c r="BB19" i="60"/>
  <c r="BB18" i="60"/>
  <c r="BB17" i="60"/>
  <c r="BB16" i="60"/>
  <c r="BB15" i="60"/>
  <c r="BB14" i="60"/>
  <c r="BB13" i="60"/>
  <c r="BB12" i="60"/>
  <c r="BB11" i="60"/>
  <c r="BB10" i="60"/>
  <c r="BB9" i="60"/>
  <c r="BB8" i="60"/>
  <c r="AV48" i="60"/>
  <c r="AV47" i="60"/>
  <c r="AV46" i="60"/>
  <c r="AV45" i="60"/>
  <c r="AV44" i="60"/>
  <c r="AV43" i="60"/>
  <c r="AV42" i="60"/>
  <c r="AV41" i="60"/>
  <c r="AV40" i="60"/>
  <c r="AV39" i="60"/>
  <c r="AV38" i="60"/>
  <c r="AV37" i="60"/>
  <c r="AV36" i="60"/>
  <c r="AV35" i="60"/>
  <c r="AV34" i="60"/>
  <c r="AV33" i="60"/>
  <c r="AV32" i="60"/>
  <c r="AV31" i="60"/>
  <c r="AV30" i="60"/>
  <c r="AV29" i="60"/>
  <c r="AV28" i="60"/>
  <c r="AV27" i="60"/>
  <c r="AV26" i="60"/>
  <c r="AV25" i="60"/>
  <c r="AV24" i="60"/>
  <c r="AV23" i="60"/>
  <c r="AV22" i="60"/>
  <c r="AV21" i="60"/>
  <c r="AV20" i="60"/>
  <c r="AV19" i="60"/>
  <c r="AV18" i="60"/>
  <c r="AV17" i="60"/>
  <c r="AV16" i="60"/>
  <c r="AV15" i="60"/>
  <c r="AV14" i="60"/>
  <c r="AV13" i="60"/>
  <c r="AV12" i="60"/>
  <c r="AV11" i="60"/>
  <c r="AV10" i="60"/>
  <c r="AV9" i="60"/>
  <c r="AV8" i="60"/>
  <c r="AP48" i="60"/>
  <c r="AP47" i="60"/>
  <c r="AP46" i="60"/>
  <c r="AP45" i="60"/>
  <c r="AP44" i="60"/>
  <c r="AP43" i="60"/>
  <c r="AP42" i="60"/>
  <c r="AP41" i="60"/>
  <c r="AP40" i="60"/>
  <c r="AP39" i="60"/>
  <c r="AP38" i="60"/>
  <c r="AP37" i="60"/>
  <c r="AP36" i="60"/>
  <c r="AP35" i="60"/>
  <c r="AP34" i="60"/>
  <c r="AP33" i="60"/>
  <c r="AP32" i="60"/>
  <c r="AP31" i="60"/>
  <c r="AP30" i="60"/>
  <c r="AP29" i="60"/>
  <c r="AP28" i="60"/>
  <c r="AP27" i="60"/>
  <c r="AP26" i="60"/>
  <c r="AP25" i="60"/>
  <c r="AP24" i="60"/>
  <c r="AP23" i="60"/>
  <c r="AP22" i="60"/>
  <c r="AP21" i="60"/>
  <c r="AP20" i="60"/>
  <c r="AP19" i="60"/>
  <c r="AP18" i="60"/>
  <c r="AP17" i="60"/>
  <c r="AP16" i="60"/>
  <c r="AP15" i="60"/>
  <c r="AP14" i="60"/>
  <c r="AP13" i="60"/>
  <c r="AP12" i="60"/>
  <c r="AP11" i="60"/>
  <c r="AP10" i="60"/>
  <c r="AP9" i="60"/>
  <c r="AP8" i="60"/>
  <c r="AJ48" i="60"/>
  <c r="AJ47" i="60"/>
  <c r="AJ46" i="60"/>
  <c r="AJ45" i="60"/>
  <c r="AJ44" i="60"/>
  <c r="AJ43" i="60"/>
  <c r="AJ42" i="60"/>
  <c r="AJ41" i="60"/>
  <c r="AJ40" i="60"/>
  <c r="AJ39" i="60"/>
  <c r="AJ38" i="60"/>
  <c r="AJ37" i="60"/>
  <c r="AJ36" i="60"/>
  <c r="AJ35" i="60"/>
  <c r="AJ34" i="60"/>
  <c r="AJ33" i="60"/>
  <c r="AJ32" i="60"/>
  <c r="AJ31" i="60"/>
  <c r="AJ30" i="60"/>
  <c r="AJ29" i="60"/>
  <c r="AJ28" i="60"/>
  <c r="AJ27" i="60"/>
  <c r="AJ26" i="60"/>
  <c r="AJ25" i="60"/>
  <c r="AJ24" i="60"/>
  <c r="AJ23" i="60"/>
  <c r="AJ22" i="60"/>
  <c r="AJ21" i="60"/>
  <c r="AJ20" i="60"/>
  <c r="AJ19" i="60"/>
  <c r="AJ18" i="60"/>
  <c r="AJ17" i="60"/>
  <c r="AJ16" i="60"/>
  <c r="AJ15" i="60"/>
  <c r="AJ14" i="60"/>
  <c r="AJ13" i="60"/>
  <c r="AJ12" i="60"/>
  <c r="AJ11" i="60"/>
  <c r="AJ10" i="60"/>
  <c r="AJ9" i="60"/>
  <c r="AJ8" i="60"/>
  <c r="AD48" i="60"/>
  <c r="AD47" i="60"/>
  <c r="AD46" i="60"/>
  <c r="AD45" i="60"/>
  <c r="AD44" i="60"/>
  <c r="AD43" i="60"/>
  <c r="AD42" i="60"/>
  <c r="AD41" i="60"/>
  <c r="AD40" i="60"/>
  <c r="AD39" i="60"/>
  <c r="AD38" i="60"/>
  <c r="AD37" i="60"/>
  <c r="AD36" i="60"/>
  <c r="AD35" i="60"/>
  <c r="AD34" i="60"/>
  <c r="AD33" i="60"/>
  <c r="AD32" i="60"/>
  <c r="AD31" i="60"/>
  <c r="AD30" i="60"/>
  <c r="AD29" i="60"/>
  <c r="AD28" i="60"/>
  <c r="AD27" i="60"/>
  <c r="AD26" i="60"/>
  <c r="AD25" i="60"/>
  <c r="AD24" i="60"/>
  <c r="AD23" i="60"/>
  <c r="AD22" i="60"/>
  <c r="AD21" i="60"/>
  <c r="AD20" i="60"/>
  <c r="AD19" i="60"/>
  <c r="AD18" i="60"/>
  <c r="AD17" i="60"/>
  <c r="AD16" i="60"/>
  <c r="AD15" i="60"/>
  <c r="AD14" i="60"/>
  <c r="AD13" i="60"/>
  <c r="AD12" i="60"/>
  <c r="AD11" i="60"/>
  <c r="AD10" i="60"/>
  <c r="AD9" i="60"/>
  <c r="AD8" i="60"/>
  <c r="X48" i="60"/>
  <c r="X47" i="60"/>
  <c r="X46" i="60"/>
  <c r="X45" i="60"/>
  <c r="X44" i="60"/>
  <c r="X43" i="60"/>
  <c r="X42" i="60"/>
  <c r="X41" i="60"/>
  <c r="X40" i="60"/>
  <c r="X39" i="60"/>
  <c r="X38" i="60"/>
  <c r="X37" i="60"/>
  <c r="X36" i="60"/>
  <c r="X35" i="60"/>
  <c r="X34" i="60"/>
  <c r="X33" i="60"/>
  <c r="X32" i="60"/>
  <c r="X31" i="60"/>
  <c r="X30" i="60"/>
  <c r="X29" i="60"/>
  <c r="X28" i="60"/>
  <c r="X27" i="60"/>
  <c r="X26" i="60"/>
  <c r="X25" i="60"/>
  <c r="X24" i="60"/>
  <c r="X23" i="60"/>
  <c r="X22" i="60"/>
  <c r="X21" i="60"/>
  <c r="X20" i="60"/>
  <c r="X19" i="60"/>
  <c r="X18" i="60"/>
  <c r="X17" i="60"/>
  <c r="X16" i="60"/>
  <c r="X15" i="60"/>
  <c r="X14" i="60"/>
  <c r="X13" i="60"/>
  <c r="X12" i="60"/>
  <c r="X11" i="60"/>
  <c r="X10" i="60"/>
  <c r="X9" i="60"/>
  <c r="X8" i="60"/>
  <c r="R48" i="60"/>
  <c r="R47" i="60"/>
  <c r="R46" i="60"/>
  <c r="R45" i="60"/>
  <c r="R44" i="60"/>
  <c r="R43" i="60"/>
  <c r="R42" i="60"/>
  <c r="R41" i="60"/>
  <c r="R40" i="60"/>
  <c r="R39" i="60"/>
  <c r="R38" i="60"/>
  <c r="R37" i="60"/>
  <c r="R36" i="60"/>
  <c r="R35" i="60"/>
  <c r="R34" i="60"/>
  <c r="R33" i="60"/>
  <c r="R32" i="60"/>
  <c r="R31" i="60"/>
  <c r="R30" i="60"/>
  <c r="R29" i="60"/>
  <c r="R28" i="60"/>
  <c r="R27" i="60"/>
  <c r="R26" i="60"/>
  <c r="R25" i="60"/>
  <c r="R24" i="60"/>
  <c r="R23" i="60"/>
  <c r="R22" i="60"/>
  <c r="R21" i="60"/>
  <c r="R20" i="60"/>
  <c r="R19" i="60"/>
  <c r="R18" i="60"/>
  <c r="R17" i="60"/>
  <c r="R16" i="60"/>
  <c r="R15" i="60"/>
  <c r="R14" i="60"/>
  <c r="R13" i="60"/>
  <c r="R12" i="60"/>
  <c r="R11" i="60"/>
  <c r="R10" i="60"/>
  <c r="R9" i="60"/>
  <c r="R8" i="60"/>
  <c r="L8" i="60"/>
  <c r="F9" i="60"/>
  <c r="F10" i="60"/>
  <c r="F11" i="60"/>
  <c r="F12" i="60"/>
  <c r="F13" i="60"/>
  <c r="F14" i="60"/>
  <c r="F15" i="60"/>
  <c r="F16" i="60"/>
  <c r="F17" i="60"/>
  <c r="F18" i="60"/>
  <c r="F19" i="60"/>
  <c r="F20" i="60"/>
  <c r="F21" i="60"/>
  <c r="F22" i="60"/>
  <c r="F23" i="60"/>
  <c r="F24" i="60"/>
  <c r="F25" i="60"/>
  <c r="F26" i="60"/>
  <c r="F27" i="60"/>
  <c r="F28" i="60"/>
  <c r="F29" i="60"/>
  <c r="F30" i="60"/>
  <c r="F31" i="60"/>
  <c r="F32" i="60"/>
  <c r="F33" i="60"/>
  <c r="F34" i="60"/>
  <c r="F35" i="60"/>
  <c r="F36" i="60"/>
  <c r="F37" i="60"/>
  <c r="F38" i="60"/>
  <c r="F39" i="60"/>
  <c r="F40" i="60"/>
  <c r="F41" i="60"/>
  <c r="F42" i="60"/>
  <c r="F43" i="60"/>
  <c r="F44" i="60"/>
  <c r="F45" i="60"/>
  <c r="F46" i="60"/>
  <c r="F47" i="60"/>
  <c r="F48" i="60"/>
  <c r="F8" i="60"/>
  <c r="DP94" i="60"/>
  <c r="DO94" i="60"/>
  <c r="DN94" i="60"/>
  <c r="DM94" i="60"/>
  <c r="DI94" i="60"/>
  <c r="DH94" i="60"/>
  <c r="DG94" i="60"/>
  <c r="DD94" i="60"/>
  <c r="DC94" i="60"/>
  <c r="DB94" i="60"/>
  <c r="DA94" i="60"/>
  <c r="CX94" i="60"/>
  <c r="CW94" i="60"/>
  <c r="CV94" i="60"/>
  <c r="CU94" i="60"/>
  <c r="DO87" i="60" a="1"/>
  <c r="DO92" i="60" s="1"/>
  <c r="DN87" i="60" a="1"/>
  <c r="DN91" i="60" s="1"/>
  <c r="DM87" i="60" a="1"/>
  <c r="DM92" i="60" s="1"/>
  <c r="DI87" i="60" a="1"/>
  <c r="DI91" i="60" s="1"/>
  <c r="DH87" i="60" a="1"/>
  <c r="DH92" i="60" s="1"/>
  <c r="DG87" i="60" a="1"/>
  <c r="DG91" i="60" s="1"/>
  <c r="DC87" i="60" a="1"/>
  <c r="DC92" i="60" s="1"/>
  <c r="DB87" i="60" a="1"/>
  <c r="DB91" i="60" s="1"/>
  <c r="DA87" i="60" a="1"/>
  <c r="DA92" i="60" s="1"/>
  <c r="CW87" i="60" a="1"/>
  <c r="CW91" i="60" s="1"/>
  <c r="CV87" i="60" a="1"/>
  <c r="CV92" i="60" s="1"/>
  <c r="CU87" i="60" a="1"/>
  <c r="CU91" i="60" s="1"/>
  <c r="CX85" i="60"/>
  <c r="DD85" i="60" s="1"/>
  <c r="DJ85" i="60" s="1"/>
  <c r="DP85" i="60" s="1"/>
  <c r="CW85" i="60"/>
  <c r="DC85" i="60" s="1"/>
  <c r="DI85" i="60" s="1"/>
  <c r="DO85" i="60" s="1"/>
  <c r="CV85" i="60"/>
  <c r="DB85" i="60" s="1"/>
  <c r="DH85" i="60" s="1"/>
  <c r="DN85" i="60" s="1"/>
  <c r="CT85" i="60"/>
  <c r="CZ85" i="60" s="1"/>
  <c r="DF85" i="60" s="1"/>
  <c r="DL85" i="60" s="1"/>
  <c r="DO77" i="60"/>
  <c r="DN77" i="60"/>
  <c r="DM77" i="60"/>
  <c r="DI77" i="60"/>
  <c r="DH77" i="60"/>
  <c r="DG77" i="60"/>
  <c r="DD77" i="60"/>
  <c r="DC77" i="60"/>
  <c r="DB77" i="60"/>
  <c r="DA77" i="60"/>
  <c r="CX77" i="60"/>
  <c r="CW77" i="60"/>
  <c r="CV77" i="60"/>
  <c r="CU77" i="60"/>
  <c r="DO60" i="60" a="1"/>
  <c r="DO75" i="60" s="1"/>
  <c r="DN60" i="60" a="1"/>
  <c r="DN74" i="60" s="1"/>
  <c r="DM60" i="60" a="1"/>
  <c r="DM75" i="60" s="1"/>
  <c r="DI60" i="60" a="1"/>
  <c r="DI74" i="60" s="1"/>
  <c r="DH60" i="60" a="1"/>
  <c r="DH75" i="60" s="1"/>
  <c r="DG60" i="60" a="1"/>
  <c r="DG74" i="60" s="1"/>
  <c r="DC60" i="60" a="1"/>
  <c r="DC75" i="60" s="1"/>
  <c r="DB60" i="60" a="1"/>
  <c r="DB74" i="60" s="1"/>
  <c r="DA60" i="60" a="1"/>
  <c r="DA75" i="60" s="1"/>
  <c r="CW60" i="60" a="1"/>
  <c r="CW74" i="60" s="1"/>
  <c r="CV60" i="60" a="1"/>
  <c r="CV75" i="60" s="1"/>
  <c r="CU60" i="60" a="1"/>
  <c r="CU74" i="60" s="1"/>
  <c r="CX58" i="60"/>
  <c r="DD58" i="60" s="1"/>
  <c r="DJ58" i="60" s="1"/>
  <c r="DP58" i="60" s="1"/>
  <c r="CW58" i="60"/>
  <c r="DC58" i="60" s="1"/>
  <c r="DI58" i="60" s="1"/>
  <c r="DO58" i="60" s="1"/>
  <c r="CV58" i="60"/>
  <c r="DB58" i="60" s="1"/>
  <c r="DH58" i="60" s="1"/>
  <c r="DN58" i="60" s="1"/>
  <c r="CT58" i="60"/>
  <c r="CZ58" i="60" s="1"/>
  <c r="DF58" i="60" s="1"/>
  <c r="DL58" i="60" s="1"/>
  <c r="DD6" i="60"/>
  <c r="DJ6" i="60" s="1"/>
  <c r="DP6" i="60" s="1"/>
  <c r="DC6" i="60"/>
  <c r="DI6" i="60" s="1"/>
  <c r="DO6" i="60" s="1"/>
  <c r="DB6" i="60"/>
  <c r="DH6" i="60" s="1"/>
  <c r="DN6" i="60" s="1"/>
  <c r="CZ6" i="60"/>
  <c r="DF6" i="60" s="1"/>
  <c r="DL6" i="60" s="1"/>
  <c r="CQ94" i="60"/>
  <c r="CP94" i="60"/>
  <c r="CO94" i="60"/>
  <c r="CK94" i="60"/>
  <c r="CJ94" i="60"/>
  <c r="CI94" i="60"/>
  <c r="CE94" i="60"/>
  <c r="CD94" i="60"/>
  <c r="CC94" i="60"/>
  <c r="BY94" i="60"/>
  <c r="BX94" i="60"/>
  <c r="BW94" i="60"/>
  <c r="CQ87" i="60" a="1"/>
  <c r="CQ92" i="60" s="1"/>
  <c r="CP87" i="60" a="1"/>
  <c r="CP91" i="60" s="1"/>
  <c r="CO87" i="60" a="1"/>
  <c r="CO92" i="60" s="1"/>
  <c r="CK87" i="60" a="1"/>
  <c r="CK91" i="60" s="1"/>
  <c r="CJ87" i="60" a="1"/>
  <c r="CJ92" i="60" s="1"/>
  <c r="CI87" i="60" a="1"/>
  <c r="CI92" i="60" s="1"/>
  <c r="CE87" i="60" a="1"/>
  <c r="CE92" i="60" s="1"/>
  <c r="CD87" i="60" a="1"/>
  <c r="CD91" i="60" s="1"/>
  <c r="CC87" i="60" a="1"/>
  <c r="CC92" i="60" s="1"/>
  <c r="BY87" i="60" a="1"/>
  <c r="BY92" i="60" s="1"/>
  <c r="BX87" i="60" a="1"/>
  <c r="BX92" i="60" s="1"/>
  <c r="BW87" i="60" a="1"/>
  <c r="BW92" i="60" s="1"/>
  <c r="BZ85" i="60"/>
  <c r="CF85" i="60" s="1"/>
  <c r="CL85" i="60" s="1"/>
  <c r="CR85" i="60" s="1"/>
  <c r="BY85" i="60"/>
  <c r="CE85" i="60" s="1"/>
  <c r="CK85" i="60" s="1"/>
  <c r="CQ85" i="60" s="1"/>
  <c r="BX85" i="60"/>
  <c r="CD85" i="60" s="1"/>
  <c r="CJ85" i="60" s="1"/>
  <c r="CP85" i="60" s="1"/>
  <c r="BV85" i="60"/>
  <c r="CB85" i="60" s="1"/>
  <c r="CH85" i="60" s="1"/>
  <c r="CN85" i="60" s="1"/>
  <c r="CQ77" i="60"/>
  <c r="CP77" i="60"/>
  <c r="CO77" i="60"/>
  <c r="CK77" i="60"/>
  <c r="CJ77" i="60"/>
  <c r="CI77" i="60"/>
  <c r="CE77" i="60"/>
  <c r="CD77" i="60"/>
  <c r="CC77" i="60"/>
  <c r="BY77" i="60"/>
  <c r="BX77" i="60"/>
  <c r="BW77" i="60"/>
  <c r="CQ60" i="60" a="1"/>
  <c r="CQ75" i="60" s="1"/>
  <c r="CP60" i="60" a="1"/>
  <c r="CP74" i="60" s="1"/>
  <c r="CO60" i="60" a="1"/>
  <c r="CO75" i="60" s="1"/>
  <c r="CK60" i="60" a="1"/>
  <c r="CK75" i="60" s="1"/>
  <c r="CJ60" i="60" a="1"/>
  <c r="CJ75" i="60" s="1"/>
  <c r="CI60" i="60" a="1"/>
  <c r="CI75" i="60" s="1"/>
  <c r="CE60" i="60" a="1"/>
  <c r="CE75" i="60" s="1"/>
  <c r="CD60" i="60" a="1"/>
  <c r="CD74" i="60" s="1"/>
  <c r="CC60" i="60" a="1"/>
  <c r="CC75" i="60" s="1"/>
  <c r="BY60" i="60" a="1"/>
  <c r="BY75" i="60" s="1"/>
  <c r="BX60" i="60" a="1"/>
  <c r="BX75" i="60" s="1"/>
  <c r="BW60" i="60" a="1"/>
  <c r="BW75" i="60" s="1"/>
  <c r="BZ58" i="60"/>
  <c r="CF58" i="60" s="1"/>
  <c r="CL58" i="60" s="1"/>
  <c r="CR58" i="60" s="1"/>
  <c r="BY58" i="60"/>
  <c r="CE58" i="60" s="1"/>
  <c r="CK58" i="60" s="1"/>
  <c r="CQ58" i="60" s="1"/>
  <c r="BX58" i="60"/>
  <c r="CD58" i="60" s="1"/>
  <c r="CJ58" i="60" s="1"/>
  <c r="CP58" i="60" s="1"/>
  <c r="BV58" i="60"/>
  <c r="CB58" i="60" s="1"/>
  <c r="CH58" i="60" s="1"/>
  <c r="CN58" i="60" s="1"/>
  <c r="CF6" i="60"/>
  <c r="CL6" i="60" s="1"/>
  <c r="CR6" i="60" s="1"/>
  <c r="CE6" i="60"/>
  <c r="CK6" i="60" s="1"/>
  <c r="CQ6" i="60" s="1"/>
  <c r="CD6" i="60"/>
  <c r="CJ6" i="60" s="1"/>
  <c r="CP6" i="60" s="1"/>
  <c r="CB6" i="60"/>
  <c r="CH6" i="60" s="1"/>
  <c r="CN6" i="60" s="1"/>
  <c r="BS94" i="60"/>
  <c r="BR94" i="60"/>
  <c r="BQ94" i="60"/>
  <c r="BM94" i="60"/>
  <c r="BL94" i="60"/>
  <c r="BK94" i="60"/>
  <c r="BH94" i="60"/>
  <c r="BG94" i="60"/>
  <c r="BF94" i="60"/>
  <c r="BE94" i="60"/>
  <c r="BB94" i="60"/>
  <c r="BA94" i="60"/>
  <c r="AZ94" i="60"/>
  <c r="AY94" i="60"/>
  <c r="BS87" i="60" a="1"/>
  <c r="BS92" i="60" s="1"/>
  <c r="BR87" i="60" a="1"/>
  <c r="BR91" i="60" s="1"/>
  <c r="BQ87" i="60" a="1"/>
  <c r="BQ92" i="60" s="1"/>
  <c r="BM87" i="60" a="1"/>
  <c r="BM91" i="60" s="1"/>
  <c r="BL87" i="60" a="1"/>
  <c r="BL92" i="60" s="1"/>
  <c r="BK87" i="60" a="1"/>
  <c r="BK92" i="60" s="1"/>
  <c r="BG87" i="60" a="1"/>
  <c r="BG92" i="60" s="1"/>
  <c r="BF87" i="60" a="1"/>
  <c r="BF91" i="60" s="1"/>
  <c r="BE87" i="60" a="1"/>
  <c r="BE92" i="60" s="1"/>
  <c r="BA87" i="60" a="1"/>
  <c r="BA92" i="60" s="1"/>
  <c r="AZ87" i="60" a="1"/>
  <c r="AZ92" i="60" s="1"/>
  <c r="AY87" i="60" a="1"/>
  <c r="AY91" i="60" s="1"/>
  <c r="BB85" i="60"/>
  <c r="BH85" i="60" s="1"/>
  <c r="BN85" i="60" s="1"/>
  <c r="BT85" i="60" s="1"/>
  <c r="BA85" i="60"/>
  <c r="BG85" i="60" s="1"/>
  <c r="BM85" i="60" s="1"/>
  <c r="BS85" i="60" s="1"/>
  <c r="AZ85" i="60"/>
  <c r="BF85" i="60" s="1"/>
  <c r="BL85" i="60" s="1"/>
  <c r="BR85" i="60" s="1"/>
  <c r="AX85" i="60"/>
  <c r="BD85" i="60" s="1"/>
  <c r="BJ85" i="60" s="1"/>
  <c r="BP85" i="60" s="1"/>
  <c r="BS77" i="60"/>
  <c r="BR77" i="60"/>
  <c r="BQ77" i="60"/>
  <c r="BM77" i="60"/>
  <c r="BL77" i="60"/>
  <c r="BK77" i="60"/>
  <c r="BH77" i="60"/>
  <c r="BG77" i="60"/>
  <c r="BF77" i="60"/>
  <c r="BE77" i="60"/>
  <c r="BB77" i="60"/>
  <c r="BA77" i="60"/>
  <c r="AZ77" i="60"/>
  <c r="AY77" i="60"/>
  <c r="BS60" i="60" a="1"/>
  <c r="BS75" i="60" s="1"/>
  <c r="BR60" i="60" a="1"/>
  <c r="BR74" i="60" s="1"/>
  <c r="BQ60" i="60" a="1"/>
  <c r="BQ75" i="60" s="1"/>
  <c r="BM60" i="60" a="1"/>
  <c r="BM74" i="60" s="1"/>
  <c r="BL60" i="60" a="1"/>
  <c r="BL75" i="60" s="1"/>
  <c r="BK60" i="60" a="1"/>
  <c r="BK74" i="60" s="1"/>
  <c r="BG60" i="60" a="1"/>
  <c r="BG75" i="60" s="1"/>
  <c r="BF60" i="60" a="1"/>
  <c r="BF74" i="60" s="1"/>
  <c r="BE60" i="60" a="1"/>
  <c r="BE75" i="60" s="1"/>
  <c r="BA60" i="60" a="1"/>
  <c r="BA74" i="60" s="1"/>
  <c r="AZ60" i="60" a="1"/>
  <c r="AZ75" i="60" s="1"/>
  <c r="AY60" i="60" a="1"/>
  <c r="AY74" i="60" s="1"/>
  <c r="BB58" i="60"/>
  <c r="BH58" i="60" s="1"/>
  <c r="BN58" i="60" s="1"/>
  <c r="BT58" i="60" s="1"/>
  <c r="BA58" i="60"/>
  <c r="BG58" i="60" s="1"/>
  <c r="BM58" i="60" s="1"/>
  <c r="BS58" i="60" s="1"/>
  <c r="AZ58" i="60"/>
  <c r="BF58" i="60" s="1"/>
  <c r="BL58" i="60" s="1"/>
  <c r="BR58" i="60" s="1"/>
  <c r="AX58" i="60"/>
  <c r="BD58" i="60" s="1"/>
  <c r="BJ58" i="60" s="1"/>
  <c r="BP58" i="60" s="1"/>
  <c r="BH6" i="60"/>
  <c r="BN6" i="60" s="1"/>
  <c r="BT6" i="60" s="1"/>
  <c r="BG6" i="60"/>
  <c r="BM6" i="60" s="1"/>
  <c r="BS6" i="60" s="1"/>
  <c r="BF6" i="60"/>
  <c r="BL6" i="60" s="1"/>
  <c r="BR6" i="60" s="1"/>
  <c r="BD6" i="60"/>
  <c r="BJ6" i="60" s="1"/>
  <c r="BP6" i="60" s="1"/>
  <c r="CS52" i="60"/>
  <c r="CS79" i="60"/>
  <c r="CS96" i="60"/>
  <c r="AU94" i="60"/>
  <c r="AT94" i="60"/>
  <c r="AS94" i="60"/>
  <c r="AO94" i="60"/>
  <c r="AN94" i="60"/>
  <c r="AM94" i="60"/>
  <c r="AI94" i="60"/>
  <c r="AH94" i="60"/>
  <c r="AG94" i="60"/>
  <c r="AC94" i="60"/>
  <c r="AB94" i="60"/>
  <c r="AA94" i="60"/>
  <c r="AU87" i="60" a="1"/>
  <c r="AU92" i="60" s="1"/>
  <c r="AT87" i="60" a="1"/>
  <c r="AT91" i="60" s="1"/>
  <c r="AS87" i="60" a="1"/>
  <c r="AS92" i="60" s="1"/>
  <c r="AO87" i="60" a="1"/>
  <c r="AO91" i="60" s="1"/>
  <c r="AN87" i="60" a="1"/>
  <c r="AN92" i="60" s="1"/>
  <c r="AM87" i="60" a="1"/>
  <c r="AM91" i="60" s="1"/>
  <c r="AI87" i="60" a="1"/>
  <c r="AI92" i="60" s="1"/>
  <c r="AH87" i="60" a="1"/>
  <c r="AH91" i="60" s="1"/>
  <c r="AG87" i="60" a="1"/>
  <c r="AG92" i="60" s="1"/>
  <c r="AC87" i="60" a="1"/>
  <c r="AC91" i="60" s="1"/>
  <c r="AB87" i="60" a="1"/>
  <c r="AB92" i="60" s="1"/>
  <c r="AA87" i="60" a="1"/>
  <c r="AA91" i="60" s="1"/>
  <c r="AD85" i="60"/>
  <c r="AJ85" i="60" s="1"/>
  <c r="AP85" i="60" s="1"/>
  <c r="AV85" i="60" s="1"/>
  <c r="AC85" i="60"/>
  <c r="AI85" i="60" s="1"/>
  <c r="AO85" i="60" s="1"/>
  <c r="AU85" i="60" s="1"/>
  <c r="AB85" i="60"/>
  <c r="AH85" i="60" s="1"/>
  <c r="AN85" i="60" s="1"/>
  <c r="AT85" i="60" s="1"/>
  <c r="Z85" i="60"/>
  <c r="AF85" i="60" s="1"/>
  <c r="AL85" i="60" s="1"/>
  <c r="AR85" i="60" s="1"/>
  <c r="AV77" i="60"/>
  <c r="AU77" i="60"/>
  <c r="AT77" i="60"/>
  <c r="AS77" i="60"/>
  <c r="AO77" i="60"/>
  <c r="AN77" i="60"/>
  <c r="AM77" i="60"/>
  <c r="AI77" i="60"/>
  <c r="AH77" i="60"/>
  <c r="AG77" i="60"/>
  <c r="AC77" i="60"/>
  <c r="AB77" i="60"/>
  <c r="AA77" i="60"/>
  <c r="AU60" i="60" a="1"/>
  <c r="AU75" i="60" s="1"/>
  <c r="AT60" i="60" a="1"/>
  <c r="AT74" i="60" s="1"/>
  <c r="AS60" i="60" a="1"/>
  <c r="AS75" i="60" s="1"/>
  <c r="AO60" i="60" a="1"/>
  <c r="AO74" i="60" s="1"/>
  <c r="AN60" i="60" a="1"/>
  <c r="AN75" i="60" s="1"/>
  <c r="AM60" i="60" a="1"/>
  <c r="AM74" i="60" s="1"/>
  <c r="AI60" i="60" a="1"/>
  <c r="AI75" i="60" s="1"/>
  <c r="AH60" i="60" a="1"/>
  <c r="AH74" i="60" s="1"/>
  <c r="AG60" i="60" a="1"/>
  <c r="AG75" i="60" s="1"/>
  <c r="AC60" i="60" a="1"/>
  <c r="AC74" i="60" s="1"/>
  <c r="AB60" i="60" a="1"/>
  <c r="AB75" i="60" s="1"/>
  <c r="AA60" i="60" a="1"/>
  <c r="AA74" i="60" s="1"/>
  <c r="AD58" i="60"/>
  <c r="AJ58" i="60" s="1"/>
  <c r="AP58" i="60" s="1"/>
  <c r="AV58" i="60" s="1"/>
  <c r="AC58" i="60"/>
  <c r="AI58" i="60" s="1"/>
  <c r="AO58" i="60" s="1"/>
  <c r="AU58" i="60" s="1"/>
  <c r="AB58" i="60"/>
  <c r="AH58" i="60" s="1"/>
  <c r="AN58" i="60" s="1"/>
  <c r="AT58" i="60" s="1"/>
  <c r="Z58" i="60"/>
  <c r="AF58" i="60" s="1"/>
  <c r="AL58" i="60" s="1"/>
  <c r="AR58" i="60" s="1"/>
  <c r="AJ6" i="60"/>
  <c r="AP6" i="60" s="1"/>
  <c r="AV6" i="60" s="1"/>
  <c r="AI6" i="60"/>
  <c r="AO6" i="60" s="1"/>
  <c r="AU6" i="60" s="1"/>
  <c r="AH6" i="60"/>
  <c r="AN6" i="60" s="1"/>
  <c r="AT6" i="60" s="1"/>
  <c r="AF6" i="60"/>
  <c r="AL6" i="60" s="1"/>
  <c r="AR6" i="60" s="1"/>
  <c r="AW52" i="60"/>
  <c r="BU52" i="60"/>
  <c r="AW79" i="60"/>
  <c r="BU79" i="60"/>
  <c r="AW96" i="60"/>
  <c r="BU96" i="60"/>
  <c r="CU6" i="60"/>
  <c r="DA6" i="60" s="1"/>
  <c r="DG6" i="60" s="1"/>
  <c r="DM6" i="60" s="1"/>
  <c r="U87" i="60" a="1"/>
  <c r="U87" i="60" s="1"/>
  <c r="V87" i="60" a="1"/>
  <c r="V87" i="60" s="1"/>
  <c r="U94" i="60"/>
  <c r="V94" i="60"/>
  <c r="O87" i="60" a="1"/>
  <c r="O87" i="60" s="1"/>
  <c r="P87" i="60" a="1"/>
  <c r="P87" i="60" s="1"/>
  <c r="O94" i="60"/>
  <c r="P94" i="60"/>
  <c r="I87" i="60" a="1"/>
  <c r="I87" i="60" s="1"/>
  <c r="J87" i="60" a="1"/>
  <c r="J87" i="60" s="1"/>
  <c r="I94" i="60"/>
  <c r="J94" i="60"/>
  <c r="D85" i="60"/>
  <c r="J85" i="60" s="1"/>
  <c r="P85" i="60" s="1"/>
  <c r="V85" i="60" s="1"/>
  <c r="E85" i="60"/>
  <c r="K85" i="60" s="1"/>
  <c r="Q85" i="60" s="1"/>
  <c r="W85" i="60" s="1"/>
  <c r="F85" i="60"/>
  <c r="L85" i="60" s="1"/>
  <c r="R85" i="60" s="1"/>
  <c r="X85" i="60" s="1"/>
  <c r="B85" i="60"/>
  <c r="H85" i="60" s="1"/>
  <c r="N85" i="60" s="1"/>
  <c r="T85" i="60" s="1"/>
  <c r="C87" i="60" a="1"/>
  <c r="C87" i="60" s="1"/>
  <c r="D87" i="60" a="1"/>
  <c r="D87" i="60" s="1"/>
  <c r="C94" i="60"/>
  <c r="D94" i="60"/>
  <c r="V60" i="60" a="1"/>
  <c r="V60" i="60" s="1"/>
  <c r="V77" i="60"/>
  <c r="O60" i="60" a="1"/>
  <c r="O60" i="60" s="1"/>
  <c r="P60" i="60" a="1"/>
  <c r="P60" i="60" s="1"/>
  <c r="O77" i="60"/>
  <c r="P77" i="60"/>
  <c r="I60" i="60" a="1"/>
  <c r="I60" i="60" s="1"/>
  <c r="J60" i="60" a="1"/>
  <c r="J60" i="60" s="1"/>
  <c r="I77" i="60"/>
  <c r="J77" i="60"/>
  <c r="C77" i="60"/>
  <c r="D77" i="60"/>
  <c r="C60" i="60" a="1"/>
  <c r="C60" i="60" s="1"/>
  <c r="D60" i="60" a="1"/>
  <c r="D60" i="60" s="1"/>
  <c r="D58" i="60"/>
  <c r="J58" i="60" s="1"/>
  <c r="P58" i="60" s="1"/>
  <c r="V58" i="60" s="1"/>
  <c r="E58" i="60"/>
  <c r="K58" i="60" s="1"/>
  <c r="Q58" i="60" s="1"/>
  <c r="F58" i="60"/>
  <c r="L58" i="60" s="1"/>
  <c r="R58" i="60" s="1"/>
  <c r="B58" i="60"/>
  <c r="H58" i="60" s="1"/>
  <c r="N58" i="60" s="1"/>
  <c r="T58" i="60" s="1"/>
  <c r="J6" i="60"/>
  <c r="P6" i="60" s="1"/>
  <c r="V6" i="60" s="1"/>
  <c r="K6" i="60"/>
  <c r="Q6" i="60" s="1"/>
  <c r="W6" i="60" s="1"/>
  <c r="L6" i="60"/>
  <c r="R6" i="60" s="1"/>
  <c r="X6" i="60" s="1"/>
  <c r="H6" i="60"/>
  <c r="N6" i="60" s="1"/>
  <c r="T6" i="60" s="1"/>
  <c r="Y96" i="60"/>
  <c r="Y79" i="60"/>
  <c r="Y52" i="60"/>
  <c r="Y8" i="60"/>
  <c r="AW8" i="60" s="1"/>
  <c r="BU8" i="60" s="1"/>
  <c r="CS8" i="60" s="1"/>
  <c r="Y9" i="60"/>
  <c r="AW9" i="60" s="1"/>
  <c r="BU9" i="60" s="1"/>
  <c r="CS9" i="60" s="1"/>
  <c r="Y10" i="60"/>
  <c r="AW10" i="60" s="1"/>
  <c r="BU10" i="60" s="1"/>
  <c r="CS10" i="60" s="1"/>
  <c r="Y11" i="60"/>
  <c r="AW11" i="60" s="1"/>
  <c r="BU11" i="60" s="1"/>
  <c r="CS11" i="60" s="1"/>
  <c r="Y12" i="60"/>
  <c r="AW12" i="60" s="1"/>
  <c r="BU12" i="60" s="1"/>
  <c r="CS12" i="60" s="1"/>
  <c r="Y13" i="60"/>
  <c r="AW13" i="60" s="1"/>
  <c r="BU13" i="60" s="1"/>
  <c r="CS13" i="60" s="1"/>
  <c r="Y14" i="60"/>
  <c r="AW14" i="60" s="1"/>
  <c r="BU14" i="60" s="1"/>
  <c r="CS14" i="60" s="1"/>
  <c r="Y15" i="60"/>
  <c r="AW15" i="60" s="1"/>
  <c r="BU15" i="60" s="1"/>
  <c r="CS15" i="60" s="1"/>
  <c r="Y16" i="60"/>
  <c r="AW16" i="60" s="1"/>
  <c r="BU16" i="60" s="1"/>
  <c r="CS16" i="60" s="1"/>
  <c r="Y17" i="60"/>
  <c r="AW17" i="60" s="1"/>
  <c r="BU17" i="60" s="1"/>
  <c r="CS17" i="60" s="1"/>
  <c r="Y18" i="60"/>
  <c r="AW18" i="60" s="1"/>
  <c r="BU18" i="60" s="1"/>
  <c r="CS18" i="60" s="1"/>
  <c r="Y19" i="60"/>
  <c r="AW19" i="60" s="1"/>
  <c r="BU19" i="60" s="1"/>
  <c r="CS19" i="60" s="1"/>
  <c r="Y20" i="60"/>
  <c r="AW20" i="60" s="1"/>
  <c r="BU20" i="60" s="1"/>
  <c r="CS20" i="60" s="1"/>
  <c r="Y21" i="60"/>
  <c r="AW21" i="60" s="1"/>
  <c r="BU21" i="60" s="1"/>
  <c r="CS21" i="60" s="1"/>
  <c r="Y22" i="60"/>
  <c r="AW22" i="60" s="1"/>
  <c r="BU22" i="60" s="1"/>
  <c r="CS22" i="60" s="1"/>
  <c r="Y23" i="60"/>
  <c r="AW23" i="60" s="1"/>
  <c r="BU23" i="60" s="1"/>
  <c r="CS23" i="60" s="1"/>
  <c r="Y24" i="60"/>
  <c r="AW24" i="60" s="1"/>
  <c r="BU24" i="60" s="1"/>
  <c r="CS24" i="60" s="1"/>
  <c r="Y25" i="60"/>
  <c r="AW25" i="60" s="1"/>
  <c r="BU25" i="60" s="1"/>
  <c r="CS25" i="60" s="1"/>
  <c r="Y26" i="60"/>
  <c r="AW26" i="60" s="1"/>
  <c r="BU26" i="60" s="1"/>
  <c r="CS26" i="60" s="1"/>
  <c r="Y27" i="60"/>
  <c r="AW27" i="60" s="1"/>
  <c r="BU27" i="60" s="1"/>
  <c r="CS27" i="60" s="1"/>
  <c r="Y28" i="60"/>
  <c r="AW28" i="60" s="1"/>
  <c r="BU28" i="60" s="1"/>
  <c r="CS28" i="60" s="1"/>
  <c r="Y29" i="60"/>
  <c r="AW29" i="60" s="1"/>
  <c r="BU29" i="60" s="1"/>
  <c r="CS29" i="60" s="1"/>
  <c r="Y30" i="60"/>
  <c r="AW30" i="60" s="1"/>
  <c r="BU30" i="60" s="1"/>
  <c r="CS30" i="60" s="1"/>
  <c r="Y31" i="60"/>
  <c r="AW31" i="60" s="1"/>
  <c r="BU31" i="60" s="1"/>
  <c r="CS31" i="60" s="1"/>
  <c r="Y32" i="60"/>
  <c r="AW32" i="60" s="1"/>
  <c r="BU32" i="60" s="1"/>
  <c r="CS32" i="60" s="1"/>
  <c r="Y33" i="60"/>
  <c r="AW33" i="60" s="1"/>
  <c r="BU33" i="60" s="1"/>
  <c r="CS33" i="60" s="1"/>
  <c r="Y34" i="60"/>
  <c r="AW34" i="60" s="1"/>
  <c r="BU34" i="60" s="1"/>
  <c r="CS34" i="60" s="1"/>
  <c r="Y35" i="60"/>
  <c r="AW35" i="60" s="1"/>
  <c r="BU35" i="60" s="1"/>
  <c r="CS35" i="60" s="1"/>
  <c r="Y36" i="60"/>
  <c r="AW36" i="60" s="1"/>
  <c r="BU36" i="60" s="1"/>
  <c r="CS36" i="60" s="1"/>
  <c r="Y37" i="60"/>
  <c r="AW37" i="60" s="1"/>
  <c r="BU37" i="60" s="1"/>
  <c r="CS37" i="60" s="1"/>
  <c r="Y38" i="60"/>
  <c r="AW38" i="60" s="1"/>
  <c r="BU38" i="60" s="1"/>
  <c r="CS38" i="60" s="1"/>
  <c r="Y39" i="60"/>
  <c r="AW39" i="60" s="1"/>
  <c r="BU39" i="60" s="1"/>
  <c r="CS39" i="60" s="1"/>
  <c r="Y40" i="60"/>
  <c r="AW40" i="60" s="1"/>
  <c r="BU40" i="60" s="1"/>
  <c r="CS40" i="60" s="1"/>
  <c r="A96" i="60"/>
  <c r="A79" i="60"/>
  <c r="W94" i="60"/>
  <c r="Q94" i="60"/>
  <c r="L94" i="60"/>
  <c r="K94" i="60"/>
  <c r="F94" i="60"/>
  <c r="E94" i="60"/>
  <c r="W77" i="60"/>
  <c r="U77" i="60"/>
  <c r="Q77" i="60"/>
  <c r="L77" i="60"/>
  <c r="K77" i="60"/>
  <c r="E77" i="60"/>
  <c r="F77" i="60"/>
  <c r="W87" i="60" a="1"/>
  <c r="W92" i="60" s="1"/>
  <c r="Q87" i="60" a="1"/>
  <c r="Q92" i="60" s="1"/>
  <c r="K87" i="60" a="1"/>
  <c r="K92" i="60" s="1"/>
  <c r="E87" i="60" a="1"/>
  <c r="E87" i="60" s="1"/>
  <c r="Y94" i="60"/>
  <c r="AW94" i="60" s="1"/>
  <c r="BU94" i="60" s="1"/>
  <c r="CS94" i="60" s="1"/>
  <c r="Y88" i="60"/>
  <c r="AW88" i="60" s="1"/>
  <c r="BU88" i="60" s="1"/>
  <c r="CS88" i="60" s="1"/>
  <c r="Y89" i="60"/>
  <c r="AW89" i="60" s="1"/>
  <c r="BU89" i="60" s="1"/>
  <c r="CS89" i="60" s="1"/>
  <c r="Y90" i="60"/>
  <c r="AW90" i="60" s="1"/>
  <c r="BU90" i="60" s="1"/>
  <c r="CS90" i="60" s="1"/>
  <c r="Y91" i="60"/>
  <c r="AW91" i="60" s="1"/>
  <c r="BU91" i="60" s="1"/>
  <c r="CS91" i="60" s="1"/>
  <c r="Y92" i="60"/>
  <c r="AW92" i="60" s="1"/>
  <c r="BU92" i="60" s="1"/>
  <c r="CS92" i="60" s="1"/>
  <c r="Y87" i="60"/>
  <c r="AW87" i="60" s="1"/>
  <c r="BU87" i="60" s="1"/>
  <c r="CS87" i="60" s="1"/>
  <c r="H4" i="60"/>
  <c r="H56" i="60" s="1"/>
  <c r="N4" i="60"/>
  <c r="N56" i="60" s="1"/>
  <c r="T4" i="60"/>
  <c r="T56" i="60" s="1"/>
  <c r="W60" i="60" a="1"/>
  <c r="W75" i="60" s="1"/>
  <c r="U60" i="60" a="1"/>
  <c r="U74" i="60" s="1"/>
  <c r="Q60" i="60" a="1"/>
  <c r="Q75" i="60" s="1"/>
  <c r="K60" i="60" a="1"/>
  <c r="K75" i="60" s="1"/>
  <c r="E60" i="60" a="1"/>
  <c r="E60" i="60" s="1"/>
  <c r="Y77" i="60"/>
  <c r="AW77" i="60" s="1"/>
  <c r="BU77" i="60" s="1"/>
  <c r="CS77" i="60" s="1"/>
  <c r="Y61" i="60"/>
  <c r="AW61" i="60" s="1"/>
  <c r="BU61" i="60" s="1"/>
  <c r="CS61" i="60" s="1"/>
  <c r="Y62" i="60"/>
  <c r="AW62" i="60" s="1"/>
  <c r="BU62" i="60" s="1"/>
  <c r="CS62" i="60" s="1"/>
  <c r="Y63" i="60"/>
  <c r="AW63" i="60" s="1"/>
  <c r="BU63" i="60" s="1"/>
  <c r="CS63" i="60" s="1"/>
  <c r="Y64" i="60"/>
  <c r="AW64" i="60" s="1"/>
  <c r="BU64" i="60" s="1"/>
  <c r="CS64" i="60" s="1"/>
  <c r="Y65" i="60"/>
  <c r="AW65" i="60" s="1"/>
  <c r="BU65" i="60" s="1"/>
  <c r="CS65" i="60" s="1"/>
  <c r="Y66" i="60"/>
  <c r="AW66" i="60" s="1"/>
  <c r="BU66" i="60" s="1"/>
  <c r="CS66" i="60" s="1"/>
  <c r="Y67" i="60"/>
  <c r="AW67" i="60" s="1"/>
  <c r="BU67" i="60" s="1"/>
  <c r="CS67" i="60" s="1"/>
  <c r="Y68" i="60"/>
  <c r="AW68" i="60" s="1"/>
  <c r="BU68" i="60" s="1"/>
  <c r="CS68" i="60" s="1"/>
  <c r="Y69" i="60"/>
  <c r="AW69" i="60" s="1"/>
  <c r="BU69" i="60" s="1"/>
  <c r="CS69" i="60" s="1"/>
  <c r="Y70" i="60"/>
  <c r="AW70" i="60" s="1"/>
  <c r="BU70" i="60" s="1"/>
  <c r="CS70" i="60" s="1"/>
  <c r="Y71" i="60"/>
  <c r="AW71" i="60" s="1"/>
  <c r="BU71" i="60" s="1"/>
  <c r="CS71" i="60" s="1"/>
  <c r="Y72" i="60"/>
  <c r="AW72" i="60" s="1"/>
  <c r="BU72" i="60" s="1"/>
  <c r="CS72" i="60" s="1"/>
  <c r="Y73" i="60"/>
  <c r="AW73" i="60" s="1"/>
  <c r="BU73" i="60" s="1"/>
  <c r="CS73" i="60" s="1"/>
  <c r="Y74" i="60"/>
  <c r="AW74" i="60" s="1"/>
  <c r="BU74" i="60" s="1"/>
  <c r="CS74" i="60" s="1"/>
  <c r="Y75" i="60"/>
  <c r="AW75" i="60" s="1"/>
  <c r="BU75" i="60" s="1"/>
  <c r="CS75" i="60" s="1"/>
  <c r="Y60" i="60"/>
  <c r="AW60" i="60" s="1"/>
  <c r="BU60" i="60" s="1"/>
  <c r="CS60" i="60" s="1"/>
  <c r="A52" i="60"/>
  <c r="B4" i="60"/>
  <c r="B56" i="60" s="1"/>
  <c r="Y50" i="60"/>
  <c r="AW50" i="60" s="1"/>
  <c r="BU50" i="60" s="1"/>
  <c r="CS50" i="60" s="1"/>
  <c r="Y41" i="60"/>
  <c r="AW41" i="60" s="1"/>
  <c r="BU41" i="60" s="1"/>
  <c r="CS41" i="60" s="1"/>
  <c r="Y42" i="60"/>
  <c r="AW42" i="60" s="1"/>
  <c r="BU42" i="60" s="1"/>
  <c r="CS42" i="60" s="1"/>
  <c r="Y43" i="60"/>
  <c r="AW43" i="60" s="1"/>
  <c r="BU43" i="60" s="1"/>
  <c r="CS43" i="60" s="1"/>
  <c r="Y44" i="60"/>
  <c r="AW44" i="60" s="1"/>
  <c r="BU44" i="60" s="1"/>
  <c r="CS44" i="60" s="1"/>
  <c r="Y45" i="60"/>
  <c r="AW45" i="60" s="1"/>
  <c r="BU45" i="60" s="1"/>
  <c r="CS45" i="60" s="1"/>
  <c r="Y46" i="60"/>
  <c r="AW46" i="60" s="1"/>
  <c r="BU46" i="60" s="1"/>
  <c r="CS46" i="60" s="1"/>
  <c r="Y47" i="60"/>
  <c r="AW47" i="60" s="1"/>
  <c r="BU47" i="60" s="1"/>
  <c r="CS47" i="60" s="1"/>
  <c r="Y48" i="60"/>
  <c r="AW48" i="60" s="1"/>
  <c r="BU48" i="60" s="1"/>
  <c r="CS48" i="60" s="1"/>
  <c r="CR77" i="60" l="1"/>
  <c r="AP77" i="60"/>
  <c r="CL94" i="60"/>
  <c r="R60" i="60" a="1"/>
  <c r="R74" i="60" s="1"/>
  <c r="X87" i="60" a="1"/>
  <c r="X91" i="60" s="1"/>
  <c r="AD87" i="60" a="1"/>
  <c r="AD92" i="60" s="1"/>
  <c r="AJ60" i="60" a="1"/>
  <c r="AJ74" i="60" s="1"/>
  <c r="AP87" i="60" a="1"/>
  <c r="AP92" i="60" s="1"/>
  <c r="BB87" i="60" a="1"/>
  <c r="BB92" i="60" s="1"/>
  <c r="BH60" i="60" a="1"/>
  <c r="BH74" i="60" s="1"/>
  <c r="BN60" i="60" a="1"/>
  <c r="BN75" i="60" s="1"/>
  <c r="BT87" i="60" a="1"/>
  <c r="BT91" i="60" s="1"/>
  <c r="BZ60" i="60" a="1"/>
  <c r="BZ75" i="60" s="1"/>
  <c r="CF87" i="60" a="1"/>
  <c r="CF91" i="60" s="1"/>
  <c r="CL60" i="60" a="1"/>
  <c r="CL75" i="60" s="1"/>
  <c r="CX60" i="60" a="1"/>
  <c r="CX75" i="60" s="1"/>
  <c r="DJ87" i="60" a="1"/>
  <c r="DJ92" i="60" s="1"/>
  <c r="DP60" i="60" a="1"/>
  <c r="DP74" i="60" s="1"/>
  <c r="AJ94" i="60"/>
  <c r="AD60" i="60" a="1"/>
  <c r="AD75" i="60" s="1"/>
  <c r="BZ77" i="60"/>
  <c r="BT77" i="60"/>
  <c r="F87" i="60" a="1"/>
  <c r="F87" i="60" s="1"/>
  <c r="CR87" i="60" a="1"/>
  <c r="CR91" i="60" s="1"/>
  <c r="BB60" i="60" a="1"/>
  <c r="BB75" i="60" s="1"/>
  <c r="CX87" i="60" a="1"/>
  <c r="CX92" i="60" s="1"/>
  <c r="AJ87" i="60" a="1"/>
  <c r="AJ91" i="60" s="1"/>
  <c r="CL87" i="60" a="1"/>
  <c r="CL92" i="60" s="1"/>
  <c r="L60" i="60" a="1"/>
  <c r="L74" i="60" s="1"/>
  <c r="DD60" i="60" a="1"/>
  <c r="DD74" i="60" s="1"/>
  <c r="L87" i="60" a="1"/>
  <c r="L91" i="60" s="1"/>
  <c r="AD77" i="60"/>
  <c r="CR60" i="60" a="1"/>
  <c r="CR74" i="60" s="1"/>
  <c r="CF77" i="60"/>
  <c r="BZ87" i="60" a="1"/>
  <c r="BZ92" i="60" s="1"/>
  <c r="AV60" i="60" a="1"/>
  <c r="AV74" i="60" s="1"/>
  <c r="AV87" i="60" a="1"/>
  <c r="AV91" i="60" s="1"/>
  <c r="BH87" i="60" a="1"/>
  <c r="BH91" i="60" s="1"/>
  <c r="AP60" i="60" a="1"/>
  <c r="AP75" i="60" s="1"/>
  <c r="CF60" i="60" a="1"/>
  <c r="CF74" i="60" s="1"/>
  <c r="DJ60" i="60" a="1"/>
  <c r="DJ75" i="60" s="1"/>
  <c r="DJ77" i="60"/>
  <c r="DD87" i="60" a="1"/>
  <c r="DD91" i="60" s="1"/>
  <c r="DP87" i="60" a="1"/>
  <c r="DP91" i="60" s="1"/>
  <c r="F60" i="60" a="1"/>
  <c r="F60" i="60" s="1"/>
  <c r="X60" i="60" a="1"/>
  <c r="X74" i="60" s="1"/>
  <c r="R87" i="60" a="1"/>
  <c r="R91" i="60" s="1"/>
  <c r="R77" i="60"/>
  <c r="BN87" i="60" a="1"/>
  <c r="BN92" i="60" s="1"/>
  <c r="X77" i="60"/>
  <c r="BT60" i="60" a="1"/>
  <c r="BT74" i="60" s="1"/>
  <c r="BN94" i="60"/>
  <c r="AF4" i="60"/>
  <c r="AR4" i="60"/>
  <c r="BD4" i="60"/>
  <c r="BP4" i="60"/>
  <c r="CB4" i="60"/>
  <c r="CN4" i="60"/>
  <c r="CZ4" i="60"/>
  <c r="DL4" i="60"/>
  <c r="H83" i="60"/>
  <c r="T83" i="60"/>
  <c r="Z4" i="60"/>
  <c r="AL4" i="60"/>
  <c r="AX4" i="60"/>
  <c r="BJ4" i="60"/>
  <c r="BV4" i="60"/>
  <c r="CH4" i="60"/>
  <c r="CT4" i="60"/>
  <c r="DF4" i="60"/>
  <c r="B83" i="60"/>
  <c r="N83" i="60"/>
  <c r="DO62" i="60"/>
  <c r="DO66" i="60"/>
  <c r="DO70" i="60"/>
  <c r="DO87" i="60"/>
  <c r="DO91" i="60"/>
  <c r="DO60" i="60"/>
  <c r="DO64" i="60"/>
  <c r="DO68" i="60"/>
  <c r="DO72" i="60"/>
  <c r="DO89" i="60"/>
  <c r="DM66" i="60"/>
  <c r="DM89" i="60"/>
  <c r="DM62" i="60"/>
  <c r="DM60" i="60"/>
  <c r="DM64" i="60"/>
  <c r="DM68" i="60"/>
  <c r="DL68" i="60" s="1"/>
  <c r="DM87" i="60"/>
  <c r="DM91" i="60"/>
  <c r="DI60" i="60"/>
  <c r="DI64" i="60"/>
  <c r="DI62" i="60"/>
  <c r="DG60" i="60"/>
  <c r="DC60" i="60"/>
  <c r="DC64" i="60"/>
  <c r="DC68" i="60"/>
  <c r="DC72" i="60"/>
  <c r="DC87" i="60"/>
  <c r="DC91" i="60"/>
  <c r="DC62" i="60"/>
  <c r="DC66" i="60"/>
  <c r="DC70" i="60"/>
  <c r="DC74" i="60"/>
  <c r="DC89" i="60"/>
  <c r="DA62" i="60"/>
  <c r="DA66" i="60"/>
  <c r="DA70" i="60"/>
  <c r="DA74" i="60"/>
  <c r="DA89" i="60"/>
  <c r="DA60" i="60"/>
  <c r="DA64" i="60"/>
  <c r="DA68" i="60"/>
  <c r="DA72" i="60"/>
  <c r="CZ72" i="60" s="1"/>
  <c r="DA87" i="60"/>
  <c r="CZ87" i="60" s="1"/>
  <c r="DA91" i="60"/>
  <c r="CZ91" i="60" s="1"/>
  <c r="BY60" i="60"/>
  <c r="BY68" i="60"/>
  <c r="BW60" i="60"/>
  <c r="BW68" i="60"/>
  <c r="P75" i="60"/>
  <c r="BJ77" i="60"/>
  <c r="CZ8" i="60"/>
  <c r="DL8" i="60"/>
  <c r="CZ9" i="60"/>
  <c r="DL9" i="60"/>
  <c r="CZ10" i="60"/>
  <c r="DL10" i="60"/>
  <c r="CZ11" i="60"/>
  <c r="DL11" i="60"/>
  <c r="CZ12" i="60"/>
  <c r="DL12" i="60"/>
  <c r="CZ13" i="60"/>
  <c r="DL13" i="60"/>
  <c r="CZ14" i="60"/>
  <c r="DL14" i="60"/>
  <c r="CZ15" i="60"/>
  <c r="DL15" i="60"/>
  <c r="CZ16" i="60"/>
  <c r="DL16" i="60"/>
  <c r="CZ17" i="60"/>
  <c r="DL17" i="60"/>
  <c r="CZ18" i="60"/>
  <c r="DL18" i="60"/>
  <c r="CZ19" i="60"/>
  <c r="DL19" i="60"/>
  <c r="CZ20" i="60"/>
  <c r="DL20" i="60"/>
  <c r="CZ21" i="60"/>
  <c r="DL21" i="60"/>
  <c r="CZ22" i="60"/>
  <c r="DL22" i="60"/>
  <c r="CZ23" i="60"/>
  <c r="DL23" i="60"/>
  <c r="CZ24" i="60"/>
  <c r="DL24" i="60"/>
  <c r="CZ25" i="60"/>
  <c r="DL25" i="60"/>
  <c r="CZ26" i="60"/>
  <c r="DL26" i="60"/>
  <c r="CZ27" i="60"/>
  <c r="DL27" i="60"/>
  <c r="CZ28" i="60"/>
  <c r="DL28" i="60"/>
  <c r="CZ29" i="60"/>
  <c r="DL29" i="60"/>
  <c r="CZ30" i="60"/>
  <c r="DL30" i="60"/>
  <c r="CZ31" i="60"/>
  <c r="DL31" i="60"/>
  <c r="CZ32" i="60"/>
  <c r="DL32" i="60"/>
  <c r="CZ33" i="60"/>
  <c r="DL33" i="60"/>
  <c r="CZ34" i="60"/>
  <c r="DL34" i="60"/>
  <c r="CZ35" i="60"/>
  <c r="DL35" i="60"/>
  <c r="CZ36" i="60"/>
  <c r="DL36" i="60"/>
  <c r="CZ37" i="60"/>
  <c r="DL37" i="60"/>
  <c r="CZ38" i="60"/>
  <c r="DL38" i="60"/>
  <c r="CZ39" i="60"/>
  <c r="DL39" i="60"/>
  <c r="CZ40" i="60"/>
  <c r="DL40" i="60"/>
  <c r="CZ41" i="60"/>
  <c r="DL41" i="60"/>
  <c r="CZ42" i="60"/>
  <c r="DL42" i="60"/>
  <c r="CZ43" i="60"/>
  <c r="DL43" i="60"/>
  <c r="CZ44" i="60"/>
  <c r="DL44" i="60"/>
  <c r="CZ45" i="60"/>
  <c r="DL45" i="60"/>
  <c r="CZ46" i="60"/>
  <c r="DL46" i="60"/>
  <c r="CZ47" i="60"/>
  <c r="DL47" i="60"/>
  <c r="CZ48" i="60"/>
  <c r="DL48" i="60"/>
  <c r="CZ50" i="60"/>
  <c r="DL50" i="60"/>
  <c r="CT74" i="60"/>
  <c r="CZ77" i="60"/>
  <c r="DF77" i="60"/>
  <c r="DF91" i="60"/>
  <c r="DF94" i="60"/>
  <c r="DL94" i="60"/>
  <c r="AA6" i="60"/>
  <c r="AG6" i="60" s="1"/>
  <c r="AM6" i="60" s="1"/>
  <c r="AS6" i="60" s="1"/>
  <c r="BW6" i="60"/>
  <c r="CC6" i="60" s="1"/>
  <c r="CI6" i="60" s="1"/>
  <c r="CO6" i="60" s="1"/>
  <c r="CT8" i="60"/>
  <c r="DF8" i="60"/>
  <c r="CT9" i="60"/>
  <c r="DF9" i="60"/>
  <c r="CT10" i="60"/>
  <c r="DF10" i="60"/>
  <c r="CT11" i="60"/>
  <c r="DF11" i="60"/>
  <c r="CT12" i="60"/>
  <c r="DF12" i="60"/>
  <c r="CT13" i="60"/>
  <c r="DF13" i="60"/>
  <c r="CT14" i="60"/>
  <c r="DF14" i="60"/>
  <c r="CT15" i="60"/>
  <c r="DF15" i="60"/>
  <c r="CT16" i="60"/>
  <c r="DF16" i="60"/>
  <c r="CT17" i="60"/>
  <c r="DF17" i="60"/>
  <c r="CT18" i="60"/>
  <c r="DF18" i="60"/>
  <c r="CT19" i="60"/>
  <c r="DF19" i="60"/>
  <c r="CT20" i="60"/>
  <c r="DF20" i="60"/>
  <c r="CT21" i="60"/>
  <c r="DF21" i="60"/>
  <c r="CT22" i="60"/>
  <c r="DF22" i="60"/>
  <c r="CT23" i="60"/>
  <c r="DF23" i="60"/>
  <c r="CT24" i="60"/>
  <c r="DF24" i="60"/>
  <c r="CT25" i="60"/>
  <c r="DF25" i="60"/>
  <c r="CT26" i="60"/>
  <c r="DF26" i="60"/>
  <c r="CT27" i="60"/>
  <c r="DF27" i="60"/>
  <c r="CT28" i="60"/>
  <c r="DF28" i="60"/>
  <c r="CT29" i="60"/>
  <c r="DF29" i="60"/>
  <c r="CT30" i="60"/>
  <c r="DF30" i="60"/>
  <c r="CT31" i="60"/>
  <c r="DF31" i="60"/>
  <c r="CT32" i="60"/>
  <c r="DF32" i="60"/>
  <c r="CT33" i="60"/>
  <c r="DF33" i="60"/>
  <c r="CT34" i="60"/>
  <c r="DF34" i="60"/>
  <c r="CT35" i="60"/>
  <c r="DF35" i="60"/>
  <c r="CT36" i="60"/>
  <c r="DF36" i="60"/>
  <c r="CT37" i="60"/>
  <c r="DF37" i="60"/>
  <c r="CT38" i="60"/>
  <c r="DF38" i="60"/>
  <c r="CT39" i="60"/>
  <c r="DF39" i="60"/>
  <c r="CT40" i="60"/>
  <c r="DF40" i="60"/>
  <c r="CT41" i="60"/>
  <c r="DF41" i="60"/>
  <c r="CT42" i="60"/>
  <c r="DF42" i="60"/>
  <c r="CT43" i="60"/>
  <c r="DF43" i="60"/>
  <c r="CT44" i="60"/>
  <c r="DF44" i="60"/>
  <c r="CT45" i="60"/>
  <c r="DF45" i="60"/>
  <c r="CT46" i="60"/>
  <c r="DF46" i="60"/>
  <c r="CT47" i="60"/>
  <c r="DF47" i="60"/>
  <c r="CT48" i="60"/>
  <c r="DF48" i="60"/>
  <c r="CT50" i="60"/>
  <c r="DF50" i="60"/>
  <c r="CZ75" i="60"/>
  <c r="DL75" i="60"/>
  <c r="CT77" i="60"/>
  <c r="DL77" i="60"/>
  <c r="CT91" i="60"/>
  <c r="DL92" i="60"/>
  <c r="CT94" i="60"/>
  <c r="CZ94" i="60"/>
  <c r="C6" i="60"/>
  <c r="AY6" i="60"/>
  <c r="BE6" i="60" s="1"/>
  <c r="BK6" i="60" s="1"/>
  <c r="BQ6" i="60" s="1"/>
  <c r="DF74" i="60"/>
  <c r="CZ92" i="60"/>
  <c r="CU58" i="60"/>
  <c r="DA58" i="60" s="1"/>
  <c r="DG58" i="60" s="1"/>
  <c r="DM58" i="60" s="1"/>
  <c r="CU61" i="60"/>
  <c r="CU63" i="60"/>
  <c r="CU65" i="60"/>
  <c r="CU67" i="60"/>
  <c r="CU69" i="60"/>
  <c r="CU71" i="60"/>
  <c r="CU73" i="60"/>
  <c r="CU75" i="60"/>
  <c r="CV60" i="60"/>
  <c r="CV62" i="60"/>
  <c r="CV64" i="60"/>
  <c r="CV66" i="60"/>
  <c r="CV68" i="60"/>
  <c r="CV70" i="60"/>
  <c r="CV72" i="60"/>
  <c r="CV74" i="60"/>
  <c r="CW61" i="60"/>
  <c r="CW63" i="60"/>
  <c r="CW65" i="60"/>
  <c r="CW67" i="60"/>
  <c r="CW69" i="60"/>
  <c r="CW71" i="60"/>
  <c r="CW73" i="60"/>
  <c r="CW75" i="60"/>
  <c r="DB61" i="60"/>
  <c r="DB63" i="60"/>
  <c r="DB65" i="60"/>
  <c r="DB67" i="60"/>
  <c r="DB69" i="60"/>
  <c r="DB71" i="60"/>
  <c r="DB73" i="60"/>
  <c r="DB75" i="60"/>
  <c r="DG61" i="60"/>
  <c r="DG63" i="60"/>
  <c r="DG65" i="60"/>
  <c r="DG67" i="60"/>
  <c r="DG69" i="60"/>
  <c r="DG71" i="60"/>
  <c r="DG73" i="60"/>
  <c r="DG75" i="60"/>
  <c r="DH60" i="60"/>
  <c r="DH62" i="60"/>
  <c r="DH64" i="60"/>
  <c r="DH66" i="60"/>
  <c r="DH68" i="60"/>
  <c r="DH70" i="60"/>
  <c r="DH72" i="60"/>
  <c r="DH74" i="60"/>
  <c r="DI61" i="60"/>
  <c r="DI63" i="60"/>
  <c r="DI65" i="60"/>
  <c r="DI67" i="60"/>
  <c r="DI69" i="60"/>
  <c r="DI71" i="60"/>
  <c r="DI73" i="60"/>
  <c r="DI75" i="60"/>
  <c r="DM70" i="60"/>
  <c r="DM72" i="60"/>
  <c r="DM74" i="60"/>
  <c r="DN61" i="60"/>
  <c r="DN63" i="60"/>
  <c r="DN65" i="60"/>
  <c r="DN67" i="60"/>
  <c r="DN69" i="60"/>
  <c r="DN71" i="60"/>
  <c r="DN73" i="60"/>
  <c r="DN75" i="60"/>
  <c r="DO74" i="60"/>
  <c r="CU85" i="60"/>
  <c r="DA85" i="60" s="1"/>
  <c r="DG85" i="60" s="1"/>
  <c r="DM85" i="60" s="1"/>
  <c r="CU88" i="60"/>
  <c r="CU90" i="60"/>
  <c r="CU92" i="60"/>
  <c r="CV87" i="60"/>
  <c r="CV89" i="60"/>
  <c r="CV91" i="60"/>
  <c r="CW88" i="60"/>
  <c r="CW90" i="60"/>
  <c r="CW92" i="60"/>
  <c r="DB88" i="60"/>
  <c r="DB90" i="60"/>
  <c r="DB92" i="60"/>
  <c r="DG88" i="60"/>
  <c r="DG90" i="60"/>
  <c r="DG92" i="60"/>
  <c r="DH87" i="60"/>
  <c r="DH89" i="60"/>
  <c r="DH91" i="60"/>
  <c r="DI88" i="60"/>
  <c r="DI90" i="60"/>
  <c r="DI92" i="60"/>
  <c r="DN88" i="60"/>
  <c r="DN90" i="60"/>
  <c r="DN92" i="60"/>
  <c r="CU60" i="60"/>
  <c r="CU62" i="60"/>
  <c r="CU64" i="60"/>
  <c r="CU66" i="60"/>
  <c r="CU68" i="60"/>
  <c r="CU70" i="60"/>
  <c r="CU72" i="60"/>
  <c r="CV61" i="60"/>
  <c r="CV63" i="60"/>
  <c r="CV65" i="60"/>
  <c r="CV67" i="60"/>
  <c r="CV69" i="60"/>
  <c r="CV71" i="60"/>
  <c r="CV73" i="60"/>
  <c r="CW60" i="60"/>
  <c r="CW62" i="60"/>
  <c r="CW64" i="60"/>
  <c r="CW66" i="60"/>
  <c r="CW68" i="60"/>
  <c r="CW70" i="60"/>
  <c r="CW72" i="60"/>
  <c r="DA61" i="60"/>
  <c r="DA63" i="60"/>
  <c r="DA65" i="60"/>
  <c r="DA67" i="60"/>
  <c r="DA69" i="60"/>
  <c r="DA71" i="60"/>
  <c r="DA73" i="60"/>
  <c r="DB60" i="60"/>
  <c r="DB62" i="60"/>
  <c r="DB64" i="60"/>
  <c r="DB66" i="60"/>
  <c r="DB68" i="60"/>
  <c r="DB70" i="60"/>
  <c r="DB72" i="60"/>
  <c r="DC61" i="60"/>
  <c r="DC63" i="60"/>
  <c r="DC65" i="60"/>
  <c r="DC67" i="60"/>
  <c r="DC69" i="60"/>
  <c r="DC71" i="60"/>
  <c r="DC73" i="60"/>
  <c r="DG62" i="60"/>
  <c r="DG64" i="60"/>
  <c r="DG66" i="60"/>
  <c r="DG68" i="60"/>
  <c r="DG70" i="60"/>
  <c r="DG72" i="60"/>
  <c r="DH61" i="60"/>
  <c r="DH63" i="60"/>
  <c r="DH65" i="60"/>
  <c r="DH67" i="60"/>
  <c r="DH69" i="60"/>
  <c r="DH71" i="60"/>
  <c r="DH73" i="60"/>
  <c r="DI66" i="60"/>
  <c r="DI68" i="60"/>
  <c r="DI70" i="60"/>
  <c r="DI72" i="60"/>
  <c r="DM61" i="60"/>
  <c r="DM63" i="60"/>
  <c r="DM65" i="60"/>
  <c r="DM67" i="60"/>
  <c r="DM69" i="60"/>
  <c r="DM71" i="60"/>
  <c r="DM73" i="60"/>
  <c r="DN60" i="60"/>
  <c r="DN62" i="60"/>
  <c r="DN64" i="60"/>
  <c r="DN66" i="60"/>
  <c r="DN68" i="60"/>
  <c r="DN70" i="60"/>
  <c r="DN72" i="60"/>
  <c r="DO61" i="60"/>
  <c r="DO63" i="60"/>
  <c r="DO65" i="60"/>
  <c r="DO67" i="60"/>
  <c r="DO69" i="60"/>
  <c r="DO71" i="60"/>
  <c r="DO73" i="60"/>
  <c r="CU87" i="60"/>
  <c r="CU89" i="60"/>
  <c r="CV88" i="60"/>
  <c r="CV90" i="60"/>
  <c r="CW87" i="60"/>
  <c r="CW89" i="60"/>
  <c r="DA88" i="60"/>
  <c r="DA90" i="60"/>
  <c r="DB87" i="60"/>
  <c r="DB89" i="60"/>
  <c r="DC88" i="60"/>
  <c r="DC90" i="60"/>
  <c r="DG87" i="60"/>
  <c r="DG89" i="60"/>
  <c r="DH88" i="60"/>
  <c r="DH90" i="60"/>
  <c r="DI87" i="60"/>
  <c r="DI89" i="60"/>
  <c r="DM88" i="60"/>
  <c r="DM90" i="60"/>
  <c r="DN87" i="60"/>
  <c r="DN89" i="60"/>
  <c r="DO88" i="60"/>
  <c r="DO90" i="60"/>
  <c r="BG60" i="60"/>
  <c r="BE60" i="60"/>
  <c r="BW64" i="60"/>
  <c r="BW72" i="60"/>
  <c r="BY64" i="60"/>
  <c r="BY72" i="60"/>
  <c r="CO87" i="60"/>
  <c r="BE68" i="60"/>
  <c r="BG68" i="60"/>
  <c r="BV8" i="60"/>
  <c r="CH8" i="60"/>
  <c r="BV9" i="60"/>
  <c r="CH9" i="60"/>
  <c r="BV10" i="60"/>
  <c r="CH10" i="60"/>
  <c r="BV11" i="60"/>
  <c r="CH11" i="60"/>
  <c r="BV12" i="60"/>
  <c r="CH12" i="60"/>
  <c r="BV13" i="60"/>
  <c r="CH13" i="60"/>
  <c r="BV14" i="60"/>
  <c r="CH14" i="60"/>
  <c r="BV15" i="60"/>
  <c r="CH15" i="60"/>
  <c r="BV16" i="60"/>
  <c r="CH16" i="60"/>
  <c r="BV17" i="60"/>
  <c r="CH17" i="60"/>
  <c r="BV18" i="60"/>
  <c r="CH18" i="60"/>
  <c r="BV19" i="60"/>
  <c r="CH19" i="60"/>
  <c r="BV20" i="60"/>
  <c r="CH20" i="60"/>
  <c r="BV21" i="60"/>
  <c r="CH21" i="60"/>
  <c r="BV22" i="60"/>
  <c r="CH22" i="60"/>
  <c r="BV23" i="60"/>
  <c r="CH23" i="60"/>
  <c r="BV24" i="60"/>
  <c r="CH24" i="60"/>
  <c r="BV25" i="60"/>
  <c r="CH25" i="60"/>
  <c r="BV26" i="60"/>
  <c r="CH26" i="60"/>
  <c r="BV27" i="60"/>
  <c r="CH27" i="60"/>
  <c r="BV28" i="60"/>
  <c r="CH28" i="60"/>
  <c r="BV29" i="60"/>
  <c r="CH29" i="60"/>
  <c r="BV30" i="60"/>
  <c r="CH30" i="60"/>
  <c r="BV31" i="60"/>
  <c r="CH31" i="60"/>
  <c r="BV32" i="60"/>
  <c r="CH32" i="60"/>
  <c r="BV33" i="60"/>
  <c r="CH33" i="60"/>
  <c r="BV34" i="60"/>
  <c r="CH34" i="60"/>
  <c r="BV35" i="60"/>
  <c r="CH35" i="60"/>
  <c r="BV36" i="60"/>
  <c r="CH36" i="60"/>
  <c r="BV37" i="60"/>
  <c r="CH37" i="60"/>
  <c r="BV38" i="60"/>
  <c r="CH38" i="60"/>
  <c r="BV39" i="60"/>
  <c r="CH39" i="60"/>
  <c r="BV40" i="60"/>
  <c r="CH40" i="60"/>
  <c r="BV41" i="60"/>
  <c r="CH41" i="60"/>
  <c r="BV42" i="60"/>
  <c r="CH42" i="60"/>
  <c r="BV43" i="60"/>
  <c r="CH43" i="60"/>
  <c r="BV44" i="60"/>
  <c r="CH44" i="60"/>
  <c r="BV45" i="60"/>
  <c r="CH45" i="60"/>
  <c r="BV46" i="60"/>
  <c r="CH46" i="60"/>
  <c r="BV47" i="60"/>
  <c r="CH47" i="60"/>
  <c r="BV48" i="60"/>
  <c r="CH48" i="60"/>
  <c r="BV50" i="60"/>
  <c r="CH50" i="60"/>
  <c r="BV75" i="60"/>
  <c r="BW62" i="60"/>
  <c r="BW66" i="60"/>
  <c r="BW70" i="60"/>
  <c r="BW74" i="60"/>
  <c r="BY62" i="60"/>
  <c r="BY66" i="60"/>
  <c r="BY70" i="60"/>
  <c r="BY74" i="60"/>
  <c r="CB75" i="60"/>
  <c r="CI60" i="60"/>
  <c r="CI64" i="60"/>
  <c r="CI68" i="60"/>
  <c r="CI72" i="60"/>
  <c r="CK60" i="60"/>
  <c r="CK64" i="60"/>
  <c r="CK68" i="60"/>
  <c r="CK72" i="60"/>
  <c r="CB77" i="60"/>
  <c r="CH77" i="60"/>
  <c r="BW87" i="60"/>
  <c r="BW91" i="60"/>
  <c r="BY89" i="60"/>
  <c r="CI87" i="60"/>
  <c r="CI91" i="60"/>
  <c r="CH91" i="60" s="1"/>
  <c r="CO91" i="60"/>
  <c r="CQ89" i="60"/>
  <c r="CH94" i="60"/>
  <c r="CN94" i="60"/>
  <c r="CB8" i="60"/>
  <c r="CN8" i="60"/>
  <c r="CB9" i="60"/>
  <c r="CN9" i="60"/>
  <c r="CB10" i="60"/>
  <c r="CN10" i="60"/>
  <c r="CB11" i="60"/>
  <c r="CN11" i="60"/>
  <c r="CB12" i="60"/>
  <c r="CN12" i="60"/>
  <c r="CB13" i="60"/>
  <c r="CN13" i="60"/>
  <c r="CB14" i="60"/>
  <c r="CN14" i="60"/>
  <c r="CB15" i="60"/>
  <c r="CN15" i="60"/>
  <c r="CB16" i="60"/>
  <c r="CN16" i="60"/>
  <c r="CB17" i="60"/>
  <c r="CN17" i="60"/>
  <c r="CB18" i="60"/>
  <c r="CN18" i="60"/>
  <c r="CB19" i="60"/>
  <c r="CN19" i="60"/>
  <c r="CB20" i="60"/>
  <c r="CN20" i="60"/>
  <c r="CB21" i="60"/>
  <c r="CN21" i="60"/>
  <c r="CB22" i="60"/>
  <c r="CN22" i="60"/>
  <c r="CB23" i="60"/>
  <c r="CN23" i="60"/>
  <c r="CB24" i="60"/>
  <c r="CN24" i="60"/>
  <c r="CB25" i="60"/>
  <c r="CN25" i="60"/>
  <c r="CB26" i="60"/>
  <c r="CN26" i="60"/>
  <c r="CB27" i="60"/>
  <c r="CN27" i="60"/>
  <c r="CB28" i="60"/>
  <c r="CN28" i="60"/>
  <c r="CB29" i="60"/>
  <c r="CN29" i="60"/>
  <c r="CB30" i="60"/>
  <c r="CN30" i="60"/>
  <c r="CB31" i="60"/>
  <c r="CN31" i="60"/>
  <c r="CB32" i="60"/>
  <c r="CN32" i="60"/>
  <c r="CB33" i="60"/>
  <c r="CN33" i="60"/>
  <c r="CB34" i="60"/>
  <c r="CN34" i="60"/>
  <c r="CB35" i="60"/>
  <c r="CN35" i="60"/>
  <c r="CB36" i="60"/>
  <c r="CN36" i="60"/>
  <c r="CB37" i="60"/>
  <c r="CN37" i="60"/>
  <c r="CB38" i="60"/>
  <c r="CN38" i="60"/>
  <c r="CB39" i="60"/>
  <c r="CN39" i="60"/>
  <c r="CB40" i="60"/>
  <c r="CN40" i="60"/>
  <c r="CB41" i="60"/>
  <c r="CN41" i="60"/>
  <c r="CB42" i="60"/>
  <c r="CN42" i="60"/>
  <c r="CB43" i="60"/>
  <c r="CN43" i="60"/>
  <c r="CB44" i="60"/>
  <c r="CN44" i="60"/>
  <c r="CB45" i="60"/>
  <c r="CN45" i="60"/>
  <c r="CB46" i="60"/>
  <c r="CN46" i="60"/>
  <c r="CB47" i="60"/>
  <c r="CN47" i="60"/>
  <c r="CB48" i="60"/>
  <c r="CN48" i="60"/>
  <c r="CB50" i="60"/>
  <c r="CN50" i="60"/>
  <c r="CH75" i="60"/>
  <c r="CI62" i="60"/>
  <c r="CI66" i="60"/>
  <c r="CI70" i="60"/>
  <c r="CI74" i="60"/>
  <c r="CK62" i="60"/>
  <c r="CK66" i="60"/>
  <c r="CK70" i="60"/>
  <c r="CK74" i="60"/>
  <c r="CN75" i="60"/>
  <c r="BV77" i="60"/>
  <c r="CN77" i="60"/>
  <c r="BV92" i="60"/>
  <c r="BW89" i="60"/>
  <c r="BY87" i="60"/>
  <c r="BY91" i="60"/>
  <c r="CB92" i="60"/>
  <c r="CI89" i="60"/>
  <c r="CN92" i="60"/>
  <c r="CO89" i="60"/>
  <c r="CQ87" i="60"/>
  <c r="CQ91" i="60"/>
  <c r="BV94" i="60"/>
  <c r="CB94" i="60"/>
  <c r="BW61" i="60"/>
  <c r="BW63" i="60"/>
  <c r="BW65" i="60"/>
  <c r="BW67" i="60"/>
  <c r="BW69" i="60"/>
  <c r="BW71" i="60"/>
  <c r="BW73" i="60"/>
  <c r="BX60" i="60"/>
  <c r="BX62" i="60"/>
  <c r="BX64" i="60"/>
  <c r="BX66" i="60"/>
  <c r="BX68" i="60"/>
  <c r="BX70" i="60"/>
  <c r="BX72" i="60"/>
  <c r="BX74" i="60"/>
  <c r="BY61" i="60"/>
  <c r="BY63" i="60"/>
  <c r="BY65" i="60"/>
  <c r="BY67" i="60"/>
  <c r="BY69" i="60"/>
  <c r="BY71" i="60"/>
  <c r="BY73" i="60"/>
  <c r="CC60" i="60"/>
  <c r="CC62" i="60"/>
  <c r="CC64" i="60"/>
  <c r="CC66" i="60"/>
  <c r="CC68" i="60"/>
  <c r="CC70" i="60"/>
  <c r="CC72" i="60"/>
  <c r="CC74" i="60"/>
  <c r="CD61" i="60"/>
  <c r="CD63" i="60"/>
  <c r="CD65" i="60"/>
  <c r="CD67" i="60"/>
  <c r="CD69" i="60"/>
  <c r="CD71" i="60"/>
  <c r="CD73" i="60"/>
  <c r="CD75" i="60"/>
  <c r="CE60" i="60"/>
  <c r="CE62" i="60"/>
  <c r="CE64" i="60"/>
  <c r="CE66" i="60"/>
  <c r="CE68" i="60"/>
  <c r="CE70" i="60"/>
  <c r="CE72" i="60"/>
  <c r="CE74" i="60"/>
  <c r="CI61" i="60"/>
  <c r="CI63" i="60"/>
  <c r="CI65" i="60"/>
  <c r="CI67" i="60"/>
  <c r="CI69" i="60"/>
  <c r="CI71" i="60"/>
  <c r="CI73" i="60"/>
  <c r="CJ60" i="60"/>
  <c r="CJ62" i="60"/>
  <c r="CJ64" i="60"/>
  <c r="CJ66" i="60"/>
  <c r="CJ68" i="60"/>
  <c r="CJ70" i="60"/>
  <c r="CJ72" i="60"/>
  <c r="CJ74" i="60"/>
  <c r="CK61" i="60"/>
  <c r="CK63" i="60"/>
  <c r="CK65" i="60"/>
  <c r="CK67" i="60"/>
  <c r="CK69" i="60"/>
  <c r="CK71" i="60"/>
  <c r="CK73" i="60"/>
  <c r="CO60" i="60"/>
  <c r="CO62" i="60"/>
  <c r="CO64" i="60"/>
  <c r="CO66" i="60"/>
  <c r="CO68" i="60"/>
  <c r="CO70" i="60"/>
  <c r="CO72" i="60"/>
  <c r="CO74" i="60"/>
  <c r="CP61" i="60"/>
  <c r="CP63" i="60"/>
  <c r="CP65" i="60"/>
  <c r="CP67" i="60"/>
  <c r="CP69" i="60"/>
  <c r="CP71" i="60"/>
  <c r="CP73" i="60"/>
  <c r="CP75" i="60"/>
  <c r="CQ60" i="60"/>
  <c r="CQ62" i="60"/>
  <c r="CQ64" i="60"/>
  <c r="CQ66" i="60"/>
  <c r="CQ68" i="60"/>
  <c r="CQ70" i="60"/>
  <c r="CQ72" i="60"/>
  <c r="CQ74" i="60"/>
  <c r="BW88" i="60"/>
  <c r="BW90" i="60"/>
  <c r="BX87" i="60"/>
  <c r="BX89" i="60"/>
  <c r="BX91" i="60"/>
  <c r="BY88" i="60"/>
  <c r="BY90" i="60"/>
  <c r="CC87" i="60"/>
  <c r="CC89" i="60"/>
  <c r="CC91" i="60"/>
  <c r="CD88" i="60"/>
  <c r="CD90" i="60"/>
  <c r="CD92" i="60"/>
  <c r="CE87" i="60"/>
  <c r="CE89" i="60"/>
  <c r="CE91" i="60"/>
  <c r="CI88" i="60"/>
  <c r="CI90" i="60"/>
  <c r="CJ87" i="60"/>
  <c r="CJ89" i="60"/>
  <c r="CJ91" i="60"/>
  <c r="CK88" i="60"/>
  <c r="CK90" i="60"/>
  <c r="CK92" i="60"/>
  <c r="CH92" i="60" s="1"/>
  <c r="CP88" i="60"/>
  <c r="CP90" i="60"/>
  <c r="CP92" i="60"/>
  <c r="BX61" i="60"/>
  <c r="BX63" i="60"/>
  <c r="BX65" i="60"/>
  <c r="BX67" i="60"/>
  <c r="BX69" i="60"/>
  <c r="BX71" i="60"/>
  <c r="BX73" i="60"/>
  <c r="CC61" i="60"/>
  <c r="CC63" i="60"/>
  <c r="CC65" i="60"/>
  <c r="CC67" i="60"/>
  <c r="CC69" i="60"/>
  <c r="CC71" i="60"/>
  <c r="CC73" i="60"/>
  <c r="CD60" i="60"/>
  <c r="CD62" i="60"/>
  <c r="CD64" i="60"/>
  <c r="CD66" i="60"/>
  <c r="CD68" i="60"/>
  <c r="CD70" i="60"/>
  <c r="CD72" i="60"/>
  <c r="CE61" i="60"/>
  <c r="CE63" i="60"/>
  <c r="CE65" i="60"/>
  <c r="CE67" i="60"/>
  <c r="CE69" i="60"/>
  <c r="CE71" i="60"/>
  <c r="CE73" i="60"/>
  <c r="CJ61" i="60"/>
  <c r="CJ63" i="60"/>
  <c r="CJ65" i="60"/>
  <c r="CJ67" i="60"/>
  <c r="CJ69" i="60"/>
  <c r="CJ71" i="60"/>
  <c r="CJ73" i="60"/>
  <c r="CO61" i="60"/>
  <c r="CO63" i="60"/>
  <c r="CO65" i="60"/>
  <c r="CO67" i="60"/>
  <c r="CO69" i="60"/>
  <c r="CO71" i="60"/>
  <c r="CO73" i="60"/>
  <c r="CP60" i="60"/>
  <c r="CP62" i="60"/>
  <c r="CP64" i="60"/>
  <c r="CP66" i="60"/>
  <c r="CP68" i="60"/>
  <c r="CP70" i="60"/>
  <c r="CP72" i="60"/>
  <c r="CQ61" i="60"/>
  <c r="CQ63" i="60"/>
  <c r="CQ65" i="60"/>
  <c r="CQ67" i="60"/>
  <c r="CQ69" i="60"/>
  <c r="CQ71" i="60"/>
  <c r="CQ73" i="60"/>
  <c r="BX88" i="60"/>
  <c r="BX90" i="60"/>
  <c r="CC88" i="60"/>
  <c r="CC90" i="60"/>
  <c r="CD87" i="60"/>
  <c r="CD89" i="60"/>
  <c r="CE88" i="60"/>
  <c r="CE90" i="60"/>
  <c r="CJ88" i="60"/>
  <c r="CJ90" i="60"/>
  <c r="CK87" i="60"/>
  <c r="CK89" i="60"/>
  <c r="CO88" i="60"/>
  <c r="CO90" i="60"/>
  <c r="CP87" i="60"/>
  <c r="CP89" i="60"/>
  <c r="CQ88" i="60"/>
  <c r="CQ90" i="60"/>
  <c r="BQ87" i="60"/>
  <c r="BE64" i="60"/>
  <c r="BE72" i="60"/>
  <c r="BG64" i="60"/>
  <c r="BG72" i="60"/>
  <c r="BQ91" i="60"/>
  <c r="BD8" i="60"/>
  <c r="BP8" i="60"/>
  <c r="BD9" i="60"/>
  <c r="BP9" i="60"/>
  <c r="BD10" i="60"/>
  <c r="BP10" i="60"/>
  <c r="BD11" i="60"/>
  <c r="BP11" i="60"/>
  <c r="BD12" i="60"/>
  <c r="BP12" i="60"/>
  <c r="BD13" i="60"/>
  <c r="BP13" i="60"/>
  <c r="BD14" i="60"/>
  <c r="BP14" i="60"/>
  <c r="BD15" i="60"/>
  <c r="BP15" i="60"/>
  <c r="BD16" i="60"/>
  <c r="BP16" i="60"/>
  <c r="BD17" i="60"/>
  <c r="BP17" i="60"/>
  <c r="BD18" i="60"/>
  <c r="BP18" i="60"/>
  <c r="BD19" i="60"/>
  <c r="BP19" i="60"/>
  <c r="BD20" i="60"/>
  <c r="BP20" i="60"/>
  <c r="BD21" i="60"/>
  <c r="BP21" i="60"/>
  <c r="BD22" i="60"/>
  <c r="BP22" i="60"/>
  <c r="BD23" i="60"/>
  <c r="BP23" i="60"/>
  <c r="BD24" i="60"/>
  <c r="BP24" i="60"/>
  <c r="BD25" i="60"/>
  <c r="BP25" i="60"/>
  <c r="BD26" i="60"/>
  <c r="BP26" i="60"/>
  <c r="BD27" i="60"/>
  <c r="BP27" i="60"/>
  <c r="BD28" i="60"/>
  <c r="BP28" i="60"/>
  <c r="BD29" i="60"/>
  <c r="BP29" i="60"/>
  <c r="BD30" i="60"/>
  <c r="BP30" i="60"/>
  <c r="BD31" i="60"/>
  <c r="BP31" i="60"/>
  <c r="BD32" i="60"/>
  <c r="BP32" i="60"/>
  <c r="BD33" i="60"/>
  <c r="BP33" i="60"/>
  <c r="BD34" i="60"/>
  <c r="BP34" i="60"/>
  <c r="BD35" i="60"/>
  <c r="BP35" i="60"/>
  <c r="BD36" i="60"/>
  <c r="BP36" i="60"/>
  <c r="BD37" i="60"/>
  <c r="BP37" i="60"/>
  <c r="BD38" i="60"/>
  <c r="BP38" i="60"/>
  <c r="BD39" i="60"/>
  <c r="BP39" i="60"/>
  <c r="BD40" i="60"/>
  <c r="BP40" i="60"/>
  <c r="BD41" i="60"/>
  <c r="BP41" i="60"/>
  <c r="BD42" i="60"/>
  <c r="BP42" i="60"/>
  <c r="BD43" i="60"/>
  <c r="BP43" i="60"/>
  <c r="BD44" i="60"/>
  <c r="BP44" i="60"/>
  <c r="BD45" i="60"/>
  <c r="BP45" i="60"/>
  <c r="BD46" i="60"/>
  <c r="BP46" i="60"/>
  <c r="BD47" i="60"/>
  <c r="BP47" i="60"/>
  <c r="BD48" i="60"/>
  <c r="BP48" i="60"/>
  <c r="BD50" i="60"/>
  <c r="BP50" i="60"/>
  <c r="AY60" i="60"/>
  <c r="AY64" i="60"/>
  <c r="BP75" i="60"/>
  <c r="BQ62" i="60"/>
  <c r="BQ66" i="60"/>
  <c r="BQ70" i="60"/>
  <c r="BS60" i="60"/>
  <c r="BS64" i="60"/>
  <c r="BS68" i="60"/>
  <c r="AX77" i="60"/>
  <c r="BP77" i="60"/>
  <c r="BA89" i="60"/>
  <c r="BG87" i="60"/>
  <c r="BK89" i="60"/>
  <c r="BP92" i="60"/>
  <c r="BQ89" i="60"/>
  <c r="BS87" i="60"/>
  <c r="BS91" i="60"/>
  <c r="AX94" i="60"/>
  <c r="BD94" i="60"/>
  <c r="AX8" i="60"/>
  <c r="BJ8" i="60"/>
  <c r="AX9" i="60"/>
  <c r="BJ9" i="60"/>
  <c r="AX10" i="60"/>
  <c r="BJ10" i="60"/>
  <c r="AX11" i="60"/>
  <c r="BJ11" i="60"/>
  <c r="AX12" i="60"/>
  <c r="BJ12" i="60"/>
  <c r="AX13" i="60"/>
  <c r="BJ13" i="60"/>
  <c r="AX14" i="60"/>
  <c r="BJ14" i="60"/>
  <c r="AX15" i="60"/>
  <c r="BJ15" i="60"/>
  <c r="AX16" i="60"/>
  <c r="BJ16" i="60"/>
  <c r="AX17" i="60"/>
  <c r="BJ17" i="60"/>
  <c r="AX18" i="60"/>
  <c r="BJ18" i="60"/>
  <c r="AX19" i="60"/>
  <c r="BJ19" i="60"/>
  <c r="AX20" i="60"/>
  <c r="BJ20" i="60"/>
  <c r="AX21" i="60"/>
  <c r="BJ21" i="60"/>
  <c r="AX22" i="60"/>
  <c r="BJ22" i="60"/>
  <c r="AX23" i="60"/>
  <c r="BJ23" i="60"/>
  <c r="AX24" i="60"/>
  <c r="BJ24" i="60"/>
  <c r="AX25" i="60"/>
  <c r="BJ25" i="60"/>
  <c r="AX26" i="60"/>
  <c r="BJ26" i="60"/>
  <c r="AX27" i="60"/>
  <c r="BJ27" i="60"/>
  <c r="AX28" i="60"/>
  <c r="BJ28" i="60"/>
  <c r="AX29" i="60"/>
  <c r="BJ29" i="60"/>
  <c r="AX30" i="60"/>
  <c r="BJ30" i="60"/>
  <c r="AX31" i="60"/>
  <c r="BJ31" i="60"/>
  <c r="AX32" i="60"/>
  <c r="BJ32" i="60"/>
  <c r="AX33" i="60"/>
  <c r="BJ33" i="60"/>
  <c r="AX34" i="60"/>
  <c r="BJ34" i="60"/>
  <c r="AX35" i="60"/>
  <c r="BJ35" i="60"/>
  <c r="AX36" i="60"/>
  <c r="BJ36" i="60"/>
  <c r="AX37" i="60"/>
  <c r="BJ37" i="60"/>
  <c r="AX38" i="60"/>
  <c r="BJ38" i="60"/>
  <c r="AX39" i="60"/>
  <c r="BJ39" i="60"/>
  <c r="AX40" i="60"/>
  <c r="BJ40" i="60"/>
  <c r="AX41" i="60"/>
  <c r="BJ41" i="60"/>
  <c r="AX42" i="60"/>
  <c r="BJ42" i="60"/>
  <c r="AX43" i="60"/>
  <c r="BJ43" i="60"/>
  <c r="AX44" i="60"/>
  <c r="BJ44" i="60"/>
  <c r="AX45" i="60"/>
  <c r="BJ45" i="60"/>
  <c r="AX46" i="60"/>
  <c r="BJ46" i="60"/>
  <c r="AX47" i="60"/>
  <c r="BJ47" i="60"/>
  <c r="AX48" i="60"/>
  <c r="BJ48" i="60"/>
  <c r="AX50" i="60"/>
  <c r="BJ50" i="60"/>
  <c r="AX74" i="60"/>
  <c r="AY62" i="60"/>
  <c r="BD75" i="60"/>
  <c r="BE62" i="60"/>
  <c r="BE66" i="60"/>
  <c r="BE70" i="60"/>
  <c r="BE74" i="60"/>
  <c r="BG62" i="60"/>
  <c r="BG66" i="60"/>
  <c r="BG70" i="60"/>
  <c r="BG74" i="60"/>
  <c r="BJ74" i="60"/>
  <c r="BQ60" i="60"/>
  <c r="BQ64" i="60"/>
  <c r="BQ68" i="60"/>
  <c r="BQ72" i="60"/>
  <c r="BS62" i="60"/>
  <c r="BS66" i="60"/>
  <c r="BD77" i="60"/>
  <c r="BA87" i="60"/>
  <c r="BA91" i="60"/>
  <c r="AX91" i="60" s="1"/>
  <c r="BD92" i="60"/>
  <c r="BK87" i="60"/>
  <c r="BK91" i="60"/>
  <c r="BJ91" i="60" s="1"/>
  <c r="BS89" i="60"/>
  <c r="BJ94" i="60"/>
  <c r="BP94" i="60"/>
  <c r="AY61" i="60"/>
  <c r="AY63" i="60"/>
  <c r="AY65" i="60"/>
  <c r="AY67" i="60"/>
  <c r="AY69" i="60"/>
  <c r="AY71" i="60"/>
  <c r="AY73" i="60"/>
  <c r="AY75" i="60"/>
  <c r="AZ60" i="60"/>
  <c r="AZ62" i="60"/>
  <c r="AZ64" i="60"/>
  <c r="AZ66" i="60"/>
  <c r="AZ68" i="60"/>
  <c r="AZ70" i="60"/>
  <c r="AZ72" i="60"/>
  <c r="AZ74" i="60"/>
  <c r="BA61" i="60"/>
  <c r="BA63" i="60"/>
  <c r="BA65" i="60"/>
  <c r="BA67" i="60"/>
  <c r="BA69" i="60"/>
  <c r="BA71" i="60"/>
  <c r="BA73" i="60"/>
  <c r="BA75" i="60"/>
  <c r="BF61" i="60"/>
  <c r="BF63" i="60"/>
  <c r="BF65" i="60"/>
  <c r="BF67" i="60"/>
  <c r="BF69" i="60"/>
  <c r="BF71" i="60"/>
  <c r="BF73" i="60"/>
  <c r="BF75" i="60"/>
  <c r="BK61" i="60"/>
  <c r="BK63" i="60"/>
  <c r="BK65" i="60"/>
  <c r="BK67" i="60"/>
  <c r="BK69" i="60"/>
  <c r="BK71" i="60"/>
  <c r="BK73" i="60"/>
  <c r="BK75" i="60"/>
  <c r="BL60" i="60"/>
  <c r="BL62" i="60"/>
  <c r="BL64" i="60"/>
  <c r="BL66" i="60"/>
  <c r="BL68" i="60"/>
  <c r="BL70" i="60"/>
  <c r="BL72" i="60"/>
  <c r="BL74" i="60"/>
  <c r="BM61" i="60"/>
  <c r="BM63" i="60"/>
  <c r="BM65" i="60"/>
  <c r="BM67" i="60"/>
  <c r="BM69" i="60"/>
  <c r="BM71" i="60"/>
  <c r="BM73" i="60"/>
  <c r="BM75" i="60"/>
  <c r="BQ74" i="60"/>
  <c r="BR61" i="60"/>
  <c r="BR63" i="60"/>
  <c r="BR65" i="60"/>
  <c r="BR67" i="60"/>
  <c r="BR69" i="60"/>
  <c r="BR71" i="60"/>
  <c r="BR73" i="60"/>
  <c r="BR75" i="60"/>
  <c r="BS70" i="60"/>
  <c r="BS72" i="60"/>
  <c r="BS74" i="60"/>
  <c r="AY88" i="60"/>
  <c r="AY90" i="60"/>
  <c r="AY92" i="60"/>
  <c r="AX92" i="60" s="1"/>
  <c r="AZ87" i="60"/>
  <c r="AZ89" i="60"/>
  <c r="AZ91" i="60"/>
  <c r="BA88" i="60"/>
  <c r="BA90" i="60"/>
  <c r="BE87" i="60"/>
  <c r="BE89" i="60"/>
  <c r="BE91" i="60"/>
  <c r="BF88" i="60"/>
  <c r="BF90" i="60"/>
  <c r="BF92" i="60"/>
  <c r="BG89" i="60"/>
  <c r="BG91" i="60"/>
  <c r="BK88" i="60"/>
  <c r="BK90" i="60"/>
  <c r="BL87" i="60"/>
  <c r="BL89" i="60"/>
  <c r="BL91" i="60"/>
  <c r="BM88" i="60"/>
  <c r="BM90" i="60"/>
  <c r="BM92" i="60"/>
  <c r="BJ92" i="60" s="1"/>
  <c r="BR88" i="60"/>
  <c r="BR90" i="60"/>
  <c r="BR92" i="60"/>
  <c r="AY66" i="60"/>
  <c r="AY68" i="60"/>
  <c r="AY70" i="60"/>
  <c r="AY72" i="60"/>
  <c r="AZ61" i="60"/>
  <c r="AZ63" i="60"/>
  <c r="AZ65" i="60"/>
  <c r="AZ67" i="60"/>
  <c r="AZ69" i="60"/>
  <c r="AZ71" i="60"/>
  <c r="AZ73" i="60"/>
  <c r="BA60" i="60"/>
  <c r="BA62" i="60"/>
  <c r="BA64" i="60"/>
  <c r="BA66" i="60"/>
  <c r="BA68" i="60"/>
  <c r="BA70" i="60"/>
  <c r="BA72" i="60"/>
  <c r="BE61" i="60"/>
  <c r="BE63" i="60"/>
  <c r="BE65" i="60"/>
  <c r="BE67" i="60"/>
  <c r="BE69" i="60"/>
  <c r="BE71" i="60"/>
  <c r="BE73" i="60"/>
  <c r="BF60" i="60"/>
  <c r="BF62" i="60"/>
  <c r="BF64" i="60"/>
  <c r="BF66" i="60"/>
  <c r="BF68" i="60"/>
  <c r="BF70" i="60"/>
  <c r="BF72" i="60"/>
  <c r="BG61" i="60"/>
  <c r="BG63" i="60"/>
  <c r="BG65" i="60"/>
  <c r="BG67" i="60"/>
  <c r="BG69" i="60"/>
  <c r="BG71" i="60"/>
  <c r="BG73" i="60"/>
  <c r="BK60" i="60"/>
  <c r="BK62" i="60"/>
  <c r="BK64" i="60"/>
  <c r="BK66" i="60"/>
  <c r="BK68" i="60"/>
  <c r="BK70" i="60"/>
  <c r="BK72" i="60"/>
  <c r="BL61" i="60"/>
  <c r="BL63" i="60"/>
  <c r="BL65" i="60"/>
  <c r="BL67" i="60"/>
  <c r="BL69" i="60"/>
  <c r="BL71" i="60"/>
  <c r="BL73" i="60"/>
  <c r="BM60" i="60"/>
  <c r="BM62" i="60"/>
  <c r="BM64" i="60"/>
  <c r="BM66" i="60"/>
  <c r="BM68" i="60"/>
  <c r="BM70" i="60"/>
  <c r="BM72" i="60"/>
  <c r="BQ61" i="60"/>
  <c r="BQ63" i="60"/>
  <c r="BQ65" i="60"/>
  <c r="BQ67" i="60"/>
  <c r="BQ69" i="60"/>
  <c r="BQ71" i="60"/>
  <c r="BQ73" i="60"/>
  <c r="BR60" i="60"/>
  <c r="BR62" i="60"/>
  <c r="BR64" i="60"/>
  <c r="BR66" i="60"/>
  <c r="BR68" i="60"/>
  <c r="BR70" i="60"/>
  <c r="BR72" i="60"/>
  <c r="BS61" i="60"/>
  <c r="BS63" i="60"/>
  <c r="BS65" i="60"/>
  <c r="BS67" i="60"/>
  <c r="BS69" i="60"/>
  <c r="BS71" i="60"/>
  <c r="BS73" i="60"/>
  <c r="AY87" i="60"/>
  <c r="AY89" i="60"/>
  <c r="AZ88" i="60"/>
  <c r="AZ90" i="60"/>
  <c r="BE88" i="60"/>
  <c r="BE90" i="60"/>
  <c r="BF87" i="60"/>
  <c r="BF89" i="60"/>
  <c r="BG88" i="60"/>
  <c r="BG90" i="60"/>
  <c r="BL88" i="60"/>
  <c r="BL90" i="60"/>
  <c r="BM87" i="60"/>
  <c r="BM89" i="60"/>
  <c r="BQ88" i="60"/>
  <c r="BQ90" i="60"/>
  <c r="BR87" i="60"/>
  <c r="BR89" i="60"/>
  <c r="BS88" i="60"/>
  <c r="BS90" i="60"/>
  <c r="CS53" i="60"/>
  <c r="CS1" i="60"/>
  <c r="CS80" i="60"/>
  <c r="J75" i="60"/>
  <c r="J67" i="60"/>
  <c r="V90" i="60"/>
  <c r="U90" i="60"/>
  <c r="D75" i="60"/>
  <c r="J71" i="60"/>
  <c r="J63" i="60"/>
  <c r="I75" i="60"/>
  <c r="P67" i="60"/>
  <c r="V75" i="60"/>
  <c r="AG64" i="60"/>
  <c r="AG72" i="60"/>
  <c r="AI64" i="60"/>
  <c r="AI72" i="60"/>
  <c r="AU64" i="60"/>
  <c r="AU72" i="60"/>
  <c r="D67" i="60"/>
  <c r="C75" i="60"/>
  <c r="P71" i="60"/>
  <c r="P63" i="60"/>
  <c r="O75" i="60"/>
  <c r="Z77" i="60"/>
  <c r="AG60" i="60"/>
  <c r="AG68" i="60"/>
  <c r="AI60" i="60"/>
  <c r="AI68" i="60"/>
  <c r="AU60" i="60"/>
  <c r="AU68" i="60"/>
  <c r="AS87" i="60"/>
  <c r="AF8" i="60"/>
  <c r="AR8" i="60"/>
  <c r="AF9" i="60"/>
  <c r="AR9" i="60"/>
  <c r="AF10" i="60"/>
  <c r="AR10" i="60"/>
  <c r="AF11" i="60"/>
  <c r="AR11" i="60"/>
  <c r="AF12" i="60"/>
  <c r="AR12" i="60"/>
  <c r="AF13" i="60"/>
  <c r="AR13" i="60"/>
  <c r="AF14" i="60"/>
  <c r="AR14" i="60"/>
  <c r="AF15" i="60"/>
  <c r="AR15" i="60"/>
  <c r="AF16" i="60"/>
  <c r="AR16" i="60"/>
  <c r="AF17" i="60"/>
  <c r="AR17" i="60"/>
  <c r="AF18" i="60"/>
  <c r="AR18" i="60"/>
  <c r="AF19" i="60"/>
  <c r="AR19" i="60"/>
  <c r="AF20" i="60"/>
  <c r="AR20" i="60"/>
  <c r="AF21" i="60"/>
  <c r="AR21" i="60"/>
  <c r="AF22" i="60"/>
  <c r="AR22" i="60"/>
  <c r="AF23" i="60"/>
  <c r="AR23" i="60"/>
  <c r="AF24" i="60"/>
  <c r="AR24" i="60"/>
  <c r="AF25" i="60"/>
  <c r="AR25" i="60"/>
  <c r="AF26" i="60"/>
  <c r="AR26" i="60"/>
  <c r="AF27" i="60"/>
  <c r="AR27" i="60"/>
  <c r="AF28" i="60"/>
  <c r="AR28" i="60"/>
  <c r="AF29" i="60"/>
  <c r="AR29" i="60"/>
  <c r="AF30" i="60"/>
  <c r="AR30" i="60"/>
  <c r="AF31" i="60"/>
  <c r="AR31" i="60"/>
  <c r="AF32" i="60"/>
  <c r="AR32" i="60"/>
  <c r="AF33" i="60"/>
  <c r="AR33" i="60"/>
  <c r="AF34" i="60"/>
  <c r="AR34" i="60"/>
  <c r="AF35" i="60"/>
  <c r="AR35" i="60"/>
  <c r="AF36" i="60"/>
  <c r="AR36" i="60"/>
  <c r="AF37" i="60"/>
  <c r="AR37" i="60"/>
  <c r="AF38" i="60"/>
  <c r="AR38" i="60"/>
  <c r="AF39" i="60"/>
  <c r="AR39" i="60"/>
  <c r="AF40" i="60"/>
  <c r="AR40" i="60"/>
  <c r="AF41" i="60"/>
  <c r="AR41" i="60"/>
  <c r="AF42" i="60"/>
  <c r="AR42" i="60"/>
  <c r="AF43" i="60"/>
  <c r="AR43" i="60"/>
  <c r="AF44" i="60"/>
  <c r="AR44" i="60"/>
  <c r="AF45" i="60"/>
  <c r="AR45" i="60"/>
  <c r="AF46" i="60"/>
  <c r="AR46" i="60"/>
  <c r="AF47" i="60"/>
  <c r="AR47" i="60"/>
  <c r="AF48" i="60"/>
  <c r="AR48" i="60"/>
  <c r="AF50" i="60"/>
  <c r="AR50" i="60"/>
  <c r="Z74" i="60"/>
  <c r="AS62" i="60"/>
  <c r="AS66" i="60"/>
  <c r="AS70" i="60"/>
  <c r="AF77" i="60"/>
  <c r="AL77" i="60"/>
  <c r="Z91" i="60"/>
  <c r="AA89" i="60"/>
  <c r="AF92" i="60"/>
  <c r="AG89" i="60"/>
  <c r="AI89" i="60"/>
  <c r="AS89" i="60"/>
  <c r="AU87" i="60"/>
  <c r="AU91" i="60"/>
  <c r="Z94" i="60"/>
  <c r="AF94" i="60"/>
  <c r="C67" i="60"/>
  <c r="I67" i="60"/>
  <c r="O67" i="60"/>
  <c r="V67" i="60"/>
  <c r="J90" i="60"/>
  <c r="Z8" i="60"/>
  <c r="AL8" i="60"/>
  <c r="Z9" i="60"/>
  <c r="AL9" i="60"/>
  <c r="Z10" i="60"/>
  <c r="AL10" i="60"/>
  <c r="Z11" i="60"/>
  <c r="AL11" i="60"/>
  <c r="Z12" i="60"/>
  <c r="AL12" i="60"/>
  <c r="Z13" i="60"/>
  <c r="AL13" i="60"/>
  <c r="Z14" i="60"/>
  <c r="AL14" i="60"/>
  <c r="Z15" i="60"/>
  <c r="AL15" i="60"/>
  <c r="Z16" i="60"/>
  <c r="AL16" i="60"/>
  <c r="Z17" i="60"/>
  <c r="AL17" i="60"/>
  <c r="Z18" i="60"/>
  <c r="AL18" i="60"/>
  <c r="Z19" i="60"/>
  <c r="AL19" i="60"/>
  <c r="Z20" i="60"/>
  <c r="AL20" i="60"/>
  <c r="Z21" i="60"/>
  <c r="AL21" i="60"/>
  <c r="Z22" i="60"/>
  <c r="AL22" i="60"/>
  <c r="Z23" i="60"/>
  <c r="AL23" i="60"/>
  <c r="Z24" i="60"/>
  <c r="AL24" i="60"/>
  <c r="Z25" i="60"/>
  <c r="AL25" i="60"/>
  <c r="Z26" i="60"/>
  <c r="AL26" i="60"/>
  <c r="Z27" i="60"/>
  <c r="AL27" i="60"/>
  <c r="Z28" i="60"/>
  <c r="AL28" i="60"/>
  <c r="Z29" i="60"/>
  <c r="AL29" i="60"/>
  <c r="Z30" i="60"/>
  <c r="AL30" i="60"/>
  <c r="Z31" i="60"/>
  <c r="AL31" i="60"/>
  <c r="Z32" i="60"/>
  <c r="AL32" i="60"/>
  <c r="Z33" i="60"/>
  <c r="AL33" i="60"/>
  <c r="Z34" i="60"/>
  <c r="AL34" i="60"/>
  <c r="Z35" i="60"/>
  <c r="AL35" i="60"/>
  <c r="Z36" i="60"/>
  <c r="AL36" i="60"/>
  <c r="Z37" i="60"/>
  <c r="AL37" i="60"/>
  <c r="Z38" i="60"/>
  <c r="AL38" i="60"/>
  <c r="Z39" i="60"/>
  <c r="AL39" i="60"/>
  <c r="Z40" i="60"/>
  <c r="AL40" i="60"/>
  <c r="Z41" i="60"/>
  <c r="AL41" i="60"/>
  <c r="Z42" i="60"/>
  <c r="AL42" i="60"/>
  <c r="Z43" i="60"/>
  <c r="AL43" i="60"/>
  <c r="Z44" i="60"/>
  <c r="AL44" i="60"/>
  <c r="Z45" i="60"/>
  <c r="AL45" i="60"/>
  <c r="Z46" i="60"/>
  <c r="AL46" i="60"/>
  <c r="Z47" i="60"/>
  <c r="AL47" i="60"/>
  <c r="Z48" i="60"/>
  <c r="AL48" i="60"/>
  <c r="Z50" i="60"/>
  <c r="AL50" i="60"/>
  <c r="AF75" i="60"/>
  <c r="AG62" i="60"/>
  <c r="AG66" i="60"/>
  <c r="AG70" i="60"/>
  <c r="AG74" i="60"/>
  <c r="AI62" i="60"/>
  <c r="AI66" i="60"/>
  <c r="AI70" i="60"/>
  <c r="AI74" i="60"/>
  <c r="AL74" i="60"/>
  <c r="AS60" i="60"/>
  <c r="AS64" i="60"/>
  <c r="AS68" i="60"/>
  <c r="AS72" i="60"/>
  <c r="AU62" i="60"/>
  <c r="AU66" i="60"/>
  <c r="AU70" i="60"/>
  <c r="AU74" i="60"/>
  <c r="AR77" i="60"/>
  <c r="AA87" i="60"/>
  <c r="AC87" i="60"/>
  <c r="AG87" i="60"/>
  <c r="AI87" i="60"/>
  <c r="AI91" i="60"/>
  <c r="AL91" i="60"/>
  <c r="AS91" i="60"/>
  <c r="AU89" i="60"/>
  <c r="AL94" i="60"/>
  <c r="AR94" i="60"/>
  <c r="AR75" i="60"/>
  <c r="AR92" i="60"/>
  <c r="AA61" i="60"/>
  <c r="AA63" i="60"/>
  <c r="AA65" i="60"/>
  <c r="AA67" i="60"/>
  <c r="AA69" i="60"/>
  <c r="AA71" i="60"/>
  <c r="AA73" i="60"/>
  <c r="AA75" i="60"/>
  <c r="AB60" i="60"/>
  <c r="AB62" i="60"/>
  <c r="AB64" i="60"/>
  <c r="AB66" i="60"/>
  <c r="AB68" i="60"/>
  <c r="AB70" i="60"/>
  <c r="AB72" i="60"/>
  <c r="AB74" i="60"/>
  <c r="AC61" i="60"/>
  <c r="AC63" i="60"/>
  <c r="AC65" i="60"/>
  <c r="AC67" i="60"/>
  <c r="AC69" i="60"/>
  <c r="AC71" i="60"/>
  <c r="AC73" i="60"/>
  <c r="AC75" i="60"/>
  <c r="AH61" i="60"/>
  <c r="AH63" i="60"/>
  <c r="AH65" i="60"/>
  <c r="AH67" i="60"/>
  <c r="AH69" i="60"/>
  <c r="AH71" i="60"/>
  <c r="AH73" i="60"/>
  <c r="AH75" i="60"/>
  <c r="AM61" i="60"/>
  <c r="AM63" i="60"/>
  <c r="AM65" i="60"/>
  <c r="AM67" i="60"/>
  <c r="AM69" i="60"/>
  <c r="AM71" i="60"/>
  <c r="AM73" i="60"/>
  <c r="AM75" i="60"/>
  <c r="AN60" i="60"/>
  <c r="AN62" i="60"/>
  <c r="AN64" i="60"/>
  <c r="AN66" i="60"/>
  <c r="AN68" i="60"/>
  <c r="AN70" i="60"/>
  <c r="AN72" i="60"/>
  <c r="AN74" i="60"/>
  <c r="AO61" i="60"/>
  <c r="AO63" i="60"/>
  <c r="AO65" i="60"/>
  <c r="AO67" i="60"/>
  <c r="AO69" i="60"/>
  <c r="AO71" i="60"/>
  <c r="AO73" i="60"/>
  <c r="AO75" i="60"/>
  <c r="AS74" i="60"/>
  <c r="AT61" i="60"/>
  <c r="AT63" i="60"/>
  <c r="AT65" i="60"/>
  <c r="AT67" i="60"/>
  <c r="AT69" i="60"/>
  <c r="AT71" i="60"/>
  <c r="AT73" i="60"/>
  <c r="AT75" i="60"/>
  <c r="AA88" i="60"/>
  <c r="AA90" i="60"/>
  <c r="AA92" i="60"/>
  <c r="AB87" i="60"/>
  <c r="AB89" i="60"/>
  <c r="AB91" i="60"/>
  <c r="AC88" i="60"/>
  <c r="AC90" i="60"/>
  <c r="AC92" i="60"/>
  <c r="AG91" i="60"/>
  <c r="AH88" i="60"/>
  <c r="AH90" i="60"/>
  <c r="AH92" i="60"/>
  <c r="AM88" i="60"/>
  <c r="AM90" i="60"/>
  <c r="AM92" i="60"/>
  <c r="AN87" i="60"/>
  <c r="AN89" i="60"/>
  <c r="AN91" i="60"/>
  <c r="AO88" i="60"/>
  <c r="AO90" i="60"/>
  <c r="AO92" i="60"/>
  <c r="AT88" i="60"/>
  <c r="AT90" i="60"/>
  <c r="AT92" i="60"/>
  <c r="AA60" i="60"/>
  <c r="AA62" i="60"/>
  <c r="AA64" i="60"/>
  <c r="AA66" i="60"/>
  <c r="AA68" i="60"/>
  <c r="AA70" i="60"/>
  <c r="AA72" i="60"/>
  <c r="AB61" i="60"/>
  <c r="AB63" i="60"/>
  <c r="AB65" i="60"/>
  <c r="AB67" i="60"/>
  <c r="AB69" i="60"/>
  <c r="AB71" i="60"/>
  <c r="AB73" i="60"/>
  <c r="AC60" i="60"/>
  <c r="AC62" i="60"/>
  <c r="AC64" i="60"/>
  <c r="AC66" i="60"/>
  <c r="AC68" i="60"/>
  <c r="AC70" i="60"/>
  <c r="AC72" i="60"/>
  <c r="AG61" i="60"/>
  <c r="AG63" i="60"/>
  <c r="AG65" i="60"/>
  <c r="AG67" i="60"/>
  <c r="AG69" i="60"/>
  <c r="AG71" i="60"/>
  <c r="AG73" i="60"/>
  <c r="AH60" i="60"/>
  <c r="AH62" i="60"/>
  <c r="AH64" i="60"/>
  <c r="AH66" i="60"/>
  <c r="AH68" i="60"/>
  <c r="AH70" i="60"/>
  <c r="AH72" i="60"/>
  <c r="AI61" i="60"/>
  <c r="AI63" i="60"/>
  <c r="AI65" i="60"/>
  <c r="AI67" i="60"/>
  <c r="AI69" i="60"/>
  <c r="AI71" i="60"/>
  <c r="AI73" i="60"/>
  <c r="AM60" i="60"/>
  <c r="AM62" i="60"/>
  <c r="AM64" i="60"/>
  <c r="AM66" i="60"/>
  <c r="AM68" i="60"/>
  <c r="AM70" i="60"/>
  <c r="AM72" i="60"/>
  <c r="AN61" i="60"/>
  <c r="AN63" i="60"/>
  <c r="AN65" i="60"/>
  <c r="AN67" i="60"/>
  <c r="AN69" i="60"/>
  <c r="AN71" i="60"/>
  <c r="AN73" i="60"/>
  <c r="AO60" i="60"/>
  <c r="AO62" i="60"/>
  <c r="AO64" i="60"/>
  <c r="AO66" i="60"/>
  <c r="AO68" i="60"/>
  <c r="AO70" i="60"/>
  <c r="AO72" i="60"/>
  <c r="AS61" i="60"/>
  <c r="AS63" i="60"/>
  <c r="AS65" i="60"/>
  <c r="AS67" i="60"/>
  <c r="AS69" i="60"/>
  <c r="AS71" i="60"/>
  <c r="AS73" i="60"/>
  <c r="AT60" i="60"/>
  <c r="AT62" i="60"/>
  <c r="AT64" i="60"/>
  <c r="AT66" i="60"/>
  <c r="AT68" i="60"/>
  <c r="AT70" i="60"/>
  <c r="AT72" i="60"/>
  <c r="AU61" i="60"/>
  <c r="AU63" i="60"/>
  <c r="AU65" i="60"/>
  <c r="AU67" i="60"/>
  <c r="AU69" i="60"/>
  <c r="AU71" i="60"/>
  <c r="AU73" i="60"/>
  <c r="AB88" i="60"/>
  <c r="AB90" i="60"/>
  <c r="AC89" i="60"/>
  <c r="AG88" i="60"/>
  <c r="AG90" i="60"/>
  <c r="AH87" i="60"/>
  <c r="AH89" i="60"/>
  <c r="AI88" i="60"/>
  <c r="AI90" i="60"/>
  <c r="AM87" i="60"/>
  <c r="AM89" i="60"/>
  <c r="AN88" i="60"/>
  <c r="AN90" i="60"/>
  <c r="AO87" i="60"/>
  <c r="AO89" i="60"/>
  <c r="AS88" i="60"/>
  <c r="AS90" i="60"/>
  <c r="AT87" i="60"/>
  <c r="AT89" i="60"/>
  <c r="AU88" i="60"/>
  <c r="AU90" i="60"/>
  <c r="C71" i="60"/>
  <c r="C63" i="60"/>
  <c r="I71" i="60"/>
  <c r="I63" i="60"/>
  <c r="O71" i="60"/>
  <c r="O63" i="60"/>
  <c r="V71" i="60"/>
  <c r="V63" i="60"/>
  <c r="D90" i="60"/>
  <c r="V92" i="60"/>
  <c r="V88" i="60"/>
  <c r="C73" i="60"/>
  <c r="C69" i="60"/>
  <c r="C65" i="60"/>
  <c r="C61" i="60"/>
  <c r="I73" i="60"/>
  <c r="I69" i="60"/>
  <c r="I65" i="60"/>
  <c r="I61" i="60"/>
  <c r="O73" i="60"/>
  <c r="O69" i="60"/>
  <c r="O65" i="60"/>
  <c r="O61" i="60"/>
  <c r="V73" i="60"/>
  <c r="V69" i="60"/>
  <c r="V65" i="60"/>
  <c r="V61" i="60"/>
  <c r="D92" i="60"/>
  <c r="D88" i="60"/>
  <c r="C90" i="60"/>
  <c r="J92" i="60"/>
  <c r="J88" i="60"/>
  <c r="I90" i="60"/>
  <c r="P90" i="60"/>
  <c r="V91" i="60"/>
  <c r="V89" i="60"/>
  <c r="U92" i="60"/>
  <c r="U88" i="60"/>
  <c r="BU1" i="60"/>
  <c r="AW80" i="60"/>
  <c r="BU53" i="60"/>
  <c r="AW1" i="60"/>
  <c r="D71" i="60"/>
  <c r="D63" i="60"/>
  <c r="J73" i="60"/>
  <c r="J69" i="60"/>
  <c r="J65" i="60"/>
  <c r="J61" i="60"/>
  <c r="P73" i="60"/>
  <c r="P69" i="60"/>
  <c r="P65" i="60"/>
  <c r="P61" i="60"/>
  <c r="J91" i="60"/>
  <c r="J89" i="60"/>
  <c r="I92" i="60"/>
  <c r="I88" i="60"/>
  <c r="P92" i="60"/>
  <c r="P88" i="60"/>
  <c r="O90" i="60"/>
  <c r="BU80" i="60"/>
  <c r="AW53" i="60"/>
  <c r="D73" i="60"/>
  <c r="D69" i="60"/>
  <c r="D65" i="60"/>
  <c r="D61" i="60"/>
  <c r="J74" i="60"/>
  <c r="J72" i="60"/>
  <c r="J70" i="60"/>
  <c r="J68" i="60"/>
  <c r="J66" i="60"/>
  <c r="J64" i="60"/>
  <c r="J62" i="60"/>
  <c r="P74" i="60"/>
  <c r="P72" i="60"/>
  <c r="P70" i="60"/>
  <c r="P68" i="60"/>
  <c r="P66" i="60"/>
  <c r="P64" i="60"/>
  <c r="P62" i="60"/>
  <c r="D91" i="60"/>
  <c r="D89" i="60"/>
  <c r="C92" i="60"/>
  <c r="C88" i="60"/>
  <c r="P91" i="60"/>
  <c r="P89" i="60"/>
  <c r="O92" i="60"/>
  <c r="O88" i="60"/>
  <c r="U91" i="60"/>
  <c r="U89" i="60"/>
  <c r="O91" i="60"/>
  <c r="O89" i="60"/>
  <c r="I91" i="60"/>
  <c r="I89" i="60"/>
  <c r="C91" i="60"/>
  <c r="C89" i="60"/>
  <c r="V74" i="60"/>
  <c r="V72" i="60"/>
  <c r="V70" i="60"/>
  <c r="V68" i="60"/>
  <c r="V66" i="60"/>
  <c r="V64" i="60"/>
  <c r="V62" i="60"/>
  <c r="O74" i="60"/>
  <c r="O72" i="60"/>
  <c r="O70" i="60"/>
  <c r="O68" i="60"/>
  <c r="O66" i="60"/>
  <c r="O64" i="60"/>
  <c r="O62" i="60"/>
  <c r="I74" i="60"/>
  <c r="I72" i="60"/>
  <c r="I70" i="60"/>
  <c r="I68" i="60"/>
  <c r="I66" i="60"/>
  <c r="I64" i="60"/>
  <c r="I62" i="60"/>
  <c r="C74" i="60"/>
  <c r="C72" i="60"/>
  <c r="C70" i="60"/>
  <c r="C68" i="60"/>
  <c r="C66" i="60"/>
  <c r="C64" i="60"/>
  <c r="C62" i="60"/>
  <c r="D74" i="60"/>
  <c r="D72" i="60"/>
  <c r="D70" i="60"/>
  <c r="D68" i="60"/>
  <c r="D66" i="60"/>
  <c r="D64" i="60"/>
  <c r="D62" i="60"/>
  <c r="X58" i="60"/>
  <c r="W58" i="60"/>
  <c r="E67" i="60"/>
  <c r="E75" i="60"/>
  <c r="E63" i="60"/>
  <c r="E71" i="60"/>
  <c r="E73" i="60"/>
  <c r="E69" i="60"/>
  <c r="E65" i="60"/>
  <c r="E61" i="60"/>
  <c r="K60" i="60"/>
  <c r="W60" i="60"/>
  <c r="K68" i="60"/>
  <c r="W68" i="60"/>
  <c r="E90" i="60"/>
  <c r="K64" i="60"/>
  <c r="K72" i="60"/>
  <c r="W64" i="60"/>
  <c r="W72" i="60"/>
  <c r="E92" i="60"/>
  <c r="E88" i="60"/>
  <c r="K87" i="60"/>
  <c r="K91" i="60"/>
  <c r="Q87" i="60"/>
  <c r="Q91" i="60"/>
  <c r="W87" i="60"/>
  <c r="W91" i="60"/>
  <c r="K89" i="60"/>
  <c r="Q89" i="60"/>
  <c r="W89" i="60"/>
  <c r="W88" i="60"/>
  <c r="W90" i="60"/>
  <c r="Q88" i="60"/>
  <c r="Q90" i="60"/>
  <c r="K88" i="60"/>
  <c r="K90" i="60"/>
  <c r="E91" i="60"/>
  <c r="E89" i="60"/>
  <c r="K62" i="60"/>
  <c r="K66" i="60"/>
  <c r="K70" i="60"/>
  <c r="K74" i="60"/>
  <c r="Q60" i="60"/>
  <c r="Q64" i="60"/>
  <c r="Q68" i="60"/>
  <c r="Q72" i="60"/>
  <c r="W62" i="60"/>
  <c r="W66" i="60"/>
  <c r="W70" i="60"/>
  <c r="W74" i="60"/>
  <c r="Q62" i="60"/>
  <c r="Q66" i="60"/>
  <c r="Q70" i="60"/>
  <c r="Q74" i="60"/>
  <c r="U61" i="60"/>
  <c r="U63" i="60"/>
  <c r="U65" i="60"/>
  <c r="U67" i="60"/>
  <c r="U69" i="60"/>
  <c r="U71" i="60"/>
  <c r="U73" i="60"/>
  <c r="U75" i="60"/>
  <c r="U60" i="60"/>
  <c r="U62" i="60"/>
  <c r="U64" i="60"/>
  <c r="U66" i="60"/>
  <c r="U68" i="60"/>
  <c r="U70" i="60"/>
  <c r="U72" i="60"/>
  <c r="W61" i="60"/>
  <c r="W63" i="60"/>
  <c r="W65" i="60"/>
  <c r="W67" i="60"/>
  <c r="W69" i="60"/>
  <c r="W71" i="60"/>
  <c r="W73" i="60"/>
  <c r="Q61" i="60"/>
  <c r="Q63" i="60"/>
  <c r="Q65" i="60"/>
  <c r="Q67" i="60"/>
  <c r="Q69" i="60"/>
  <c r="Q71" i="60"/>
  <c r="Q73" i="60"/>
  <c r="K61" i="60"/>
  <c r="K63" i="60"/>
  <c r="K65" i="60"/>
  <c r="K67" i="60"/>
  <c r="K69" i="60"/>
  <c r="K71" i="60"/>
  <c r="K73" i="60"/>
  <c r="E74" i="60"/>
  <c r="E72" i="60"/>
  <c r="E70" i="60"/>
  <c r="E68" i="60"/>
  <c r="E66" i="60"/>
  <c r="E64" i="60"/>
  <c r="E62" i="60"/>
  <c r="CZ64" i="60" l="1"/>
  <c r="CZ68" i="60"/>
  <c r="AR72" i="60"/>
  <c r="DL64" i="60"/>
  <c r="R60" i="60"/>
  <c r="R75" i="60"/>
  <c r="R72" i="60"/>
  <c r="R73" i="60"/>
  <c r="R71" i="60"/>
  <c r="BT90" i="60"/>
  <c r="R66" i="60"/>
  <c r="BT89" i="60"/>
  <c r="R64" i="60"/>
  <c r="R63" i="60"/>
  <c r="BT87" i="60"/>
  <c r="BT88" i="60"/>
  <c r="R65" i="60"/>
  <c r="R62" i="60"/>
  <c r="R61" i="60"/>
  <c r="R70" i="60"/>
  <c r="R69" i="60"/>
  <c r="R68" i="60"/>
  <c r="R67" i="60"/>
  <c r="BT92" i="60"/>
  <c r="BZ60" i="60"/>
  <c r="X90" i="60"/>
  <c r="X88" i="60"/>
  <c r="CZ60" i="60"/>
  <c r="DL60" i="60"/>
  <c r="CF88" i="60"/>
  <c r="AD89" i="60"/>
  <c r="BZ71" i="60"/>
  <c r="CF89" i="60"/>
  <c r="AD87" i="60"/>
  <c r="CF87" i="60"/>
  <c r="CL72" i="60"/>
  <c r="AD90" i="60"/>
  <c r="CF92" i="60"/>
  <c r="AD88" i="60"/>
  <c r="AD91" i="60"/>
  <c r="CF90" i="60"/>
  <c r="AJ64" i="60"/>
  <c r="AJ61" i="60"/>
  <c r="BZ63" i="60"/>
  <c r="CL70" i="60"/>
  <c r="BZ74" i="60"/>
  <c r="BZ61" i="60"/>
  <c r="CL62" i="60"/>
  <c r="BZ72" i="60"/>
  <c r="X87" i="60"/>
  <c r="CL73" i="60"/>
  <c r="BZ68" i="60"/>
  <c r="X89" i="60"/>
  <c r="AJ72" i="60"/>
  <c r="BZ73" i="60"/>
  <c r="BZ70" i="60"/>
  <c r="AJ69" i="60"/>
  <c r="CL71" i="60"/>
  <c r="BZ69" i="60"/>
  <c r="BZ66" i="60"/>
  <c r="AJ60" i="60"/>
  <c r="CL63" i="60"/>
  <c r="BZ67" i="60"/>
  <c r="BZ64" i="60"/>
  <c r="AJ65" i="60"/>
  <c r="X92" i="60"/>
  <c r="AJ63" i="60"/>
  <c r="BZ65" i="60"/>
  <c r="CL74" i="60"/>
  <c r="BZ62" i="60"/>
  <c r="BH67" i="60"/>
  <c r="DP62" i="60"/>
  <c r="BH65" i="60"/>
  <c r="BH61" i="60"/>
  <c r="BH72" i="60"/>
  <c r="DP64" i="60"/>
  <c r="BH70" i="60"/>
  <c r="DP71" i="60"/>
  <c r="BH66" i="60"/>
  <c r="DP69" i="60"/>
  <c r="DJ90" i="60"/>
  <c r="BN65" i="60"/>
  <c r="AP91" i="60"/>
  <c r="AP87" i="60"/>
  <c r="BN68" i="60"/>
  <c r="BN64" i="60"/>
  <c r="BN61" i="60"/>
  <c r="BH68" i="60"/>
  <c r="BN62" i="60"/>
  <c r="BH63" i="60"/>
  <c r="DP60" i="60"/>
  <c r="DP67" i="60"/>
  <c r="CX62" i="60"/>
  <c r="AP88" i="60"/>
  <c r="BH75" i="60"/>
  <c r="DP72" i="60"/>
  <c r="DP63" i="60"/>
  <c r="BN60" i="60"/>
  <c r="DP65" i="60"/>
  <c r="CX60" i="60"/>
  <c r="DP70" i="60"/>
  <c r="DP61" i="60"/>
  <c r="BN63" i="60"/>
  <c r="BH62" i="60"/>
  <c r="BH73" i="60"/>
  <c r="BH60" i="60"/>
  <c r="BH71" i="60"/>
  <c r="DP68" i="60"/>
  <c r="CX69" i="60"/>
  <c r="DP75" i="60"/>
  <c r="BH64" i="60"/>
  <c r="BN69" i="60"/>
  <c r="BH69" i="60"/>
  <c r="DP66" i="60"/>
  <c r="CX67" i="60"/>
  <c r="DP73" i="60"/>
  <c r="BB87" i="60"/>
  <c r="CX73" i="60"/>
  <c r="DJ89" i="60"/>
  <c r="CX66" i="60"/>
  <c r="AJ62" i="60"/>
  <c r="AP89" i="60"/>
  <c r="AJ67" i="60"/>
  <c r="BN67" i="60"/>
  <c r="BN66" i="60"/>
  <c r="CL61" i="60"/>
  <c r="CL60" i="60"/>
  <c r="CX71" i="60"/>
  <c r="DJ87" i="60"/>
  <c r="CX64" i="60"/>
  <c r="BB90" i="60"/>
  <c r="BB88" i="60"/>
  <c r="AJ70" i="60"/>
  <c r="AJ75" i="60"/>
  <c r="BN74" i="60"/>
  <c r="CL69" i="60"/>
  <c r="CL68" i="60"/>
  <c r="CX63" i="60"/>
  <c r="CX72" i="60"/>
  <c r="CX65" i="60"/>
  <c r="AJ68" i="60"/>
  <c r="AJ73" i="60"/>
  <c r="BN73" i="60"/>
  <c r="BB91" i="60"/>
  <c r="BN72" i="60"/>
  <c r="CL67" i="60"/>
  <c r="CL66" i="60"/>
  <c r="CX61" i="60"/>
  <c r="CX70" i="60"/>
  <c r="DJ88" i="60"/>
  <c r="CX74" i="60"/>
  <c r="AP90" i="60"/>
  <c r="AJ66" i="60"/>
  <c r="AJ71" i="60"/>
  <c r="BN71" i="60"/>
  <c r="BB89" i="60"/>
  <c r="BN70" i="60"/>
  <c r="CL65" i="60"/>
  <c r="CL64" i="60"/>
  <c r="DJ91" i="60"/>
  <c r="CX68" i="60"/>
  <c r="L88" i="60"/>
  <c r="AV72" i="60"/>
  <c r="AD73" i="60"/>
  <c r="AD68" i="60"/>
  <c r="AD67" i="60"/>
  <c r="AV73" i="60"/>
  <c r="AD60" i="60"/>
  <c r="AD65" i="60"/>
  <c r="AD63" i="60"/>
  <c r="AD74" i="60"/>
  <c r="AV60" i="60"/>
  <c r="AD71" i="60"/>
  <c r="AD69" i="60"/>
  <c r="AD62" i="60"/>
  <c r="AD61" i="60"/>
  <c r="AD72" i="60"/>
  <c r="CL89" i="60"/>
  <c r="AD64" i="60"/>
  <c r="AD70" i="60"/>
  <c r="CL87" i="60"/>
  <c r="L90" i="60"/>
  <c r="F88" i="60"/>
  <c r="F91" i="60"/>
  <c r="L92" i="60"/>
  <c r="F90" i="60"/>
  <c r="CR90" i="60"/>
  <c r="F89" i="60"/>
  <c r="F92" i="60"/>
  <c r="CR88" i="60"/>
  <c r="L89" i="60"/>
  <c r="L87" i="60"/>
  <c r="CR92" i="60"/>
  <c r="L68" i="60"/>
  <c r="L65" i="60"/>
  <c r="F66" i="60"/>
  <c r="L66" i="60"/>
  <c r="L67" i="60"/>
  <c r="BB72" i="60"/>
  <c r="AP67" i="60"/>
  <c r="CR67" i="60"/>
  <c r="AV75" i="60"/>
  <c r="AD66" i="60"/>
  <c r="CR65" i="60"/>
  <c r="AP71" i="60"/>
  <c r="AV71" i="60"/>
  <c r="BB70" i="60"/>
  <c r="CR64" i="60"/>
  <c r="CR62" i="60"/>
  <c r="AP72" i="60"/>
  <c r="AP70" i="60"/>
  <c r="CR66" i="60"/>
  <c r="AP66" i="60"/>
  <c r="BB73" i="60"/>
  <c r="AP73" i="60"/>
  <c r="BB61" i="60"/>
  <c r="BB74" i="60"/>
  <c r="CR69" i="60"/>
  <c r="AP69" i="60"/>
  <c r="AP68" i="60"/>
  <c r="AP65" i="60"/>
  <c r="AP63" i="60"/>
  <c r="AP62" i="60"/>
  <c r="CF66" i="60"/>
  <c r="CF65" i="60"/>
  <c r="AP61" i="60"/>
  <c r="AP60" i="60"/>
  <c r="CF63" i="60"/>
  <c r="CF70" i="60"/>
  <c r="AP64" i="60"/>
  <c r="CF68" i="60"/>
  <c r="AP74" i="60"/>
  <c r="CF61" i="60"/>
  <c r="AJ89" i="60"/>
  <c r="AJ88" i="60"/>
  <c r="BB69" i="60"/>
  <c r="BB66" i="60"/>
  <c r="CF62" i="60"/>
  <c r="CR61" i="60"/>
  <c r="CF73" i="60"/>
  <c r="CX88" i="60"/>
  <c r="CX89" i="60"/>
  <c r="BZ88" i="60"/>
  <c r="AJ87" i="60"/>
  <c r="BB67" i="60"/>
  <c r="BB64" i="60"/>
  <c r="CR89" i="60"/>
  <c r="CR72" i="60"/>
  <c r="CF60" i="60"/>
  <c r="BZ87" i="60"/>
  <c r="CR75" i="60"/>
  <c r="CF71" i="60"/>
  <c r="CX87" i="60"/>
  <c r="BZ90" i="60"/>
  <c r="BB71" i="60"/>
  <c r="BB68" i="60"/>
  <c r="CR60" i="60"/>
  <c r="CF64" i="60"/>
  <c r="CR63" i="60"/>
  <c r="CF75" i="60"/>
  <c r="CX90" i="60"/>
  <c r="BB65" i="60"/>
  <c r="BB62" i="60"/>
  <c r="CR87" i="60"/>
  <c r="CR70" i="60"/>
  <c r="CR73" i="60"/>
  <c r="CF69" i="60"/>
  <c r="AJ90" i="60"/>
  <c r="CX91" i="60"/>
  <c r="BB63" i="60"/>
  <c r="BB60" i="60"/>
  <c r="CR68" i="60"/>
  <c r="CF72" i="60"/>
  <c r="CR71" i="60"/>
  <c r="CF67" i="60"/>
  <c r="AA85" i="60"/>
  <c r="AG85" i="60" s="1"/>
  <c r="AM85" i="60" s="1"/>
  <c r="AS85" i="60" s="1"/>
  <c r="AA58" i="60"/>
  <c r="AG58" i="60" s="1"/>
  <c r="AM58" i="60" s="1"/>
  <c r="AS58" i="60" s="1"/>
  <c r="BW85" i="60"/>
  <c r="CC85" i="60" s="1"/>
  <c r="CI85" i="60" s="1"/>
  <c r="CO85" i="60" s="1"/>
  <c r="DD64" i="60"/>
  <c r="DD73" i="60"/>
  <c r="DD62" i="60"/>
  <c r="DD71" i="60"/>
  <c r="BH89" i="60"/>
  <c r="DD60" i="60"/>
  <c r="DD69" i="60"/>
  <c r="X62" i="60"/>
  <c r="L60" i="60"/>
  <c r="L75" i="60"/>
  <c r="X60" i="60"/>
  <c r="X73" i="60"/>
  <c r="F69" i="60"/>
  <c r="F75" i="60"/>
  <c r="AV68" i="60"/>
  <c r="AV88" i="60"/>
  <c r="AJ92" i="60"/>
  <c r="AV67" i="60"/>
  <c r="BH92" i="60"/>
  <c r="CL88" i="60"/>
  <c r="DD72" i="60"/>
  <c r="DD65" i="60"/>
  <c r="L64" i="60"/>
  <c r="L63" i="60"/>
  <c r="X68" i="60"/>
  <c r="L61" i="60"/>
  <c r="AV69" i="60"/>
  <c r="DD67" i="60"/>
  <c r="AV89" i="60"/>
  <c r="DD70" i="60"/>
  <c r="DD63" i="60"/>
  <c r="AV66" i="60"/>
  <c r="AV65" i="60"/>
  <c r="BH90" i="60"/>
  <c r="L72" i="60"/>
  <c r="L71" i="60"/>
  <c r="X65" i="60"/>
  <c r="F67" i="60"/>
  <c r="AV87" i="60"/>
  <c r="AV64" i="60"/>
  <c r="AV63" i="60"/>
  <c r="BH88" i="60"/>
  <c r="BZ91" i="60"/>
  <c r="DD68" i="60"/>
  <c r="DD61" i="60"/>
  <c r="AV92" i="60"/>
  <c r="L62" i="60"/>
  <c r="X75" i="60"/>
  <c r="F71" i="60"/>
  <c r="AV70" i="60"/>
  <c r="AV90" i="60"/>
  <c r="BH87" i="60"/>
  <c r="CL90" i="60"/>
  <c r="L73" i="60"/>
  <c r="X71" i="60"/>
  <c r="F73" i="60"/>
  <c r="L70" i="60"/>
  <c r="L69" i="60"/>
  <c r="F64" i="60"/>
  <c r="AV62" i="60"/>
  <c r="AV61" i="60"/>
  <c r="CL91" i="60"/>
  <c r="BZ89" i="60"/>
  <c r="DD66" i="60"/>
  <c r="DD75" i="60"/>
  <c r="BV60" i="60"/>
  <c r="BW58" i="60"/>
  <c r="CC58" i="60" s="1"/>
  <c r="CI58" i="60" s="1"/>
  <c r="CO58" i="60" s="1"/>
  <c r="X72" i="60"/>
  <c r="X69" i="60"/>
  <c r="X70" i="60"/>
  <c r="X67" i="60"/>
  <c r="X66" i="60"/>
  <c r="X63" i="60"/>
  <c r="X64" i="60"/>
  <c r="X61" i="60"/>
  <c r="BN89" i="60"/>
  <c r="F70" i="60"/>
  <c r="DJ67" i="60"/>
  <c r="DJ74" i="60"/>
  <c r="DJ61" i="60"/>
  <c r="BN90" i="60"/>
  <c r="DJ69" i="60"/>
  <c r="DJ70" i="60"/>
  <c r="DJ63" i="60"/>
  <c r="DJ68" i="60"/>
  <c r="DL89" i="60"/>
  <c r="DJ65" i="60"/>
  <c r="DJ72" i="60"/>
  <c r="AX87" i="60"/>
  <c r="R92" i="60"/>
  <c r="DJ66" i="60"/>
  <c r="AR60" i="60"/>
  <c r="BN88" i="60"/>
  <c r="BN87" i="60"/>
  <c r="DJ64" i="60"/>
  <c r="BT69" i="60"/>
  <c r="BD64" i="60"/>
  <c r="BP64" i="60"/>
  <c r="BP70" i="60"/>
  <c r="DJ71" i="60"/>
  <c r="DL72" i="60"/>
  <c r="DJ62" i="60"/>
  <c r="AX60" i="60"/>
  <c r="BD72" i="60"/>
  <c r="DL62" i="60"/>
  <c r="AF68" i="60"/>
  <c r="BD60" i="60"/>
  <c r="BT65" i="60"/>
  <c r="DF64" i="60"/>
  <c r="BT66" i="60"/>
  <c r="BN91" i="60"/>
  <c r="BT61" i="60"/>
  <c r="DJ73" i="60"/>
  <c r="DP92" i="60"/>
  <c r="DJ60" i="60"/>
  <c r="BV68" i="60"/>
  <c r="BT72" i="60"/>
  <c r="DP87" i="60"/>
  <c r="DD87" i="60"/>
  <c r="BT64" i="60"/>
  <c r="BT75" i="60"/>
  <c r="DP90" i="60"/>
  <c r="BT62" i="60"/>
  <c r="BT73" i="60"/>
  <c r="CN89" i="60"/>
  <c r="DP88" i="60"/>
  <c r="DD92" i="60"/>
  <c r="DD88" i="60"/>
  <c r="R87" i="60"/>
  <c r="BT60" i="60"/>
  <c r="BT71" i="60"/>
  <c r="BP60" i="60"/>
  <c r="BD68" i="60"/>
  <c r="DD90" i="60"/>
  <c r="DP89" i="60"/>
  <c r="DD89" i="60"/>
  <c r="BT67" i="60"/>
  <c r="BT70" i="60"/>
  <c r="AF60" i="60"/>
  <c r="BT68" i="60"/>
  <c r="BT63" i="60"/>
  <c r="F68" i="60"/>
  <c r="F72" i="60"/>
  <c r="R90" i="60"/>
  <c r="AF64" i="60"/>
  <c r="BP68" i="60"/>
  <c r="F74" i="60"/>
  <c r="R88" i="60"/>
  <c r="F61" i="60"/>
  <c r="BV72" i="60"/>
  <c r="F62" i="60"/>
  <c r="R89" i="60"/>
  <c r="F65" i="60"/>
  <c r="F63" i="60"/>
  <c r="BV64" i="60"/>
  <c r="DF62" i="60"/>
  <c r="AY58" i="60"/>
  <c r="BE58" i="60" s="1"/>
  <c r="BK58" i="60" s="1"/>
  <c r="BQ58" i="60" s="1"/>
  <c r="AY85" i="60"/>
  <c r="BE85" i="60" s="1"/>
  <c r="BK85" i="60" s="1"/>
  <c r="BQ85" i="60" s="1"/>
  <c r="CT83" i="60"/>
  <c r="CT56" i="60"/>
  <c r="BV83" i="60"/>
  <c r="BV56" i="60"/>
  <c r="AX83" i="60"/>
  <c r="AX56" i="60"/>
  <c r="Z83" i="60"/>
  <c r="Z56" i="60"/>
  <c r="CZ83" i="60"/>
  <c r="CZ56" i="60"/>
  <c r="CB83" i="60"/>
  <c r="CB56" i="60"/>
  <c r="BD83" i="60"/>
  <c r="BD56" i="60"/>
  <c r="AF83" i="60"/>
  <c r="AF56" i="60"/>
  <c r="DF83" i="60"/>
  <c r="DF56" i="60"/>
  <c r="CH83" i="60"/>
  <c r="CH56" i="60"/>
  <c r="BJ83" i="60"/>
  <c r="BJ56" i="60"/>
  <c r="AL83" i="60"/>
  <c r="AL56" i="60"/>
  <c r="DL83" i="60"/>
  <c r="DL56" i="60"/>
  <c r="CN83" i="60"/>
  <c r="CN56" i="60"/>
  <c r="BP83" i="60"/>
  <c r="BP56" i="60"/>
  <c r="AR83" i="60"/>
  <c r="AR56" i="60"/>
  <c r="CZ89" i="60"/>
  <c r="CZ70" i="60"/>
  <c r="DF60" i="60"/>
  <c r="BJ89" i="60"/>
  <c r="DL70" i="60"/>
  <c r="CZ62" i="60"/>
  <c r="AX89" i="60"/>
  <c r="Z89" i="60"/>
  <c r="BJ87" i="60"/>
  <c r="CH87" i="60"/>
  <c r="BP72" i="60"/>
  <c r="BP87" i="60"/>
  <c r="DL91" i="60"/>
  <c r="AX64" i="60"/>
  <c r="BV89" i="60"/>
  <c r="AX62" i="60"/>
  <c r="CN87" i="60"/>
  <c r="BP91" i="60"/>
  <c r="AR64" i="60"/>
  <c r="DL87" i="60"/>
  <c r="CZ74" i="60"/>
  <c r="CZ66" i="60"/>
  <c r="DL66" i="60"/>
  <c r="CH89" i="60"/>
  <c r="AR87" i="60"/>
  <c r="DL74" i="60"/>
  <c r="DF72" i="60"/>
  <c r="DF68" i="60"/>
  <c r="AR68" i="60"/>
  <c r="AF72" i="60"/>
  <c r="BD87" i="60"/>
  <c r="DL88" i="60"/>
  <c r="DF87" i="60"/>
  <c r="CZ88" i="60"/>
  <c r="CT87" i="60"/>
  <c r="DL73" i="60"/>
  <c r="DL69" i="60"/>
  <c r="DL65" i="60"/>
  <c r="DL61" i="60"/>
  <c r="DF70" i="60"/>
  <c r="DF66" i="60"/>
  <c r="CZ73" i="60"/>
  <c r="CZ69" i="60"/>
  <c r="CZ65" i="60"/>
  <c r="CZ61" i="60"/>
  <c r="CT72" i="60"/>
  <c r="CT68" i="60"/>
  <c r="CT64" i="60"/>
  <c r="CT60" i="60"/>
  <c r="DF92" i="60"/>
  <c r="DF88" i="60"/>
  <c r="CT92" i="60"/>
  <c r="CT88" i="60"/>
  <c r="DF75" i="60"/>
  <c r="DF71" i="60"/>
  <c r="DF67" i="60"/>
  <c r="DF63" i="60"/>
  <c r="CT75" i="60"/>
  <c r="CT71" i="60"/>
  <c r="CT67" i="60"/>
  <c r="CT63" i="60"/>
  <c r="DL90" i="60"/>
  <c r="DF89" i="60"/>
  <c r="CZ90" i="60"/>
  <c r="CT89" i="60"/>
  <c r="DL71" i="60"/>
  <c r="DL67" i="60"/>
  <c r="DL63" i="60"/>
  <c r="CZ71" i="60"/>
  <c r="CZ67" i="60"/>
  <c r="CZ63" i="60"/>
  <c r="CT70" i="60"/>
  <c r="CT66" i="60"/>
  <c r="CT62" i="60"/>
  <c r="DF90" i="60"/>
  <c r="CT90" i="60"/>
  <c r="DF73" i="60"/>
  <c r="DF69" i="60"/>
  <c r="DF65" i="60"/>
  <c r="DF61" i="60"/>
  <c r="CT73" i="60"/>
  <c r="CT69" i="60"/>
  <c r="CT65" i="60"/>
  <c r="CT61" i="60"/>
  <c r="CH88" i="60"/>
  <c r="BV88" i="60"/>
  <c r="CH71" i="60"/>
  <c r="CH67" i="60"/>
  <c r="CH63" i="60"/>
  <c r="BV71" i="60"/>
  <c r="BV67" i="60"/>
  <c r="CH70" i="60"/>
  <c r="CH62" i="60"/>
  <c r="BV87" i="60"/>
  <c r="CH68" i="60"/>
  <c r="CH60" i="60"/>
  <c r="BV74" i="60"/>
  <c r="BV66" i="60"/>
  <c r="CH74" i="60"/>
  <c r="CH66" i="60"/>
  <c r="CN91" i="60"/>
  <c r="BV91" i="60"/>
  <c r="CH72" i="60"/>
  <c r="CH64" i="60"/>
  <c r="BV70" i="60"/>
  <c r="BV62" i="60"/>
  <c r="CN90" i="60"/>
  <c r="CB90" i="60"/>
  <c r="CN71" i="60"/>
  <c r="CN67" i="60"/>
  <c r="CN63" i="60"/>
  <c r="CB71" i="60"/>
  <c r="CB67" i="60"/>
  <c r="CB63" i="60"/>
  <c r="CB91" i="60"/>
  <c r="CB87" i="60"/>
  <c r="CN74" i="60"/>
  <c r="CN70" i="60"/>
  <c r="CN66" i="60"/>
  <c r="CN62" i="60"/>
  <c r="CB74" i="60"/>
  <c r="CB70" i="60"/>
  <c r="CB66" i="60"/>
  <c r="CB62" i="60"/>
  <c r="BV63" i="60"/>
  <c r="CN88" i="60"/>
  <c r="CB88" i="60"/>
  <c r="CN73" i="60"/>
  <c r="CN69" i="60"/>
  <c r="CN65" i="60"/>
  <c r="CN61" i="60"/>
  <c r="CB73" i="60"/>
  <c r="CB69" i="60"/>
  <c r="CB65" i="60"/>
  <c r="CB61" i="60"/>
  <c r="CH90" i="60"/>
  <c r="CB89" i="60"/>
  <c r="BV90" i="60"/>
  <c r="CN72" i="60"/>
  <c r="CN68" i="60"/>
  <c r="CN64" i="60"/>
  <c r="CN60" i="60"/>
  <c r="CH73" i="60"/>
  <c r="CH69" i="60"/>
  <c r="CH65" i="60"/>
  <c r="CH61" i="60"/>
  <c r="CB72" i="60"/>
  <c r="CB68" i="60"/>
  <c r="CB64" i="60"/>
  <c r="CB60" i="60"/>
  <c r="BV73" i="60"/>
  <c r="BV69" i="60"/>
  <c r="BV65" i="60"/>
  <c r="BV61" i="60"/>
  <c r="AF91" i="60"/>
  <c r="BD70" i="60"/>
  <c r="BD62" i="60"/>
  <c r="BP89" i="60"/>
  <c r="BP66" i="60"/>
  <c r="BD74" i="60"/>
  <c r="BD66" i="60"/>
  <c r="BP62" i="60"/>
  <c r="BP88" i="60"/>
  <c r="BD88" i="60"/>
  <c r="BP73" i="60"/>
  <c r="BP69" i="60"/>
  <c r="BP65" i="60"/>
  <c r="BP61" i="60"/>
  <c r="BJ72" i="60"/>
  <c r="BJ68" i="60"/>
  <c r="BJ64" i="60"/>
  <c r="BJ60" i="60"/>
  <c r="BD73" i="60"/>
  <c r="BD69" i="60"/>
  <c r="BD65" i="60"/>
  <c r="BD61" i="60"/>
  <c r="AX72" i="60"/>
  <c r="AX68" i="60"/>
  <c r="BJ88" i="60"/>
  <c r="BD89" i="60"/>
  <c r="AX88" i="60"/>
  <c r="BJ75" i="60"/>
  <c r="BJ71" i="60"/>
  <c r="BJ67" i="60"/>
  <c r="BJ63" i="60"/>
  <c r="AX75" i="60"/>
  <c r="AX71" i="60"/>
  <c r="AX67" i="60"/>
  <c r="AX63" i="60"/>
  <c r="BP90" i="60"/>
  <c r="BD90" i="60"/>
  <c r="BP71" i="60"/>
  <c r="BP67" i="60"/>
  <c r="BP63" i="60"/>
  <c r="BJ70" i="60"/>
  <c r="BJ66" i="60"/>
  <c r="BJ62" i="60"/>
  <c r="BD71" i="60"/>
  <c r="BD67" i="60"/>
  <c r="BD63" i="60"/>
  <c r="AX70" i="60"/>
  <c r="AX66" i="60"/>
  <c r="BJ90" i="60"/>
  <c r="BD91" i="60"/>
  <c r="AX90" i="60"/>
  <c r="BP74" i="60"/>
  <c r="BJ73" i="60"/>
  <c r="BJ69" i="60"/>
  <c r="BJ65" i="60"/>
  <c r="BJ61" i="60"/>
  <c r="AX73" i="60"/>
  <c r="AX69" i="60"/>
  <c r="AX65" i="60"/>
  <c r="AX61" i="60"/>
  <c r="AR74" i="60"/>
  <c r="AF89" i="60"/>
  <c r="AR91" i="60"/>
  <c r="AF87" i="60"/>
  <c r="Z87" i="60"/>
  <c r="AF70" i="60"/>
  <c r="AF62" i="60"/>
  <c r="AR66" i="60"/>
  <c r="AF74" i="60"/>
  <c r="AF66" i="60"/>
  <c r="AR89" i="60"/>
  <c r="AR70" i="60"/>
  <c r="AR62" i="60"/>
  <c r="AR88" i="60"/>
  <c r="AL87" i="60"/>
  <c r="AF88" i="60"/>
  <c r="AR71" i="60"/>
  <c r="AR67" i="60"/>
  <c r="AR63" i="60"/>
  <c r="AL70" i="60"/>
  <c r="AL66" i="60"/>
  <c r="AL62" i="60"/>
  <c r="AF71" i="60"/>
  <c r="AF67" i="60"/>
  <c r="AF63" i="60"/>
  <c r="Z70" i="60"/>
  <c r="Z66" i="60"/>
  <c r="Z62" i="60"/>
  <c r="AL90" i="60"/>
  <c r="Z92" i="60"/>
  <c r="Z88" i="60"/>
  <c r="AL73" i="60"/>
  <c r="AL69" i="60"/>
  <c r="AL65" i="60"/>
  <c r="AL61" i="60"/>
  <c r="Z73" i="60"/>
  <c r="Z69" i="60"/>
  <c r="Z65" i="60"/>
  <c r="Z61" i="60"/>
  <c r="AR90" i="60"/>
  <c r="AL89" i="60"/>
  <c r="AF90" i="60"/>
  <c r="AR73" i="60"/>
  <c r="AR69" i="60"/>
  <c r="AR65" i="60"/>
  <c r="AR61" i="60"/>
  <c r="AL72" i="60"/>
  <c r="AL68" i="60"/>
  <c r="AL64" i="60"/>
  <c r="AL60" i="60"/>
  <c r="AF73" i="60"/>
  <c r="AF69" i="60"/>
  <c r="AF65" i="60"/>
  <c r="AF61" i="60"/>
  <c r="Z72" i="60"/>
  <c r="Z68" i="60"/>
  <c r="Z64" i="60"/>
  <c r="Z60" i="60"/>
  <c r="AL92" i="60"/>
  <c r="AL88" i="60"/>
  <c r="Z90" i="60"/>
  <c r="AL75" i="60"/>
  <c r="AL71" i="60"/>
  <c r="AL67" i="60"/>
  <c r="AL63" i="60"/>
  <c r="Z75" i="60"/>
  <c r="Z71" i="60"/>
  <c r="Z67" i="60"/>
  <c r="Z63" i="60"/>
  <c r="A85" i="52" l="1"/>
  <c r="A43" i="52" l="1"/>
  <c r="I40" i="49" l="1"/>
  <c r="I29" i="49"/>
  <c r="I18" i="49"/>
  <c r="I23" i="49"/>
  <c r="I34" i="49" s="1"/>
  <c r="I45" i="49" s="1"/>
  <c r="I56" i="49" s="1"/>
  <c r="I67" i="49" s="1"/>
  <c r="I78" i="49" s="1"/>
  <c r="I89" i="49" s="1"/>
  <c r="I100" i="49" s="1"/>
  <c r="I111" i="49" s="1"/>
  <c r="I20" i="49"/>
  <c r="I31" i="49" s="1"/>
  <c r="I42" i="49" s="1"/>
  <c r="I53" i="49" s="1"/>
  <c r="I64" i="49" s="1"/>
  <c r="I75" i="49" s="1"/>
  <c r="I86" i="49" s="1"/>
  <c r="I97" i="49" s="1"/>
  <c r="I108" i="49" s="1"/>
  <c r="I21" i="49"/>
  <c r="I32" i="49" s="1"/>
  <c r="I43" i="49" s="1"/>
  <c r="I54" i="49" s="1"/>
  <c r="I65" i="49" s="1"/>
  <c r="I76" i="49" s="1"/>
  <c r="I87" i="49" s="1"/>
  <c r="I98" i="49" s="1"/>
  <c r="I109" i="49" s="1"/>
  <c r="I22" i="49"/>
  <c r="I33" i="49" s="1"/>
  <c r="I44" i="49" s="1"/>
  <c r="I55" i="49" s="1"/>
  <c r="I66" i="49" s="1"/>
  <c r="I77" i="49" s="1"/>
  <c r="I88" i="49" s="1"/>
  <c r="I99" i="49" s="1"/>
  <c r="I110" i="49" s="1"/>
  <c r="I19" i="49"/>
  <c r="I30" i="49" s="1"/>
  <c r="I41" i="49" s="1"/>
  <c r="I52" i="49" s="1"/>
  <c r="I63" i="49" s="1"/>
  <c r="I74" i="49" s="1"/>
  <c r="I85" i="49" s="1"/>
  <c r="I96" i="49" s="1"/>
  <c r="I107" i="49" s="1"/>
  <c r="K6" i="49"/>
  <c r="Z6" i="49" s="1"/>
  <c r="L6" i="49"/>
  <c r="AA6" i="49" s="1"/>
  <c r="M6" i="49"/>
  <c r="AB6" i="49" s="1"/>
  <c r="N6" i="49"/>
  <c r="AC6" i="49" s="1"/>
  <c r="J6" i="49"/>
  <c r="Y6" i="49" s="1"/>
  <c r="D95" i="49" l="1"/>
  <c r="D96" i="49"/>
  <c r="D97" i="49"/>
  <c r="D99" i="49"/>
  <c r="D100" i="49"/>
  <c r="D101" i="49"/>
  <c r="D102" i="49"/>
  <c r="D105" i="49"/>
  <c r="D106" i="49"/>
  <c r="D107" i="49"/>
  <c r="D108" i="49"/>
  <c r="D110" i="49"/>
  <c r="D111" i="49"/>
  <c r="D114" i="49"/>
  <c r="D115" i="49"/>
  <c r="D118" i="49"/>
  <c r="D94" i="49"/>
  <c r="D66" i="49"/>
  <c r="D67" i="49"/>
  <c r="D68" i="49"/>
  <c r="D70" i="49"/>
  <c r="D71" i="49"/>
  <c r="D72" i="49"/>
  <c r="D73" i="49"/>
  <c r="D76" i="49"/>
  <c r="D77" i="49"/>
  <c r="D78" i="49"/>
  <c r="D79" i="49"/>
  <c r="D81" i="49"/>
  <c r="D82" i="49"/>
  <c r="D85" i="49"/>
  <c r="D86" i="49"/>
  <c r="D89" i="49"/>
  <c r="D65" i="49"/>
  <c r="D37" i="49"/>
  <c r="D38" i="49"/>
  <c r="D39" i="49"/>
  <c r="D41" i="49"/>
  <c r="D42" i="49"/>
  <c r="D43" i="49"/>
  <c r="D44" i="49"/>
  <c r="D47" i="49"/>
  <c r="D48" i="49"/>
  <c r="D49" i="49"/>
  <c r="D50" i="49"/>
  <c r="D52" i="49"/>
  <c r="D53" i="49"/>
  <c r="D56" i="49"/>
  <c r="D57" i="49"/>
  <c r="D60" i="49"/>
  <c r="D64" i="49"/>
  <c r="F64" i="49"/>
  <c r="D35" i="49"/>
  <c r="F35" i="49"/>
  <c r="A33" i="49"/>
  <c r="D91" i="49" l="1"/>
  <c r="D120" i="49"/>
  <c r="D62" i="49"/>
  <c r="L19" i="49" a="1"/>
  <c r="D31" i="49"/>
  <c r="D7" i="49"/>
  <c r="L30" i="49" a="1"/>
  <c r="L41" i="49" a="1"/>
  <c r="D13" i="49"/>
  <c r="D12" i="49"/>
  <c r="D27" i="49"/>
  <c r="D8" i="49"/>
  <c r="D24" i="49"/>
  <c r="D9" i="49"/>
  <c r="D21" i="49"/>
  <c r="D23" i="49"/>
  <c r="D10" i="49"/>
  <c r="D28" i="49"/>
  <c r="D18" i="49"/>
  <c r="D20" i="49"/>
  <c r="D19" i="49"/>
  <c r="D15" i="49"/>
  <c r="D14" i="49"/>
  <c r="G33" i="49"/>
  <c r="F101" i="49"/>
  <c r="A120" i="49"/>
  <c r="A207" i="49" s="1"/>
  <c r="A294" i="49" s="1"/>
  <c r="F82" i="49"/>
  <c r="F79" i="49"/>
  <c r="F76" i="49"/>
  <c r="F96" i="49"/>
  <c r="F86" i="49"/>
  <c r="F41" i="49"/>
  <c r="F57" i="49"/>
  <c r="F56" i="49"/>
  <c r="F52" i="49"/>
  <c r="F49" i="49"/>
  <c r="F50" i="49"/>
  <c r="F48" i="49"/>
  <c r="F44" i="49"/>
  <c r="F38" i="49"/>
  <c r="F72" i="49"/>
  <c r="F70" i="49"/>
  <c r="F67" i="49"/>
  <c r="F115" i="49"/>
  <c r="F111" i="49"/>
  <c r="F108" i="49"/>
  <c r="F106" i="49"/>
  <c r="F99" i="49"/>
  <c r="F43" i="49"/>
  <c r="F42" i="49"/>
  <c r="F89" i="49"/>
  <c r="F85" i="49"/>
  <c r="F81" i="49"/>
  <c r="F78" i="49"/>
  <c r="F77" i="49"/>
  <c r="F95" i="49"/>
  <c r="F105" i="49"/>
  <c r="F102" i="49"/>
  <c r="F97" i="49"/>
  <c r="F60" i="49"/>
  <c r="F53" i="49"/>
  <c r="F47" i="49"/>
  <c r="F39" i="49"/>
  <c r="F73" i="49"/>
  <c r="F71" i="49"/>
  <c r="F68" i="49"/>
  <c r="F66" i="49"/>
  <c r="F118" i="49"/>
  <c r="F114" i="49"/>
  <c r="F110" i="49"/>
  <c r="F107" i="49"/>
  <c r="F100" i="49"/>
  <c r="A36" i="49"/>
  <c r="A123" i="49" s="1"/>
  <c r="A210" i="49" s="1"/>
  <c r="A94" i="49"/>
  <c r="A181" i="49" s="1"/>
  <c r="A268" i="49" s="1"/>
  <c r="A91" i="49"/>
  <c r="A178" i="49" s="1"/>
  <c r="A265" i="49" s="1"/>
  <c r="A65" i="49"/>
  <c r="A152" i="49" s="1"/>
  <c r="A239" i="49" s="1"/>
  <c r="A62" i="49"/>
  <c r="A149" i="49" s="1"/>
  <c r="A236" i="49" s="1"/>
  <c r="F37" i="49"/>
  <c r="F94" i="49"/>
  <c r="F65" i="49"/>
  <c r="F91" i="49" l="1"/>
  <c r="F120" i="49"/>
  <c r="F31" i="49"/>
  <c r="L42" i="49"/>
  <c r="L48" i="49"/>
  <c r="L41" i="49"/>
  <c r="L45" i="49"/>
  <c r="L49" i="49"/>
  <c r="L43" i="49"/>
  <c r="L47" i="49"/>
  <c r="L46" i="49"/>
  <c r="L44" i="49"/>
  <c r="L30" i="49"/>
  <c r="L37" i="49"/>
  <c r="L36" i="49"/>
  <c r="L32" i="49"/>
  <c r="L31" i="49"/>
  <c r="L38" i="49"/>
  <c r="L35" i="49"/>
  <c r="L34" i="49"/>
  <c r="L33" i="49"/>
  <c r="L8" i="49" a="1"/>
  <c r="F62" i="49"/>
  <c r="N19" i="49" a="1"/>
  <c r="N30" i="49" a="1"/>
  <c r="L20" i="49"/>
  <c r="L22" i="49"/>
  <c r="L21" i="49"/>
  <c r="L26" i="49"/>
  <c r="L23" i="49"/>
  <c r="L25" i="49"/>
  <c r="L19" i="49"/>
  <c r="L24" i="49"/>
  <c r="L27" i="49"/>
  <c r="N41" i="49" a="1"/>
  <c r="D33" i="49"/>
  <c r="F9" i="49"/>
  <c r="F10" i="49"/>
  <c r="F18" i="49"/>
  <c r="F13" i="49"/>
  <c r="F19" i="49"/>
  <c r="F24" i="49"/>
  <c r="F14" i="49"/>
  <c r="F21" i="49"/>
  <c r="F20" i="49"/>
  <c r="F8" i="49"/>
  <c r="F23" i="49"/>
  <c r="F27" i="49"/>
  <c r="F15" i="49"/>
  <c r="F7" i="49"/>
  <c r="F28" i="49"/>
  <c r="F12" i="49"/>
  <c r="N8" i="49" l="1" a="1"/>
  <c r="N12" i="49" s="1"/>
  <c r="N19" i="49"/>
  <c r="N24" i="49"/>
  <c r="N23" i="49"/>
  <c r="N22" i="49"/>
  <c r="N26" i="49"/>
  <c r="N21" i="49"/>
  <c r="N20" i="49"/>
  <c r="N25" i="49"/>
  <c r="N27" i="49"/>
  <c r="N30" i="49"/>
  <c r="N37" i="49"/>
  <c r="N35" i="49"/>
  <c r="N36" i="49"/>
  <c r="N34" i="49"/>
  <c r="N33" i="49"/>
  <c r="N32" i="49"/>
  <c r="N31" i="49"/>
  <c r="N38" i="49"/>
  <c r="L10" i="49"/>
  <c r="L13" i="49"/>
  <c r="L12" i="49"/>
  <c r="L11" i="49"/>
  <c r="L14" i="49"/>
  <c r="L9" i="49"/>
  <c r="L16" i="49"/>
  <c r="L8" i="49"/>
  <c r="L15" i="49"/>
  <c r="N41" i="49"/>
  <c r="N43" i="49"/>
  <c r="N42" i="49"/>
  <c r="N44" i="49"/>
  <c r="N49" i="49"/>
  <c r="N48" i="49"/>
  <c r="N45" i="49"/>
  <c r="N47" i="49"/>
  <c r="N46" i="49"/>
  <c r="F33" i="49"/>
  <c r="N13" i="49" l="1"/>
  <c r="N10" i="49"/>
  <c r="N9" i="49"/>
  <c r="N16" i="49"/>
  <c r="N11" i="49"/>
  <c r="N15" i="49"/>
  <c r="N14" i="49"/>
  <c r="N8" i="49"/>
  <c r="A17" i="52"/>
  <c r="A83" i="52" s="1"/>
  <c r="A16" i="52"/>
  <c r="A70" i="52" s="1"/>
  <c r="A15" i="52"/>
  <c r="A81" i="52" s="1"/>
  <c r="A14" i="52"/>
  <c r="A26" i="52" s="1"/>
  <c r="A13" i="52"/>
  <c r="A79" i="52" s="1"/>
  <c r="A12" i="52"/>
  <c r="A54" i="52" s="1"/>
  <c r="A11" i="52"/>
  <c r="A77" i="52" s="1"/>
  <c r="A10" i="52"/>
  <c r="A52" i="52" s="1"/>
  <c r="A9" i="52"/>
  <c r="A75" i="52" s="1"/>
  <c r="A8" i="52"/>
  <c r="A62" i="52" s="1"/>
  <c r="N88" i="52"/>
  <c r="K88" i="52"/>
  <c r="G88" i="52"/>
  <c r="B4" i="52"/>
  <c r="C88" i="52" s="1"/>
  <c r="D89" i="52"/>
  <c r="P89" i="52" s="1"/>
  <c r="AB89" i="52" s="1"/>
  <c r="AN89" i="52" s="1"/>
  <c r="C89" i="52"/>
  <c r="O89" i="52" s="1"/>
  <c r="AA89" i="52" s="1"/>
  <c r="AM89" i="52" s="1"/>
  <c r="B89" i="52"/>
  <c r="N89" i="52" s="1"/>
  <c r="Z89" i="52" s="1"/>
  <c r="AL89" i="52" s="1"/>
  <c r="D47" i="52"/>
  <c r="P47" i="52" s="1"/>
  <c r="AB47" i="52" s="1"/>
  <c r="AN47" i="52" s="1"/>
  <c r="C47" i="52"/>
  <c r="O47" i="52" s="1"/>
  <c r="AA47" i="52" s="1"/>
  <c r="AM47" i="52" s="1"/>
  <c r="B47" i="52"/>
  <c r="N47" i="52" s="1"/>
  <c r="Z47" i="52" s="1"/>
  <c r="AL47" i="52" s="1"/>
  <c r="P5" i="52"/>
  <c r="AB5" i="52" s="1"/>
  <c r="AN5" i="52" s="1"/>
  <c r="O5" i="52"/>
  <c r="AA5" i="52" s="1"/>
  <c r="AM5" i="52" s="1"/>
  <c r="L5" i="52"/>
  <c r="X5" i="52" s="1"/>
  <c r="AJ5" i="52" s="1"/>
  <c r="K5" i="52"/>
  <c r="W5" i="52" s="1"/>
  <c r="AI5" i="52" s="1"/>
  <c r="J5" i="52"/>
  <c r="V5" i="52" s="1"/>
  <c r="AH5" i="52" s="1"/>
  <c r="H5" i="52"/>
  <c r="T5" i="52" s="1"/>
  <c r="AF5" i="52" s="1"/>
  <c r="G5" i="52"/>
  <c r="S5" i="52" s="1"/>
  <c r="AE5" i="52" s="1"/>
  <c r="F5" i="52"/>
  <c r="R5" i="52" s="1"/>
  <c r="AD5" i="52" s="1"/>
  <c r="A39" i="16"/>
  <c r="F90" i="16"/>
  <c r="E90" i="16"/>
  <c r="D90" i="16"/>
  <c r="C90" i="16"/>
  <c r="B90" i="16"/>
  <c r="F88" i="16"/>
  <c r="E88" i="16"/>
  <c r="D88" i="16"/>
  <c r="C88" i="16"/>
  <c r="B88" i="16"/>
  <c r="F87" i="16"/>
  <c r="E87" i="16"/>
  <c r="D87" i="16"/>
  <c r="C87" i="16"/>
  <c r="B87" i="16"/>
  <c r="F86" i="16"/>
  <c r="E86" i="16"/>
  <c r="D86" i="16"/>
  <c r="C86" i="16"/>
  <c r="F85" i="16"/>
  <c r="E85" i="16"/>
  <c r="D85" i="16"/>
  <c r="C85" i="16"/>
  <c r="B85" i="16"/>
  <c r="F84" i="16"/>
  <c r="E84" i="16"/>
  <c r="D84" i="16"/>
  <c r="C84" i="16"/>
  <c r="B84" i="16"/>
  <c r="F83" i="16"/>
  <c r="E83" i="16"/>
  <c r="D83" i="16"/>
  <c r="C83" i="16"/>
  <c r="B83" i="16"/>
  <c r="F82" i="16"/>
  <c r="E82" i="16"/>
  <c r="C82" i="16"/>
  <c r="B82" i="16"/>
  <c r="F81" i="16"/>
  <c r="E81" i="16"/>
  <c r="D81" i="16"/>
  <c r="C81" i="16"/>
  <c r="B81" i="16"/>
  <c r="F80" i="16"/>
  <c r="E80" i="16"/>
  <c r="D80" i="16"/>
  <c r="C80" i="16"/>
  <c r="A90" i="16"/>
  <c r="A81" i="16"/>
  <c r="A82" i="16"/>
  <c r="A83" i="16"/>
  <c r="A84" i="16"/>
  <c r="A85" i="16"/>
  <c r="A86" i="16"/>
  <c r="A87" i="16"/>
  <c r="A88" i="16"/>
  <c r="A80" i="16"/>
  <c r="C79" i="16"/>
  <c r="D79" i="16"/>
  <c r="E79" i="16"/>
  <c r="F79" i="16"/>
  <c r="B79" i="16"/>
  <c r="Q12" i="11"/>
  <c r="P12" i="11"/>
  <c r="O12" i="11"/>
  <c r="N12" i="11"/>
  <c r="Q10" i="11"/>
  <c r="P10" i="11"/>
  <c r="O10" i="11"/>
  <c r="N10" i="11"/>
  <c r="Q9" i="11"/>
  <c r="P9" i="11"/>
  <c r="O9" i="11"/>
  <c r="N9" i="11"/>
  <c r="Q8" i="11"/>
  <c r="P8" i="11"/>
  <c r="O8" i="11"/>
  <c r="N8" i="11"/>
  <c r="Q7" i="11"/>
  <c r="P7" i="11"/>
  <c r="O7" i="11"/>
  <c r="N7" i="11"/>
  <c r="Q6" i="11"/>
  <c r="P6" i="11"/>
  <c r="O6" i="11"/>
  <c r="N6" i="11"/>
  <c r="Q5" i="11"/>
  <c r="P5" i="11"/>
  <c r="O5" i="11"/>
  <c r="N5" i="11"/>
  <c r="L12" i="11"/>
  <c r="L6" i="11"/>
  <c r="L7" i="11"/>
  <c r="L8" i="11"/>
  <c r="L9" i="11"/>
  <c r="L10" i="11"/>
  <c r="L5" i="11"/>
  <c r="N4" i="11"/>
  <c r="O4" i="11"/>
  <c r="P4" i="11"/>
  <c r="Q4" i="11"/>
  <c r="F5" i="15"/>
  <c r="F5" i="18"/>
  <c r="D5" i="18"/>
  <c r="F11" i="18"/>
  <c r="D11" i="18"/>
  <c r="F17" i="18"/>
  <c r="D17" i="18"/>
  <c r="F24" i="18"/>
  <c r="D24" i="18"/>
  <c r="F28" i="18"/>
  <c r="D28" i="18"/>
  <c r="F34" i="18"/>
  <c r="L89" i="18" s="1"/>
  <c r="D34" i="18"/>
  <c r="J89" i="18" s="1"/>
  <c r="F39" i="18"/>
  <c r="D39" i="18"/>
  <c r="F43" i="18"/>
  <c r="D43" i="18"/>
  <c r="F47" i="18"/>
  <c r="D47" i="18"/>
  <c r="D5" i="15"/>
  <c r="D7" i="15"/>
  <c r="J54" i="15" s="1"/>
  <c r="F7" i="15"/>
  <c r="D8" i="15"/>
  <c r="F8" i="15"/>
  <c r="D9" i="15"/>
  <c r="F9" i="15"/>
  <c r="D10" i="15"/>
  <c r="F10" i="15"/>
  <c r="D13" i="15"/>
  <c r="F13" i="15"/>
  <c r="D14" i="15"/>
  <c r="F14" i="15"/>
  <c r="D15" i="15"/>
  <c r="F15" i="15"/>
  <c r="D16" i="15"/>
  <c r="F16" i="15"/>
  <c r="D18" i="15"/>
  <c r="F18" i="15"/>
  <c r="D20" i="15"/>
  <c r="F20" i="15"/>
  <c r="D25" i="15"/>
  <c r="F25" i="15"/>
  <c r="D35" i="15"/>
  <c r="F35" i="15"/>
  <c r="D40" i="15"/>
  <c r="F40" i="15"/>
  <c r="O2" i="51"/>
  <c r="Q5" i="31"/>
  <c r="A29" i="44"/>
  <c r="A43" i="44" s="1"/>
  <c r="A57" i="44" s="1"/>
  <c r="A21" i="44"/>
  <c r="A35" i="44" s="1"/>
  <c r="A49" i="44" s="1"/>
  <c r="A20" i="44"/>
  <c r="A34" i="44" s="1"/>
  <c r="A48" i="44" s="1"/>
  <c r="A19" i="44"/>
  <c r="A33" i="44" s="1"/>
  <c r="A47" i="44" s="1"/>
  <c r="D44" i="11"/>
  <c r="O15" i="31"/>
  <c r="O14" i="31"/>
  <c r="O13" i="31"/>
  <c r="O12" i="31"/>
  <c r="O11" i="31"/>
  <c r="O10" i="31"/>
  <c r="O9" i="31"/>
  <c r="O8" i="31"/>
  <c r="O7" i="31"/>
  <c r="P8" i="31"/>
  <c r="P9" i="31"/>
  <c r="P10" i="31"/>
  <c r="P11" i="31"/>
  <c r="P13" i="31"/>
  <c r="I43" i="16"/>
  <c r="J43" i="16"/>
  <c r="I44" i="16"/>
  <c r="J44" i="16"/>
  <c r="B5" i="18"/>
  <c r="A1" i="18" s="1"/>
  <c r="I23" i="16"/>
  <c r="J23" i="16"/>
  <c r="I24" i="16"/>
  <c r="J24" i="16"/>
  <c r="D44" i="16"/>
  <c r="E5" i="18"/>
  <c r="E11" i="18"/>
  <c r="C5" i="18"/>
  <c r="C11" i="18"/>
  <c r="E17" i="18"/>
  <c r="C17" i="18"/>
  <c r="E24" i="18"/>
  <c r="C24" i="18"/>
  <c r="E28" i="18"/>
  <c r="C28" i="18"/>
  <c r="E34" i="18"/>
  <c r="K89" i="18" s="1"/>
  <c r="C34" i="18"/>
  <c r="I89" i="18" s="1"/>
  <c r="E39" i="18"/>
  <c r="C39" i="18"/>
  <c r="E43" i="18"/>
  <c r="C43" i="18"/>
  <c r="E47" i="18"/>
  <c r="C47" i="18"/>
  <c r="J26" i="18"/>
  <c r="A11" i="18"/>
  <c r="A17" i="18"/>
  <c r="A24" i="18"/>
  <c r="A28" i="18"/>
  <c r="A34" i="18"/>
  <c r="A39" i="18"/>
  <c r="A43" i="18"/>
  <c r="A47" i="18"/>
  <c r="D64" i="12"/>
  <c r="E64" i="12"/>
  <c r="D65" i="12"/>
  <c r="E65" i="12"/>
  <c r="D66" i="12"/>
  <c r="E66" i="12"/>
  <c r="D67" i="12"/>
  <c r="E67" i="12"/>
  <c r="D68" i="12"/>
  <c r="E68" i="12"/>
  <c r="D69" i="12"/>
  <c r="E69" i="12"/>
  <c r="D70" i="12"/>
  <c r="E70" i="12"/>
  <c r="D71" i="12"/>
  <c r="E71" i="12"/>
  <c r="D72" i="12"/>
  <c r="E72" i="12"/>
  <c r="D73" i="12"/>
  <c r="E73" i="12"/>
  <c r="D74" i="12"/>
  <c r="E74" i="12"/>
  <c r="D75" i="12"/>
  <c r="E75" i="12"/>
  <c r="D76" i="12"/>
  <c r="E76" i="12"/>
  <c r="D77" i="12"/>
  <c r="E77" i="12"/>
  <c r="D78" i="12"/>
  <c r="E78" i="12"/>
  <c r="D86" i="12"/>
  <c r="E86" i="12"/>
  <c r="D63" i="12"/>
  <c r="E63" i="12"/>
  <c r="E5" i="15"/>
  <c r="E40" i="15"/>
  <c r="K83" i="15" s="1"/>
  <c r="C5" i="15"/>
  <c r="C40" i="15"/>
  <c r="I83" i="15" s="1"/>
  <c r="E35" i="15"/>
  <c r="C35" i="15"/>
  <c r="E25" i="15"/>
  <c r="C25" i="15"/>
  <c r="E20" i="15"/>
  <c r="C20" i="15"/>
  <c r="E18" i="15"/>
  <c r="C18" i="15"/>
  <c r="E16" i="15"/>
  <c r="C16" i="15"/>
  <c r="E15" i="15"/>
  <c r="C15" i="15"/>
  <c r="E14" i="15"/>
  <c r="C14" i="15"/>
  <c r="E13" i="15"/>
  <c r="C13" i="15"/>
  <c r="E10" i="15"/>
  <c r="C10" i="15"/>
  <c r="E9" i="15"/>
  <c r="C9" i="15"/>
  <c r="E8" i="15"/>
  <c r="C8" i="15"/>
  <c r="C7" i="15"/>
  <c r="I54" i="15" s="1"/>
  <c r="E7" i="15"/>
  <c r="K54" i="15" s="1"/>
  <c r="D7" i="18"/>
  <c r="F7" i="18"/>
  <c r="C7" i="18"/>
  <c r="E7" i="18"/>
  <c r="B47" i="18"/>
  <c r="B39" i="18"/>
  <c r="B28" i="18"/>
  <c r="B24" i="18"/>
  <c r="B17" i="18"/>
  <c r="B11" i="18"/>
  <c r="B7" i="18"/>
  <c r="E44" i="16"/>
  <c r="B44" i="16"/>
  <c r="L41" i="21"/>
  <c r="A7" i="15"/>
  <c r="A89" i="15" s="1"/>
  <c r="A13" i="15"/>
  <c r="A95" i="15" s="1"/>
  <c r="A18" i="15"/>
  <c r="A100" i="15" s="1"/>
  <c r="A20" i="15"/>
  <c r="A102" i="15" s="1"/>
  <c r="A25" i="15"/>
  <c r="A107" i="15" s="1"/>
  <c r="A35" i="15"/>
  <c r="A117" i="15" s="1"/>
  <c r="L43" i="19"/>
  <c r="A8" i="15"/>
  <c r="A90" i="15" s="1"/>
  <c r="A9" i="15"/>
  <c r="A91" i="15" s="1"/>
  <c r="A10" i="15"/>
  <c r="A92" i="15" s="1"/>
  <c r="A14" i="15"/>
  <c r="A96" i="15" s="1"/>
  <c r="A15" i="15"/>
  <c r="A97" i="15" s="1"/>
  <c r="A16" i="15"/>
  <c r="A98" i="15" s="1"/>
  <c r="A40" i="15"/>
  <c r="A122" i="15" s="1"/>
  <c r="A7" i="18"/>
  <c r="L52" i="76" s="1"/>
  <c r="E44" i="11"/>
  <c r="B65" i="16"/>
  <c r="D65" i="16"/>
  <c r="B66" i="16"/>
  <c r="D66" i="16"/>
  <c r="E66" i="16"/>
  <c r="B67" i="16"/>
  <c r="D67" i="16"/>
  <c r="E67" i="16"/>
  <c r="B68" i="16"/>
  <c r="D68" i="16"/>
  <c r="E68" i="16"/>
  <c r="B69" i="16"/>
  <c r="D69" i="16"/>
  <c r="E69" i="16"/>
  <c r="B70" i="16"/>
  <c r="D70" i="16"/>
  <c r="E70" i="16"/>
  <c r="B71" i="16"/>
  <c r="D71" i="16"/>
  <c r="E71" i="16"/>
  <c r="B72" i="16"/>
  <c r="D72" i="16"/>
  <c r="E72" i="16"/>
  <c r="B74" i="16"/>
  <c r="D74" i="16"/>
  <c r="E74" i="16"/>
  <c r="I82" i="16"/>
  <c r="N41" i="75" s="1"/>
  <c r="I83" i="16"/>
  <c r="N34" i="75" s="1"/>
  <c r="I84" i="16"/>
  <c r="N30" i="75" s="1"/>
  <c r="I85" i="16"/>
  <c r="N24" i="75" s="1"/>
  <c r="I86" i="16"/>
  <c r="N19" i="75" s="1"/>
  <c r="I87" i="16"/>
  <c r="N15" i="75" s="1"/>
  <c r="I88" i="16"/>
  <c r="N11" i="75" s="1"/>
  <c r="I90" i="16"/>
  <c r="D46" i="16"/>
  <c r="E46" i="16"/>
  <c r="D47" i="16"/>
  <c r="E47" i="16"/>
  <c r="D48" i="16"/>
  <c r="E48" i="16"/>
  <c r="D49" i="16"/>
  <c r="E49" i="16"/>
  <c r="D50" i="16"/>
  <c r="E50" i="16"/>
  <c r="D51" i="16"/>
  <c r="E51" i="16"/>
  <c r="D52" i="16"/>
  <c r="E52" i="16"/>
  <c r="D53" i="16"/>
  <c r="E53" i="16"/>
  <c r="D54" i="16"/>
  <c r="E54" i="16"/>
  <c r="D56" i="16"/>
  <c r="E56" i="16"/>
  <c r="B47" i="16"/>
  <c r="B48" i="16"/>
  <c r="B49" i="16"/>
  <c r="B50" i="16"/>
  <c r="B51" i="16"/>
  <c r="B52" i="16"/>
  <c r="B53" i="16"/>
  <c r="B54" i="16"/>
  <c r="B56" i="16"/>
  <c r="C26" i="16"/>
  <c r="D26" i="16"/>
  <c r="E26" i="16"/>
  <c r="F26" i="16"/>
  <c r="C27" i="16"/>
  <c r="D27" i="16"/>
  <c r="E27" i="16"/>
  <c r="F27" i="16"/>
  <c r="C28" i="16"/>
  <c r="D28" i="16"/>
  <c r="E28" i="16"/>
  <c r="F28" i="16"/>
  <c r="C29" i="16"/>
  <c r="D29" i="16"/>
  <c r="E29" i="16"/>
  <c r="F29" i="16"/>
  <c r="C30" i="16"/>
  <c r="D30" i="16"/>
  <c r="E30" i="16"/>
  <c r="F30" i="16"/>
  <c r="C31" i="16"/>
  <c r="D31" i="16"/>
  <c r="E31" i="16"/>
  <c r="F31" i="16"/>
  <c r="C32" i="16"/>
  <c r="D32" i="16"/>
  <c r="E32" i="16"/>
  <c r="F32" i="16"/>
  <c r="C33" i="16"/>
  <c r="E33" i="16"/>
  <c r="F33" i="16"/>
  <c r="C34" i="16"/>
  <c r="D34" i="16"/>
  <c r="E34" i="16"/>
  <c r="F34" i="16"/>
  <c r="C36" i="16"/>
  <c r="D36" i="16"/>
  <c r="E36" i="16"/>
  <c r="F36" i="16"/>
  <c r="B27" i="16"/>
  <c r="B28" i="16"/>
  <c r="B29" i="16"/>
  <c r="B30" i="16"/>
  <c r="B31" i="16"/>
  <c r="B32" i="16"/>
  <c r="B33" i="16"/>
  <c r="B34" i="16"/>
  <c r="B36" i="16"/>
  <c r="B26" i="16"/>
  <c r="A74" i="16"/>
  <c r="A72" i="16"/>
  <c r="A71" i="16"/>
  <c r="A70" i="16"/>
  <c r="A69" i="16"/>
  <c r="A68" i="16"/>
  <c r="A67" i="16"/>
  <c r="A66" i="16"/>
  <c r="A65" i="16"/>
  <c r="A64" i="16"/>
  <c r="A56" i="16"/>
  <c r="A54" i="16"/>
  <c r="A53" i="16"/>
  <c r="A52" i="16"/>
  <c r="A51" i="16"/>
  <c r="A50" i="16"/>
  <c r="A49" i="16"/>
  <c r="A48" i="16"/>
  <c r="A47" i="16"/>
  <c r="A46" i="16"/>
  <c r="A36" i="16"/>
  <c r="A34" i="16"/>
  <c r="A33" i="16"/>
  <c r="A32" i="16"/>
  <c r="B24" i="16"/>
  <c r="C24" i="16"/>
  <c r="D24" i="16"/>
  <c r="E24" i="16"/>
  <c r="F24" i="16"/>
  <c r="A26" i="16"/>
  <c r="A27" i="16"/>
  <c r="A28" i="16"/>
  <c r="A29" i="16"/>
  <c r="A30" i="16"/>
  <c r="A31" i="16"/>
  <c r="B62" i="16"/>
  <c r="D62" i="16"/>
  <c r="E62" i="16"/>
  <c r="B64" i="16"/>
  <c r="D64" i="16"/>
  <c r="E64" i="16"/>
  <c r="D90" i="12"/>
  <c r="E90" i="12"/>
  <c r="D91" i="12"/>
  <c r="E91" i="12"/>
  <c r="D92" i="12"/>
  <c r="E92" i="12"/>
  <c r="D93" i="12"/>
  <c r="E93" i="12"/>
  <c r="D94" i="12"/>
  <c r="E94" i="12"/>
  <c r="D95" i="12"/>
  <c r="E95" i="12"/>
  <c r="D96" i="12"/>
  <c r="E96" i="12"/>
  <c r="D97" i="12"/>
  <c r="E97" i="12"/>
  <c r="D98" i="12"/>
  <c r="E98" i="12"/>
  <c r="D99" i="12"/>
  <c r="E99" i="12"/>
  <c r="D100" i="12"/>
  <c r="E100" i="12"/>
  <c r="D101" i="12"/>
  <c r="E101" i="12"/>
  <c r="D102" i="12"/>
  <c r="E102" i="12"/>
  <c r="D103" i="12"/>
  <c r="E103" i="12"/>
  <c r="D104" i="12"/>
  <c r="E104" i="12"/>
  <c r="D105" i="12"/>
  <c r="E105" i="12"/>
  <c r="D113" i="12"/>
  <c r="E113" i="12"/>
  <c r="A113" i="12"/>
  <c r="A105" i="12"/>
  <c r="A104" i="12"/>
  <c r="A103" i="12"/>
  <c r="A102" i="12"/>
  <c r="A101" i="12"/>
  <c r="A100" i="12"/>
  <c r="A99" i="12"/>
  <c r="A98" i="12"/>
  <c r="A97" i="12"/>
  <c r="A96" i="12"/>
  <c r="A95" i="12"/>
  <c r="A94" i="12"/>
  <c r="A93" i="12"/>
  <c r="A92" i="12"/>
  <c r="A91" i="12"/>
  <c r="A90" i="12"/>
  <c r="E89" i="12"/>
  <c r="D89" i="12"/>
  <c r="A86" i="12"/>
  <c r="A78" i="12"/>
  <c r="A77" i="12"/>
  <c r="A76" i="12"/>
  <c r="A75" i="12"/>
  <c r="A74" i="12"/>
  <c r="A73" i="12"/>
  <c r="A72" i="12"/>
  <c r="A71" i="12"/>
  <c r="A70" i="12"/>
  <c r="A69" i="12"/>
  <c r="A68" i="12"/>
  <c r="A67" i="12"/>
  <c r="A66" i="12"/>
  <c r="A65" i="12"/>
  <c r="A64" i="12"/>
  <c r="A63" i="12"/>
  <c r="E61" i="12"/>
  <c r="D61" i="12"/>
  <c r="C55" i="12"/>
  <c r="D55" i="12"/>
  <c r="E55" i="12"/>
  <c r="F55" i="12"/>
  <c r="A55" i="12"/>
  <c r="A46" i="12"/>
  <c r="A45" i="12"/>
  <c r="A44" i="12"/>
  <c r="A43" i="12"/>
  <c r="A42" i="12"/>
  <c r="A41" i="12"/>
  <c r="A40" i="12"/>
  <c r="A39" i="12"/>
  <c r="A38" i="12"/>
  <c r="A37" i="12"/>
  <c r="A36" i="12"/>
  <c r="A35" i="12"/>
  <c r="A34" i="12"/>
  <c r="A33" i="12"/>
  <c r="A32" i="12"/>
  <c r="F31" i="12"/>
  <c r="E31" i="12"/>
  <c r="D31" i="12"/>
  <c r="C31" i="12"/>
  <c r="S6" i="11"/>
  <c r="S7" i="11"/>
  <c r="S8" i="11"/>
  <c r="S9" i="11"/>
  <c r="S10" i="11"/>
  <c r="S12" i="11"/>
  <c r="D34" i="11"/>
  <c r="E34" i="11"/>
  <c r="D35" i="11"/>
  <c r="E35" i="11"/>
  <c r="D36" i="11"/>
  <c r="E36" i="11"/>
  <c r="E37" i="11"/>
  <c r="D38" i="11"/>
  <c r="E38" i="11"/>
  <c r="D39" i="11"/>
  <c r="E39" i="11"/>
  <c r="D41" i="11"/>
  <c r="E41" i="11"/>
  <c r="O265" i="21"/>
  <c r="O264" i="21"/>
  <c r="O263" i="21"/>
  <c r="O262" i="21"/>
  <c r="O261" i="21"/>
  <c r="O266" i="21"/>
  <c r="D45" i="11"/>
  <c r="E45" i="11"/>
  <c r="D46" i="11"/>
  <c r="E46" i="11"/>
  <c r="D47" i="11"/>
  <c r="E47" i="11"/>
  <c r="D48" i="11"/>
  <c r="E48" i="11"/>
  <c r="D49" i="11"/>
  <c r="E49" i="11"/>
  <c r="D50" i="11"/>
  <c r="E50" i="11"/>
  <c r="D52" i="11"/>
  <c r="E52" i="11"/>
  <c r="A52" i="11"/>
  <c r="A50" i="11"/>
  <c r="A49" i="11"/>
  <c r="A48" i="11"/>
  <c r="A47" i="11"/>
  <c r="A46" i="11"/>
  <c r="A45" i="11"/>
  <c r="A41" i="11"/>
  <c r="A39" i="11"/>
  <c r="A38" i="11"/>
  <c r="A37" i="11"/>
  <c r="A36" i="11"/>
  <c r="A35" i="11"/>
  <c r="A34" i="11"/>
  <c r="A27" i="11"/>
  <c r="A25" i="11"/>
  <c r="A24" i="11"/>
  <c r="A23" i="11"/>
  <c r="A22" i="11"/>
  <c r="A21" i="11"/>
  <c r="A20" i="11"/>
  <c r="D33" i="11"/>
  <c r="E33" i="11"/>
  <c r="C19" i="11"/>
  <c r="D19" i="11"/>
  <c r="E19" i="11"/>
  <c r="F19" i="11"/>
  <c r="O230" i="21" s="1"/>
  <c r="C20" i="11"/>
  <c r="D20" i="11"/>
  <c r="N236" i="21" s="1"/>
  <c r="E20" i="11"/>
  <c r="F20" i="11"/>
  <c r="O236" i="21" s="1"/>
  <c r="C21" i="11"/>
  <c r="D21" i="11"/>
  <c r="N235" i="21" s="1"/>
  <c r="E21" i="11"/>
  <c r="F21" i="11"/>
  <c r="O235" i="21" s="1"/>
  <c r="C22" i="11"/>
  <c r="D22" i="11"/>
  <c r="N234" i="21" s="1"/>
  <c r="E22" i="11"/>
  <c r="F22" i="11"/>
  <c r="O234" i="21" s="1"/>
  <c r="C23" i="11"/>
  <c r="D23" i="11"/>
  <c r="E23" i="11"/>
  <c r="F23" i="11"/>
  <c r="O233" i="21" s="1"/>
  <c r="C24" i="11"/>
  <c r="D24" i="11"/>
  <c r="N232" i="21" s="1"/>
  <c r="E24" i="11"/>
  <c r="F24" i="11"/>
  <c r="O232" i="21" s="1"/>
  <c r="C25" i="11"/>
  <c r="D25" i="11"/>
  <c r="N231" i="21" s="1"/>
  <c r="E25" i="11"/>
  <c r="F25" i="11"/>
  <c r="O231" i="21" s="1"/>
  <c r="C27" i="11"/>
  <c r="D27" i="11"/>
  <c r="E27" i="11"/>
  <c r="F27" i="11"/>
  <c r="A505" i="76" l="1"/>
  <c r="F59" i="18"/>
  <c r="B89" i="18"/>
  <c r="B59" i="18"/>
  <c r="E3" i="44"/>
  <c r="D89" i="18"/>
  <c r="C89" i="18"/>
  <c r="F3" i="44"/>
  <c r="F5" i="44" s="1"/>
  <c r="F89" i="18"/>
  <c r="E89" i="18"/>
  <c r="L32" i="76"/>
  <c r="L79" i="76"/>
  <c r="L26" i="76"/>
  <c r="L73" i="76"/>
  <c r="L22" i="76"/>
  <c r="L69" i="76"/>
  <c r="L15" i="76"/>
  <c r="L62" i="76"/>
  <c r="L9" i="76"/>
  <c r="L56" i="76"/>
  <c r="L45" i="76"/>
  <c r="L92" i="76"/>
  <c r="L41" i="76"/>
  <c r="L88" i="76"/>
  <c r="L37" i="76"/>
  <c r="L84" i="76"/>
  <c r="A1" i="51"/>
  <c r="N230" i="21"/>
  <c r="H17" i="11"/>
  <c r="N233" i="21"/>
  <c r="C97" i="15"/>
  <c r="N32" i="19" s="1"/>
  <c r="C112" i="15"/>
  <c r="N17" i="19" s="1"/>
  <c r="C98" i="15"/>
  <c r="N31" i="19" s="1"/>
  <c r="C113" i="15"/>
  <c r="N16" i="19" s="1"/>
  <c r="C100" i="15"/>
  <c r="N29" i="19" s="1"/>
  <c r="C114" i="15"/>
  <c r="N15" i="19" s="1"/>
  <c r="C102" i="15"/>
  <c r="N27" i="19" s="1"/>
  <c r="C115" i="15"/>
  <c r="N14" i="19" s="1"/>
  <c r="C103" i="15"/>
  <c r="N26" i="19" s="1"/>
  <c r="C117" i="15"/>
  <c r="N12" i="19" s="1"/>
  <c r="C118" i="15"/>
  <c r="N11" i="19" s="1"/>
  <c r="C90" i="15"/>
  <c r="N39" i="19" s="1"/>
  <c r="C105" i="15"/>
  <c r="N24" i="19" s="1"/>
  <c r="C119" i="15"/>
  <c r="N10" i="19" s="1"/>
  <c r="C91" i="15"/>
  <c r="N38" i="19" s="1"/>
  <c r="C107" i="15"/>
  <c r="N22" i="19" s="1"/>
  <c r="C120" i="15"/>
  <c r="N9" i="19" s="1"/>
  <c r="C92" i="15"/>
  <c r="N37" i="19" s="1"/>
  <c r="C108" i="15"/>
  <c r="N21" i="19" s="1"/>
  <c r="C122" i="15"/>
  <c r="N7" i="19" s="1"/>
  <c r="C93" i="15"/>
  <c r="N36" i="19" s="1"/>
  <c r="C109" i="15"/>
  <c r="N20" i="19" s="1"/>
  <c r="C89" i="15"/>
  <c r="N40" i="19" s="1"/>
  <c r="C95" i="15"/>
  <c r="N34" i="19" s="1"/>
  <c r="C110" i="15"/>
  <c r="N19" i="19" s="1"/>
  <c r="C96" i="15"/>
  <c r="N33" i="19" s="1"/>
  <c r="C111" i="15"/>
  <c r="N18" i="19" s="1"/>
  <c r="C104" i="15"/>
  <c r="N25" i="19" s="1"/>
  <c r="L9" i="15"/>
  <c r="C3" i="44"/>
  <c r="L15" i="15"/>
  <c r="B3" i="44"/>
  <c r="A1" i="44" s="1"/>
  <c r="A53" i="18"/>
  <c r="F6" i="44"/>
  <c r="A59" i="18"/>
  <c r="L51" i="75"/>
  <c r="L5" i="76"/>
  <c r="L5" i="15"/>
  <c r="F48" i="15" s="1"/>
  <c r="C87" i="15" s="1"/>
  <c r="N6" i="19" s="1"/>
  <c r="L40" i="15"/>
  <c r="L18" i="15"/>
  <c r="L13" i="15"/>
  <c r="L7" i="18"/>
  <c r="L5" i="18"/>
  <c r="F57" i="18" s="1"/>
  <c r="D3" i="44"/>
  <c r="L39" i="18"/>
  <c r="L17" i="18"/>
  <c r="L20" i="15"/>
  <c r="L14" i="15"/>
  <c r="L8" i="15"/>
  <c r="L7" i="15"/>
  <c r="L54" i="15"/>
  <c r="L35" i="15"/>
  <c r="L16" i="15"/>
  <c r="L10" i="15"/>
  <c r="L34" i="18"/>
  <c r="L11" i="18"/>
  <c r="L25" i="15"/>
  <c r="L73" i="15"/>
  <c r="L72" i="15"/>
  <c r="L74" i="15"/>
  <c r="L76" i="15"/>
  <c r="L75" i="15"/>
  <c r="L28" i="18"/>
  <c r="J72" i="15"/>
  <c r="J74" i="15"/>
  <c r="J75" i="15"/>
  <c r="J73" i="15"/>
  <c r="J76" i="15"/>
  <c r="F53" i="15"/>
  <c r="F64" i="15"/>
  <c r="F73" i="15"/>
  <c r="F81" i="15"/>
  <c r="F76" i="15"/>
  <c r="F69" i="15"/>
  <c r="F52" i="15"/>
  <c r="F80" i="15"/>
  <c r="F54" i="15"/>
  <c r="F65" i="15"/>
  <c r="F74" i="15"/>
  <c r="F83" i="15"/>
  <c r="F68" i="15"/>
  <c r="F58" i="15"/>
  <c r="F63" i="15"/>
  <c r="F56" i="15"/>
  <c r="F66" i="15"/>
  <c r="F75" i="15"/>
  <c r="F50" i="15"/>
  <c r="F57" i="15"/>
  <c r="F77" i="15"/>
  <c r="F72" i="15"/>
  <c r="F59" i="15"/>
  <c r="F70" i="15"/>
  <c r="F78" i="15"/>
  <c r="F51" i="15"/>
  <c r="F61" i="15"/>
  <c r="F71" i="15"/>
  <c r="F79" i="15"/>
  <c r="L47" i="18"/>
  <c r="I74" i="15"/>
  <c r="I76" i="15"/>
  <c r="I73" i="15"/>
  <c r="I72" i="15"/>
  <c r="I75" i="15"/>
  <c r="L43" i="18"/>
  <c r="L24" i="18"/>
  <c r="F63" i="18"/>
  <c r="F72" i="18"/>
  <c r="F82" i="18"/>
  <c r="F93" i="18"/>
  <c r="F64" i="18"/>
  <c r="F73" i="18"/>
  <c r="F83" i="18"/>
  <c r="F95" i="18"/>
  <c r="F65" i="18"/>
  <c r="F74" i="18"/>
  <c r="F84" i="18"/>
  <c r="F96" i="18"/>
  <c r="F66" i="18"/>
  <c r="F76" i="18"/>
  <c r="F86" i="18"/>
  <c r="F97" i="18"/>
  <c r="F67" i="18"/>
  <c r="F77" i="18"/>
  <c r="F87" i="18"/>
  <c r="F99" i="18"/>
  <c r="F69" i="18"/>
  <c r="F78" i="18"/>
  <c r="F88" i="18"/>
  <c r="F100" i="18"/>
  <c r="F60" i="18"/>
  <c r="F70" i="18"/>
  <c r="F80" i="18"/>
  <c r="F91" i="18"/>
  <c r="F101" i="18"/>
  <c r="F61" i="18"/>
  <c r="F71" i="18"/>
  <c r="F81" i="18"/>
  <c r="F92" i="18"/>
  <c r="F103" i="18"/>
  <c r="K75" i="15"/>
  <c r="K73" i="15"/>
  <c r="K72" i="15"/>
  <c r="K74" i="15"/>
  <c r="K76" i="15"/>
  <c r="B101" i="18"/>
  <c r="B60" i="18"/>
  <c r="B61" i="18"/>
  <c r="D61" i="18"/>
  <c r="D60" i="18"/>
  <c r="C61" i="18"/>
  <c r="C60" i="18"/>
  <c r="E60" i="18"/>
  <c r="E61" i="18"/>
  <c r="K48" i="15"/>
  <c r="E54" i="15"/>
  <c r="E73" i="15"/>
  <c r="E75" i="15"/>
  <c r="E76" i="15"/>
  <c r="E72" i="15"/>
  <c r="E74" i="15"/>
  <c r="D74" i="15"/>
  <c r="D75" i="15"/>
  <c r="D73" i="15"/>
  <c r="D72" i="15"/>
  <c r="D54" i="15"/>
  <c r="D76" i="15"/>
  <c r="C74" i="15"/>
  <c r="C75" i="15"/>
  <c r="C72" i="15"/>
  <c r="C76" i="15"/>
  <c r="C54" i="15"/>
  <c r="C73" i="15"/>
  <c r="I37" i="15"/>
  <c r="I27" i="15"/>
  <c r="I22" i="15"/>
  <c r="I16" i="15"/>
  <c r="I10" i="15"/>
  <c r="I36" i="15"/>
  <c r="I26" i="15"/>
  <c r="I21" i="15"/>
  <c r="I15" i="15"/>
  <c r="I9" i="15"/>
  <c r="I35" i="15"/>
  <c r="I25" i="15"/>
  <c r="I20" i="15"/>
  <c r="I14" i="15"/>
  <c r="I8" i="15"/>
  <c r="A70" i="15"/>
  <c r="L20" i="19" s="1"/>
  <c r="L25" i="21"/>
  <c r="A50" i="15"/>
  <c r="L40" i="19" s="1"/>
  <c r="L5" i="21"/>
  <c r="A51" i="15"/>
  <c r="L39" i="19" s="1"/>
  <c r="L6" i="21"/>
  <c r="A83" i="15"/>
  <c r="L7" i="19" s="1"/>
  <c r="L38" i="21"/>
  <c r="L268" i="21" s="1"/>
  <c r="A65" i="15"/>
  <c r="L25" i="19" s="1"/>
  <c r="L20" i="21"/>
  <c r="A52" i="15"/>
  <c r="L38" i="19" s="1"/>
  <c r="L7" i="21"/>
  <c r="A80" i="15"/>
  <c r="L10" i="19" s="1"/>
  <c r="L35" i="21"/>
  <c r="A59" i="15"/>
  <c r="L31" i="19" s="1"/>
  <c r="L14" i="21"/>
  <c r="A68" i="15"/>
  <c r="L22" i="19" s="1"/>
  <c r="L23" i="21"/>
  <c r="A53" i="15"/>
  <c r="L37" i="19" s="1"/>
  <c r="L8" i="21"/>
  <c r="A66" i="15"/>
  <c r="L24" i="19" s="1"/>
  <c r="L21" i="21"/>
  <c r="A78" i="15"/>
  <c r="L12" i="19" s="1"/>
  <c r="L33" i="21"/>
  <c r="A79" i="15"/>
  <c r="L11" i="19" s="1"/>
  <c r="L34" i="21"/>
  <c r="A58" i="15"/>
  <c r="L32" i="19" s="1"/>
  <c r="L13" i="21"/>
  <c r="A63" i="15"/>
  <c r="L27" i="19" s="1"/>
  <c r="L18" i="21"/>
  <c r="A56" i="15"/>
  <c r="L34" i="19" s="1"/>
  <c r="L11" i="21"/>
  <c r="A69" i="15"/>
  <c r="L21" i="19" s="1"/>
  <c r="L24" i="21"/>
  <c r="A81" i="15"/>
  <c r="L9" i="19" s="1"/>
  <c r="L36" i="21"/>
  <c r="A64" i="15"/>
  <c r="L26" i="19" s="1"/>
  <c r="L19" i="21"/>
  <c r="A71" i="15"/>
  <c r="L19" i="19" s="1"/>
  <c r="L26" i="21"/>
  <c r="A57" i="15"/>
  <c r="L33" i="19" s="1"/>
  <c r="L12" i="21"/>
  <c r="A61" i="15"/>
  <c r="L29" i="19" s="1"/>
  <c r="L16" i="21"/>
  <c r="I39" i="18"/>
  <c r="L73" i="18"/>
  <c r="I34" i="18"/>
  <c r="I11" i="18"/>
  <c r="I57" i="18"/>
  <c r="I5" i="18"/>
  <c r="C57" i="18" s="1"/>
  <c r="L83" i="15"/>
  <c r="J103" i="18"/>
  <c r="I51" i="18"/>
  <c r="I7" i="18"/>
  <c r="C65" i="18"/>
  <c r="C74" i="18"/>
  <c r="C80" i="18"/>
  <c r="C97" i="18"/>
  <c r="C59" i="18"/>
  <c r="C66" i="18"/>
  <c r="C81" i="18"/>
  <c r="C67" i="18"/>
  <c r="C76" i="18"/>
  <c r="C82" i="18"/>
  <c r="C91" i="18"/>
  <c r="C63" i="18"/>
  <c r="C72" i="18"/>
  <c r="C87" i="18"/>
  <c r="C95" i="18"/>
  <c r="C101" i="18"/>
  <c r="C69" i="18"/>
  <c r="C83" i="18"/>
  <c r="C70" i="18"/>
  <c r="C84" i="18"/>
  <c r="C99" i="18"/>
  <c r="C71" i="18"/>
  <c r="C86" i="18"/>
  <c r="C100" i="18"/>
  <c r="C73" i="18"/>
  <c r="C77" i="18"/>
  <c r="C103" i="18"/>
  <c r="C78" i="18"/>
  <c r="C93" i="18"/>
  <c r="C64" i="18"/>
  <c r="C96" i="18"/>
  <c r="C92" i="18"/>
  <c r="C88" i="18"/>
  <c r="I28" i="18"/>
  <c r="I48" i="15"/>
  <c r="I5" i="15"/>
  <c r="C48" i="15" s="1"/>
  <c r="I38" i="15"/>
  <c r="I28" i="15"/>
  <c r="I23" i="15"/>
  <c r="I18" i="15"/>
  <c r="I13" i="15"/>
  <c r="I7" i="15"/>
  <c r="J96" i="18"/>
  <c r="I43" i="18"/>
  <c r="I24" i="18"/>
  <c r="L48" i="15"/>
  <c r="J71" i="18"/>
  <c r="I17" i="18"/>
  <c r="L103" i="18"/>
  <c r="J83" i="15"/>
  <c r="I40" i="15"/>
  <c r="I47" i="18"/>
  <c r="J48" i="15"/>
  <c r="C58" i="15"/>
  <c r="C59" i="15"/>
  <c r="C70" i="15"/>
  <c r="C61" i="15"/>
  <c r="C71" i="15"/>
  <c r="C63" i="15"/>
  <c r="C78" i="15"/>
  <c r="C56" i="15"/>
  <c r="C68" i="15"/>
  <c r="C83" i="15"/>
  <c r="C57" i="15"/>
  <c r="C50" i="15"/>
  <c r="C66" i="15"/>
  <c r="C64" i="15"/>
  <c r="C65" i="15"/>
  <c r="C52" i="15"/>
  <c r="C80" i="15"/>
  <c r="C53" i="15"/>
  <c r="C81" i="15"/>
  <c r="C69" i="15"/>
  <c r="C79" i="15"/>
  <c r="C51" i="15"/>
  <c r="L67" i="18"/>
  <c r="K11" i="18"/>
  <c r="K67" i="18"/>
  <c r="J11" i="18"/>
  <c r="J67" i="18"/>
  <c r="I67" i="18"/>
  <c r="H11" i="18"/>
  <c r="H67" i="18"/>
  <c r="H64" i="18"/>
  <c r="A71" i="52"/>
  <c r="A82" i="52"/>
  <c r="G89" i="52"/>
  <c r="S89" i="52" s="1"/>
  <c r="AE89" i="52" s="1"/>
  <c r="A101" i="52"/>
  <c r="A63" i="52"/>
  <c r="A33" i="52"/>
  <c r="G47" i="52"/>
  <c r="S47" i="52" s="1"/>
  <c r="AE47" i="52" s="1"/>
  <c r="A58" i="52"/>
  <c r="A100" i="52"/>
  <c r="L93" i="18"/>
  <c r="L92" i="18"/>
  <c r="K92" i="18"/>
  <c r="K93" i="18"/>
  <c r="J87" i="18"/>
  <c r="J93" i="18"/>
  <c r="J92" i="18"/>
  <c r="I93" i="18"/>
  <c r="I92" i="18"/>
  <c r="H93" i="18"/>
  <c r="E93" i="18"/>
  <c r="E92" i="18"/>
  <c r="D93" i="18"/>
  <c r="D92" i="18"/>
  <c r="B92" i="18"/>
  <c r="B93" i="18"/>
  <c r="I68" i="15"/>
  <c r="K21" i="15"/>
  <c r="J36" i="15"/>
  <c r="J58" i="15"/>
  <c r="J79" i="15"/>
  <c r="J15" i="15"/>
  <c r="J39" i="18"/>
  <c r="J78" i="15"/>
  <c r="J68" i="15"/>
  <c r="J14" i="15"/>
  <c r="J28" i="15"/>
  <c r="J81" i="15"/>
  <c r="A35" i="52"/>
  <c r="A41" i="52"/>
  <c r="A93" i="52"/>
  <c r="A34" i="52"/>
  <c r="A76" i="52"/>
  <c r="A94" i="52"/>
  <c r="A21" i="52"/>
  <c r="A95" i="52"/>
  <c r="A64" i="52"/>
  <c r="A29" i="52"/>
  <c r="A78" i="52"/>
  <c r="G46" i="52"/>
  <c r="A96" i="52"/>
  <c r="A22" i="52"/>
  <c r="A36" i="52"/>
  <c r="A67" i="52"/>
  <c r="A97" i="52"/>
  <c r="A66" i="52"/>
  <c r="A24" i="52"/>
  <c r="A37" i="52"/>
  <c r="A25" i="52"/>
  <c r="A56" i="52"/>
  <c r="K80" i="15"/>
  <c r="J38" i="15"/>
  <c r="J65" i="15"/>
  <c r="J51" i="15"/>
  <c r="J8" i="15"/>
  <c r="K13" i="15"/>
  <c r="J18" i="15"/>
  <c r="K99" i="18"/>
  <c r="J25" i="15"/>
  <c r="J70" i="15"/>
  <c r="J71" i="15"/>
  <c r="J69" i="15"/>
  <c r="J66" i="15"/>
  <c r="L83" i="18"/>
  <c r="L84" i="18"/>
  <c r="L74" i="18"/>
  <c r="K86" i="18"/>
  <c r="K83" i="18"/>
  <c r="K84" i="18"/>
  <c r="J24" i="18"/>
  <c r="K74" i="18"/>
  <c r="J97" i="18"/>
  <c r="J83" i="18"/>
  <c r="J84" i="18"/>
  <c r="J77" i="18"/>
  <c r="J74" i="18"/>
  <c r="J65" i="18"/>
  <c r="I96" i="18"/>
  <c r="I83" i="18"/>
  <c r="I84" i="18"/>
  <c r="I80" i="18"/>
  <c r="I74" i="18"/>
  <c r="H83" i="18"/>
  <c r="H84" i="18"/>
  <c r="H74" i="18"/>
  <c r="L11" i="75"/>
  <c r="A99" i="18"/>
  <c r="L15" i="75"/>
  <c r="A95" i="18"/>
  <c r="L19" i="75"/>
  <c r="A91" i="18"/>
  <c r="L24" i="75"/>
  <c r="A86" i="18"/>
  <c r="L30" i="75"/>
  <c r="A80" i="18"/>
  <c r="L34" i="75"/>
  <c r="A76" i="18"/>
  <c r="L41" i="75"/>
  <c r="A69" i="18"/>
  <c r="L47" i="75"/>
  <c r="A63" i="18"/>
  <c r="K57" i="18"/>
  <c r="E83" i="18"/>
  <c r="E74" i="18"/>
  <c r="E84" i="18"/>
  <c r="E67" i="18"/>
  <c r="J57" i="18"/>
  <c r="D83" i="18"/>
  <c r="D74" i="18"/>
  <c r="D84" i="18"/>
  <c r="D67" i="18"/>
  <c r="B74" i="18"/>
  <c r="B67" i="18"/>
  <c r="B83" i="18"/>
  <c r="B84" i="18"/>
  <c r="K26" i="15"/>
  <c r="K38" i="15"/>
  <c r="J16" i="15"/>
  <c r="J23" i="15"/>
  <c r="J10" i="15"/>
  <c r="K68" i="15"/>
  <c r="J57" i="15"/>
  <c r="I63" i="15"/>
  <c r="I78" i="15"/>
  <c r="L7" i="75"/>
  <c r="A103" i="18"/>
  <c r="K5" i="15"/>
  <c r="E48" i="15" s="1"/>
  <c r="J73" i="18"/>
  <c r="K88" i="18"/>
  <c r="J72" i="18"/>
  <c r="I65" i="18"/>
  <c r="J34" i="18"/>
  <c r="J70" i="18"/>
  <c r="J64" i="18"/>
  <c r="K34" i="18"/>
  <c r="J88" i="18"/>
  <c r="J78" i="18"/>
  <c r="J63" i="18"/>
  <c r="K82" i="18"/>
  <c r="J101" i="18"/>
  <c r="J91" i="18"/>
  <c r="K12" i="18"/>
  <c r="J19" i="18"/>
  <c r="L77" i="18"/>
  <c r="J51" i="18"/>
  <c r="K103" i="18"/>
  <c r="J21" i="18"/>
  <c r="L101" i="18"/>
  <c r="L82" i="18"/>
  <c r="D91" i="18"/>
  <c r="J48" i="18"/>
  <c r="J66" i="18"/>
  <c r="J86" i="18"/>
  <c r="D69" i="18"/>
  <c r="J12" i="18"/>
  <c r="J47" i="18"/>
  <c r="L100" i="18"/>
  <c r="L78" i="18"/>
  <c r="A27" i="52"/>
  <c r="A69" i="52"/>
  <c r="A92" i="52"/>
  <c r="A38" i="52"/>
  <c r="A68" i="52"/>
  <c r="A99" i="52"/>
  <c r="A39" i="52"/>
  <c r="A23" i="52"/>
  <c r="A32" i="52"/>
  <c r="A40" i="52"/>
  <c r="A65" i="52"/>
  <c r="A74" i="52"/>
  <c r="A80" i="52"/>
  <c r="A50" i="52"/>
  <c r="N46" i="52"/>
  <c r="A98" i="52"/>
  <c r="A20" i="52"/>
  <c r="A28" i="52"/>
  <c r="K96" i="18"/>
  <c r="J44" i="18"/>
  <c r="J36" i="18"/>
  <c r="J81" i="18"/>
  <c r="J14" i="18"/>
  <c r="L71" i="18"/>
  <c r="L65" i="18"/>
  <c r="J43" i="18"/>
  <c r="K78" i="18"/>
  <c r="J100" i="18"/>
  <c r="J99" i="18"/>
  <c r="J82" i="18"/>
  <c r="P12" i="31"/>
  <c r="P15" i="31"/>
  <c r="K5" i="18"/>
  <c r="E57" i="18" s="1"/>
  <c r="D86" i="18"/>
  <c r="D99" i="18"/>
  <c r="D80" i="18"/>
  <c r="D95" i="18"/>
  <c r="D76" i="18"/>
  <c r="J26" i="15"/>
  <c r="J21" i="15"/>
  <c r="J9" i="15"/>
  <c r="J22" i="15"/>
  <c r="J64" i="15"/>
  <c r="I51" i="15"/>
  <c r="L66" i="15"/>
  <c r="L65" i="15"/>
  <c r="L56" i="15"/>
  <c r="K40" i="15"/>
  <c r="L50" i="15"/>
  <c r="K61" i="15"/>
  <c r="J80" i="15"/>
  <c r="J13" i="15"/>
  <c r="J59" i="15"/>
  <c r="I103" i="18"/>
  <c r="I59" i="18"/>
  <c r="A51" i="52"/>
  <c r="A53" i="52"/>
  <c r="A55" i="52"/>
  <c r="A57" i="52"/>
  <c r="A59" i="52"/>
  <c r="C46" i="52"/>
  <c r="K46" i="52"/>
  <c r="J53" i="15"/>
  <c r="J52" i="15"/>
  <c r="J50" i="15"/>
  <c r="I76" i="18"/>
  <c r="J61" i="15"/>
  <c r="I50" i="15"/>
  <c r="I56" i="15"/>
  <c r="I61" i="15"/>
  <c r="J56" i="15"/>
  <c r="J63" i="15"/>
  <c r="J69" i="18"/>
  <c r="J76" i="18"/>
  <c r="J80" i="18"/>
  <c r="J95" i="18"/>
  <c r="K30" i="18"/>
  <c r="E80" i="15"/>
  <c r="O268" i="21"/>
  <c r="H29" i="18"/>
  <c r="H20" i="18"/>
  <c r="H18" i="18"/>
  <c r="J5" i="18"/>
  <c r="D57" i="18" s="1"/>
  <c r="H57" i="18"/>
  <c r="H5" i="18"/>
  <c r="B57" i="18" s="1"/>
  <c r="O260" i="21"/>
  <c r="J5" i="15"/>
  <c r="D48" i="15" s="1"/>
  <c r="H7" i="18"/>
  <c r="J40" i="15"/>
  <c r="K56" i="15"/>
  <c r="K44" i="18"/>
  <c r="K36" i="18"/>
  <c r="K77" i="18"/>
  <c r="K8" i="15"/>
  <c r="L76" i="18"/>
  <c r="K50" i="15"/>
  <c r="I91" i="18"/>
  <c r="J30" i="18"/>
  <c r="E64" i="18"/>
  <c r="K95" i="18"/>
  <c r="K39" i="18"/>
  <c r="K91" i="18"/>
  <c r="J28" i="18"/>
  <c r="K80" i="18"/>
  <c r="K76" i="18"/>
  <c r="J17" i="18"/>
  <c r="K69" i="18"/>
  <c r="K73" i="18"/>
  <c r="K71" i="18"/>
  <c r="D65" i="18"/>
  <c r="D70" i="18"/>
  <c r="D72" i="18"/>
  <c r="D77" i="18"/>
  <c r="D81" i="18"/>
  <c r="E97" i="18"/>
  <c r="E100" i="18"/>
  <c r="B64" i="18"/>
  <c r="B66" i="18"/>
  <c r="B71" i="18"/>
  <c r="B73" i="18"/>
  <c r="B78" i="18"/>
  <c r="B82" i="18"/>
  <c r="B88" i="18"/>
  <c r="B97" i="18"/>
  <c r="K22" i="15"/>
  <c r="K16" i="15"/>
  <c r="J7" i="18"/>
  <c r="I97" i="18"/>
  <c r="I81" i="18"/>
  <c r="I66" i="18"/>
  <c r="K47" i="18"/>
  <c r="K59" i="18"/>
  <c r="J7" i="15"/>
  <c r="I69" i="18"/>
  <c r="E78" i="18"/>
  <c r="L64" i="18"/>
  <c r="K100" i="18"/>
  <c r="K29" i="18"/>
  <c r="K72" i="18"/>
  <c r="J18" i="18"/>
  <c r="K24" i="18"/>
  <c r="E76" i="18"/>
  <c r="K17" i="18"/>
  <c r="I99" i="18"/>
  <c r="I101" i="18"/>
  <c r="B91" i="18"/>
  <c r="H28" i="18"/>
  <c r="I82" i="18"/>
  <c r="B80" i="18"/>
  <c r="H17" i="18"/>
  <c r="I63" i="18"/>
  <c r="I64" i="18"/>
  <c r="L69" i="15"/>
  <c r="L57" i="15"/>
  <c r="K14" i="15"/>
  <c r="I81" i="15"/>
  <c r="L71" i="15"/>
  <c r="L59" i="15"/>
  <c r="L58" i="15"/>
  <c r="K79" i="15"/>
  <c r="E56" i="15"/>
  <c r="L81" i="18"/>
  <c r="K21" i="18"/>
  <c r="L80" i="18"/>
  <c r="K7" i="18"/>
  <c r="J59" i="18"/>
  <c r="I100" i="18"/>
  <c r="I95" i="18"/>
  <c r="B63" i="18"/>
  <c r="B76" i="18"/>
  <c r="B86" i="18"/>
  <c r="B95" i="18"/>
  <c r="B65" i="18"/>
  <c r="B70" i="18"/>
  <c r="B72" i="18"/>
  <c r="B77" i="18"/>
  <c r="B81" i="18"/>
  <c r="B87" i="18"/>
  <c r="B96" i="18"/>
  <c r="B100" i="18"/>
  <c r="K37" i="15"/>
  <c r="L61" i="15"/>
  <c r="K59" i="15"/>
  <c r="K63" i="15"/>
  <c r="I71" i="15"/>
  <c r="I70" i="15"/>
  <c r="I53" i="15"/>
  <c r="K19" i="18"/>
  <c r="K14" i="18"/>
  <c r="K13" i="18"/>
  <c r="K101" i="18"/>
  <c r="K87" i="18"/>
  <c r="H43" i="18"/>
  <c r="E95" i="18"/>
  <c r="E86" i="18"/>
  <c r="L80" i="15"/>
  <c r="K23" i="15"/>
  <c r="E66" i="15"/>
  <c r="K9" i="15"/>
  <c r="L51" i="15"/>
  <c r="K36" i="15"/>
  <c r="K15" i="15"/>
  <c r="I65" i="15"/>
  <c r="K18" i="15"/>
  <c r="K7" i="15"/>
  <c r="L52" i="15"/>
  <c r="L68" i="15"/>
  <c r="K70" i="15"/>
  <c r="L87" i="18"/>
  <c r="K26" i="18"/>
  <c r="J45" i="18"/>
  <c r="K97" i="18"/>
  <c r="K35" i="18"/>
  <c r="J29" i="18"/>
  <c r="K81" i="18"/>
  <c r="E81" i="18"/>
  <c r="J25" i="18"/>
  <c r="K20" i="18"/>
  <c r="J20" i="18"/>
  <c r="E72" i="18"/>
  <c r="K18" i="18"/>
  <c r="K70" i="18"/>
  <c r="E70" i="18"/>
  <c r="J13" i="18"/>
  <c r="H45" i="18"/>
  <c r="K43" i="18"/>
  <c r="L97" i="18"/>
  <c r="L96" i="18"/>
  <c r="K28" i="18"/>
  <c r="E88" i="18"/>
  <c r="E66" i="18"/>
  <c r="K28" i="15"/>
  <c r="L79" i="15"/>
  <c r="L70" i="15"/>
  <c r="L64" i="15"/>
  <c r="E64" i="15"/>
  <c r="L53" i="15"/>
  <c r="K10" i="15"/>
  <c r="E52" i="15"/>
  <c r="J37" i="15"/>
  <c r="J27" i="15"/>
  <c r="I66" i="15"/>
  <c r="L78" i="15"/>
  <c r="L81" i="15"/>
  <c r="K25" i="15"/>
  <c r="K20" i="15"/>
  <c r="L63" i="15"/>
  <c r="K35" i="15"/>
  <c r="J20" i="15"/>
  <c r="I64" i="15"/>
  <c r="K49" i="18"/>
  <c r="L88" i="18"/>
  <c r="K25" i="18"/>
  <c r="L70" i="18"/>
  <c r="L66" i="18"/>
  <c r="J49" i="18"/>
  <c r="K48" i="18"/>
  <c r="K45" i="18"/>
  <c r="J35" i="18"/>
  <c r="K65" i="18"/>
  <c r="I87" i="18"/>
  <c r="I77" i="18"/>
  <c r="I70" i="18"/>
  <c r="H48" i="18"/>
  <c r="H44" i="18"/>
  <c r="H35" i="18"/>
  <c r="H25" i="18"/>
  <c r="H13" i="18"/>
  <c r="L72" i="18"/>
  <c r="E63" i="18"/>
  <c r="K63" i="18"/>
  <c r="K64" i="18"/>
  <c r="K66" i="18"/>
  <c r="B99" i="18"/>
  <c r="I86" i="18"/>
  <c r="I88" i="18"/>
  <c r="H24" i="18"/>
  <c r="I78" i="18"/>
  <c r="I73" i="18"/>
  <c r="I72" i="18"/>
  <c r="I71" i="18"/>
  <c r="B69" i="18"/>
  <c r="H34" i="18"/>
  <c r="L57" i="18"/>
  <c r="E101" i="18"/>
  <c r="E99" i="18"/>
  <c r="E96" i="18"/>
  <c r="E91" i="18"/>
  <c r="E87" i="18"/>
  <c r="E82" i="18"/>
  <c r="E80" i="18"/>
  <c r="E77" i="18"/>
  <c r="E73" i="18"/>
  <c r="E71" i="18"/>
  <c r="E69" i="18"/>
  <c r="E65" i="18"/>
  <c r="K27" i="15"/>
  <c r="D70" i="15"/>
  <c r="J35" i="15"/>
  <c r="K78" i="15"/>
  <c r="K81" i="15"/>
  <c r="D50" i="15"/>
  <c r="D51" i="15"/>
  <c r="E57" i="15"/>
  <c r="E59" i="15"/>
  <c r="D63" i="15"/>
  <c r="E68" i="15"/>
  <c r="E71" i="15"/>
  <c r="E103" i="18"/>
  <c r="L59" i="18"/>
  <c r="K51" i="18"/>
  <c r="L63" i="18"/>
  <c r="L69" i="18"/>
  <c r="L86" i="18"/>
  <c r="L91" i="18"/>
  <c r="L95" i="18"/>
  <c r="L99" i="18"/>
  <c r="E79" i="15"/>
  <c r="H36" i="18"/>
  <c r="H21" i="18"/>
  <c r="H14" i="18"/>
  <c r="H12" i="18"/>
  <c r="H77" i="18"/>
  <c r="K69" i="15"/>
  <c r="K66" i="15"/>
  <c r="I79" i="15"/>
  <c r="H49" i="18"/>
  <c r="H26" i="18"/>
  <c r="H87" i="18"/>
  <c r="H65" i="18"/>
  <c r="D87" i="18"/>
  <c r="D96" i="18"/>
  <c r="D100" i="18"/>
  <c r="D103" i="18"/>
  <c r="K64" i="15"/>
  <c r="K65" i="15"/>
  <c r="J47" i="52"/>
  <c r="V47" i="52" s="1"/>
  <c r="AH47" i="52" s="1"/>
  <c r="J89" i="52"/>
  <c r="V89" i="52" s="1"/>
  <c r="AH89" i="52" s="1"/>
  <c r="H30" i="18"/>
  <c r="H19" i="18"/>
  <c r="P14" i="31"/>
  <c r="K71" i="15"/>
  <c r="D80" i="15"/>
  <c r="K57" i="15"/>
  <c r="I80" i="15"/>
  <c r="I52" i="15"/>
  <c r="K58" i="15"/>
  <c r="K53" i="15"/>
  <c r="K52" i="15"/>
  <c r="K51" i="15"/>
  <c r="I69" i="15"/>
  <c r="I59" i="15"/>
  <c r="I58" i="15"/>
  <c r="I57" i="15"/>
  <c r="E51" i="15"/>
  <c r="E53" i="15"/>
  <c r="D57" i="15"/>
  <c r="E58" i="15"/>
  <c r="E61" i="15"/>
  <c r="E63" i="15"/>
  <c r="E65" i="15"/>
  <c r="D68" i="15"/>
  <c r="E69" i="15"/>
  <c r="E70" i="15"/>
  <c r="E78" i="15"/>
  <c r="E81" i="15"/>
  <c r="E83" i="15"/>
  <c r="H39" i="18"/>
  <c r="H47" i="18"/>
  <c r="H82" i="18"/>
  <c r="H88" i="18"/>
  <c r="H97" i="18"/>
  <c r="H73" i="18"/>
  <c r="D59" i="18"/>
  <c r="E50" i="15"/>
  <c r="D52" i="15"/>
  <c r="D53" i="15"/>
  <c r="D58" i="15"/>
  <c r="D59" i="15"/>
  <c r="D64" i="15"/>
  <c r="D65" i="15"/>
  <c r="D71" i="15"/>
  <c r="D78" i="15"/>
  <c r="D64" i="18"/>
  <c r="D66" i="18"/>
  <c r="D71" i="18"/>
  <c r="D73" i="18"/>
  <c r="D78" i="18"/>
  <c r="D82" i="18"/>
  <c r="D88" i="18"/>
  <c r="D97" i="18"/>
  <c r="D101" i="18"/>
  <c r="D63" i="18"/>
  <c r="L47" i="52"/>
  <c r="X47" i="52" s="1"/>
  <c r="AJ47" i="52" s="1"/>
  <c r="L89" i="52"/>
  <c r="X89" i="52" s="1"/>
  <c r="AJ89" i="52" s="1"/>
  <c r="H66" i="18"/>
  <c r="H70" i="18"/>
  <c r="H81" i="18"/>
  <c r="H100" i="18"/>
  <c r="H101" i="18"/>
  <c r="H71" i="18"/>
  <c r="E59" i="18"/>
  <c r="D56" i="15"/>
  <c r="D61" i="15"/>
  <c r="D66" i="15"/>
  <c r="D81" i="15"/>
  <c r="H78" i="18"/>
  <c r="H72" i="18"/>
  <c r="D69" i="15"/>
  <c r="D79" i="15"/>
  <c r="D83" i="15"/>
  <c r="F47" i="52"/>
  <c r="R47" i="52" s="1"/>
  <c r="AD47" i="52" s="1"/>
  <c r="H47" i="52"/>
  <c r="T47" i="52" s="1"/>
  <c r="AF47" i="52" s="1"/>
  <c r="K47" i="52"/>
  <c r="W47" i="52" s="1"/>
  <c r="AI47" i="52" s="1"/>
  <c r="F89" i="52"/>
  <c r="R89" i="52" s="1"/>
  <c r="AD89" i="52" s="1"/>
  <c r="H89" i="52"/>
  <c r="T89" i="52" s="1"/>
  <c r="AF89" i="52" s="1"/>
  <c r="K89" i="52"/>
  <c r="W89" i="52" s="1"/>
  <c r="AI89" i="52" s="1"/>
  <c r="F7" i="44" l="1"/>
  <c r="F8" i="44"/>
  <c r="F9" i="44"/>
  <c r="F18" i="44"/>
  <c r="F10" i="44"/>
  <c r="F11" i="44"/>
  <c r="F12" i="44"/>
  <c r="F13" i="44"/>
  <c r="B5" i="44"/>
  <c r="B11" i="44"/>
  <c r="B6" i="44"/>
  <c r="B8" i="44"/>
  <c r="B10" i="44"/>
  <c r="B12" i="44"/>
  <c r="B7" i="44"/>
  <c r="B9" i="44"/>
  <c r="B13" i="44"/>
  <c r="D6" i="44"/>
  <c r="D8" i="44"/>
  <c r="F50" i="44" s="1"/>
  <c r="D10" i="44"/>
  <c r="D12" i="44"/>
  <c r="D5" i="44"/>
  <c r="F33" i="44" s="1"/>
  <c r="D9" i="44"/>
  <c r="D13" i="44"/>
  <c r="D7" i="44"/>
  <c r="D11" i="44"/>
  <c r="C18" i="44"/>
  <c r="C7" i="44"/>
  <c r="C11" i="44"/>
  <c r="C6" i="44"/>
  <c r="C8" i="44"/>
  <c r="C10" i="44"/>
  <c r="C12" i="44"/>
  <c r="B54" i="44" s="1"/>
  <c r="C5" i="44"/>
  <c r="C9" i="44"/>
  <c r="C13" i="44"/>
  <c r="E18" i="44"/>
  <c r="E6" i="44"/>
  <c r="E34" i="44" s="1"/>
  <c r="E8" i="44"/>
  <c r="E36" i="44" s="1"/>
  <c r="E10" i="44"/>
  <c r="E12" i="44"/>
  <c r="E7" i="44"/>
  <c r="E11" i="44"/>
  <c r="D53" i="44" s="1"/>
  <c r="E5" i="44"/>
  <c r="E47" i="44" s="1"/>
  <c r="E9" i="44"/>
  <c r="E51" i="44" s="1"/>
  <c r="E13" i="44"/>
  <c r="E32" i="44"/>
  <c r="E46" i="44"/>
  <c r="C32" i="44"/>
  <c r="B18" i="44"/>
  <c r="B32" i="44"/>
  <c r="L231" i="21"/>
  <c r="L261" i="21" s="1"/>
  <c r="L234" i="21"/>
  <c r="L264" i="21" s="1"/>
  <c r="L235" i="21"/>
  <c r="L265" i="21" s="1"/>
  <c r="L233" i="21"/>
  <c r="L263" i="21" s="1"/>
  <c r="L232" i="21"/>
  <c r="L262" i="21" s="1"/>
  <c r="L236" i="21"/>
  <c r="L266" i="21" s="1"/>
  <c r="B46" i="44"/>
  <c r="F46" i="44"/>
  <c r="F32" i="44"/>
  <c r="D32" i="44"/>
  <c r="D46" i="44"/>
  <c r="D18" i="44"/>
  <c r="C46" i="44"/>
  <c r="J11" i="78"/>
  <c r="J48" i="78" s="1"/>
  <c r="J85" i="78" s="1"/>
  <c r="U28" i="78"/>
  <c r="U65" i="78" s="1"/>
  <c r="U102" i="78" s="1"/>
  <c r="U11" i="78"/>
  <c r="U48" i="78" s="1"/>
  <c r="U85" i="78" s="1"/>
  <c r="U32" i="78"/>
  <c r="U69" i="78" s="1"/>
  <c r="U106" i="78" s="1"/>
  <c r="J24" i="78"/>
  <c r="J61" i="78" s="1"/>
  <c r="J98" i="78" s="1"/>
  <c r="U24" i="78"/>
  <c r="U61" i="78" s="1"/>
  <c r="U98" i="78" s="1"/>
  <c r="J19" i="78"/>
  <c r="J56" i="78" s="1"/>
  <c r="J93" i="78" s="1"/>
  <c r="J16" i="78"/>
  <c r="J53" i="78" s="1"/>
  <c r="J90" i="78" s="1"/>
  <c r="U19" i="78"/>
  <c r="U56" i="78" s="1"/>
  <c r="U93" i="78" s="1"/>
  <c r="U16" i="78"/>
  <c r="U53" i="78" s="1"/>
  <c r="U90" i="78" s="1"/>
  <c r="J28" i="78"/>
  <c r="J65" i="78" s="1"/>
  <c r="J102" i="78" s="1"/>
  <c r="U17" i="78"/>
  <c r="U54" i="78" s="1"/>
  <c r="U91" i="78" s="1"/>
  <c r="B36" i="44" l="1"/>
  <c r="F49" i="44"/>
  <c r="E52" i="44"/>
  <c r="F52" i="44"/>
  <c r="E49" i="44"/>
  <c r="B53" i="44"/>
  <c r="E40" i="44"/>
  <c r="E35" i="44"/>
  <c r="E38" i="44"/>
  <c r="E54" i="44"/>
  <c r="E39" i="44"/>
  <c r="E33" i="44"/>
  <c r="B39" i="44"/>
  <c r="E53" i="44"/>
  <c r="E37" i="44"/>
  <c r="F40" i="44"/>
  <c r="B40" i="44"/>
  <c r="F15" i="44"/>
  <c r="F19" i="44" s="1"/>
  <c r="E50" i="44"/>
  <c r="E41" i="44"/>
  <c r="E15" i="44"/>
  <c r="E25" i="44" s="1"/>
  <c r="E48" i="44"/>
  <c r="D48" i="44"/>
  <c r="E55" i="44"/>
  <c r="B48" i="44"/>
  <c r="B34" i="44"/>
  <c r="B38" i="44"/>
  <c r="B50" i="44"/>
  <c r="B55" i="44"/>
  <c r="C15" i="44"/>
  <c r="C20" i="44" s="1"/>
  <c r="B15" i="44"/>
  <c r="B21" i="44" s="1"/>
  <c r="B49" i="44"/>
  <c r="B51" i="44"/>
  <c r="B52" i="44"/>
  <c r="B41" i="44"/>
  <c r="B35" i="44"/>
  <c r="B33" i="44"/>
  <c r="B47" i="44"/>
  <c r="B37" i="44"/>
  <c r="C37" i="44"/>
  <c r="C41" i="44"/>
  <c r="D34" i="44"/>
  <c r="D36" i="44"/>
  <c r="C39" i="44"/>
  <c r="D39" i="44"/>
  <c r="F53" i="44"/>
  <c r="D55" i="44"/>
  <c r="F38" i="44"/>
  <c r="C38" i="44"/>
  <c r="D54" i="44"/>
  <c r="C40" i="44"/>
  <c r="D47" i="44"/>
  <c r="D52" i="44"/>
  <c r="C33" i="44"/>
  <c r="F51" i="44"/>
  <c r="F55" i="44"/>
  <c r="D37" i="44"/>
  <c r="C35" i="44"/>
  <c r="F35" i="44"/>
  <c r="D38" i="44"/>
  <c r="C51" i="44"/>
  <c r="F37" i="44"/>
  <c r="D49" i="44"/>
  <c r="C36" i="44"/>
  <c r="D35" i="44"/>
  <c r="C53" i="44"/>
  <c r="D50" i="44"/>
  <c r="C48" i="44"/>
  <c r="F34" i="44"/>
  <c r="C54" i="44"/>
  <c r="D40" i="44"/>
  <c r="D15" i="44"/>
  <c r="D22" i="44" s="1"/>
  <c r="C47" i="44"/>
  <c r="F54" i="44"/>
  <c r="F39" i="44"/>
  <c r="F47" i="44"/>
  <c r="C50" i="44"/>
  <c r="F36" i="44"/>
  <c r="C49" i="44"/>
  <c r="C55" i="44"/>
  <c r="D41" i="44"/>
  <c r="F41" i="44"/>
  <c r="C34" i="44"/>
  <c r="C52" i="44"/>
  <c r="F48" i="44"/>
  <c r="D51" i="44"/>
  <c r="D33" i="44"/>
  <c r="J19" i="71"/>
  <c r="J16" i="71"/>
  <c r="J11" i="71"/>
  <c r="J32" i="78"/>
  <c r="J69" i="78" s="1"/>
  <c r="J106" i="78" s="1"/>
  <c r="J24" i="71"/>
  <c r="J28" i="71"/>
  <c r="J22" i="78"/>
  <c r="J59" i="78" s="1"/>
  <c r="J96" i="78" s="1"/>
  <c r="U29" i="78"/>
  <c r="U66" i="78" s="1"/>
  <c r="U103" i="78" s="1"/>
  <c r="U22" i="78"/>
  <c r="U59" i="78" s="1"/>
  <c r="U96" i="78" s="1"/>
  <c r="J9" i="78"/>
  <c r="J46" i="78" s="1"/>
  <c r="J83" i="78" s="1"/>
  <c r="U15" i="78"/>
  <c r="U52" i="78" s="1"/>
  <c r="U89" i="78" s="1"/>
  <c r="J10" i="78"/>
  <c r="J47" i="78" s="1"/>
  <c r="J84" i="78" s="1"/>
  <c r="U25" i="78"/>
  <c r="U62" i="78" s="1"/>
  <c r="U99" i="78" s="1"/>
  <c r="J14" i="78"/>
  <c r="J51" i="78" s="1"/>
  <c r="J88" i="78" s="1"/>
  <c r="U21" i="78"/>
  <c r="U58" i="78" s="1"/>
  <c r="U95" i="78" s="1"/>
  <c r="U13" i="78"/>
  <c r="U50" i="78" s="1"/>
  <c r="U87" i="78" s="1"/>
  <c r="J13" i="78"/>
  <c r="J50" i="78" s="1"/>
  <c r="J87" i="78" s="1"/>
  <c r="J21" i="78"/>
  <c r="J58" i="78" s="1"/>
  <c r="J95" i="78" s="1"/>
  <c r="J25" i="78"/>
  <c r="J62" i="78" s="1"/>
  <c r="J99" i="78" s="1"/>
  <c r="U14" i="78"/>
  <c r="U51" i="78" s="1"/>
  <c r="U88" i="78" s="1"/>
  <c r="U9" i="78"/>
  <c r="U46" i="78" s="1"/>
  <c r="U83" i="78" s="1"/>
  <c r="J29" i="78"/>
  <c r="J66" i="78" s="1"/>
  <c r="J103" i="78" s="1"/>
  <c r="J15" i="78"/>
  <c r="J52" i="78" s="1"/>
  <c r="J89" i="78" s="1"/>
  <c r="U20" i="78"/>
  <c r="U57" i="78" s="1"/>
  <c r="U94" i="78" s="1"/>
  <c r="J20" i="78"/>
  <c r="J57" i="78" s="1"/>
  <c r="J94" i="78" s="1"/>
  <c r="U10" i="78"/>
  <c r="U47" i="78" s="1"/>
  <c r="U84" i="78" s="1"/>
  <c r="F21" i="44" l="1"/>
  <c r="C29" i="44"/>
  <c r="F27" i="44"/>
  <c r="B22" i="44"/>
  <c r="B27" i="44"/>
  <c r="F29" i="44"/>
  <c r="B25" i="44"/>
  <c r="C21" i="44"/>
  <c r="F25" i="44"/>
  <c r="E29" i="44"/>
  <c r="E21" i="44"/>
  <c r="C23" i="44"/>
  <c r="E20" i="44"/>
  <c r="E43" i="44"/>
  <c r="B43" i="44"/>
  <c r="F23" i="44"/>
  <c r="F22" i="44"/>
  <c r="F26" i="44"/>
  <c r="E57" i="44"/>
  <c r="E24" i="44"/>
  <c r="E19" i="44"/>
  <c r="E23" i="44"/>
  <c r="E27" i="44"/>
  <c r="B24" i="44"/>
  <c r="E26" i="44"/>
  <c r="F20" i="44"/>
  <c r="E22" i="44"/>
  <c r="B57" i="44"/>
  <c r="B26" i="44"/>
  <c r="B19" i="44"/>
  <c r="B29" i="44"/>
  <c r="B23" i="44"/>
  <c r="F24" i="44"/>
  <c r="C27" i="44"/>
  <c r="B20" i="44"/>
  <c r="C22" i="44"/>
  <c r="C26" i="44"/>
  <c r="C24" i="44"/>
  <c r="C25" i="44"/>
  <c r="C19" i="44"/>
  <c r="J53" i="71"/>
  <c r="J90" i="71" s="1"/>
  <c r="Q45" i="31"/>
  <c r="J65" i="71"/>
  <c r="J102" i="71" s="1"/>
  <c r="Q57" i="31"/>
  <c r="J61" i="71"/>
  <c r="J98" i="71" s="1"/>
  <c r="Q53" i="31"/>
  <c r="J48" i="71"/>
  <c r="J85" i="71" s="1"/>
  <c r="Q40" i="31"/>
  <c r="J56" i="71"/>
  <c r="J93" i="71" s="1"/>
  <c r="Q48" i="31"/>
  <c r="D27" i="44"/>
  <c r="D26" i="44"/>
  <c r="D19" i="44"/>
  <c r="D43" i="44"/>
  <c r="D23" i="44"/>
  <c r="D21" i="44"/>
  <c r="D25" i="44"/>
  <c r="C57" i="44"/>
  <c r="D29" i="44"/>
  <c r="F43" i="44"/>
  <c r="C43" i="44"/>
  <c r="D24" i="44"/>
  <c r="D57" i="44"/>
  <c r="D20" i="44"/>
  <c r="F57" i="44"/>
  <c r="T72" i="78"/>
  <c r="T109" i="78"/>
  <c r="J32" i="71"/>
  <c r="U35" i="78"/>
  <c r="U72" i="78" s="1"/>
  <c r="U109" i="78" s="1"/>
  <c r="J21" i="71"/>
  <c r="J14" i="71"/>
  <c r="J29" i="71"/>
  <c r="J22" i="71"/>
  <c r="J20" i="71"/>
  <c r="J10" i="71"/>
  <c r="J25" i="71"/>
  <c r="J13" i="71"/>
  <c r="J15" i="71"/>
  <c r="J35" i="71" l="1"/>
  <c r="J72" i="71" s="1"/>
  <c r="J57" i="71"/>
  <c r="J94" i="71" s="1"/>
  <c r="Q49" i="31"/>
  <c r="J66" i="71"/>
  <c r="J103" i="71" s="1"/>
  <c r="Q58" i="31"/>
  <c r="J59" i="71"/>
  <c r="J96" i="71" s="1"/>
  <c r="Q51" i="31"/>
  <c r="J58" i="71"/>
  <c r="J95" i="71" s="1"/>
  <c r="Q50" i="31"/>
  <c r="J51" i="71"/>
  <c r="J88" i="71" s="1"/>
  <c r="Q43" i="31"/>
  <c r="J50" i="71"/>
  <c r="J87" i="71" s="1"/>
  <c r="Q42" i="31"/>
  <c r="J69" i="71"/>
  <c r="J106" i="71" s="1"/>
  <c r="Q61" i="31"/>
  <c r="J52" i="71"/>
  <c r="J89" i="71" s="1"/>
  <c r="Q44" i="31"/>
  <c r="J62" i="71"/>
  <c r="J99" i="71" s="1"/>
  <c r="Q54" i="31"/>
  <c r="J47" i="71"/>
  <c r="J84" i="71" s="1"/>
  <c r="Q39" i="31"/>
  <c r="J46" i="71"/>
  <c r="J83" i="71" s="1"/>
  <c r="J35" i="78"/>
  <c r="J72" i="78" s="1"/>
  <c r="J109" i="78" s="1"/>
  <c r="J109" i="71" l="1"/>
  <c r="Q64" i="31"/>
  <c r="I47" i="16" l="1"/>
  <c r="I50" i="16"/>
  <c r="I52" i="16"/>
  <c r="I49" i="16"/>
  <c r="I54" i="16"/>
  <c r="C85" i="60"/>
  <c r="I85" i="60" s="1"/>
  <c r="O85" i="60" s="1"/>
  <c r="U85" i="60" s="1"/>
  <c r="J26" i="16" l="1"/>
  <c r="J46" i="16" s="1"/>
  <c r="I48" i="16"/>
  <c r="I51" i="16"/>
  <c r="J13" i="16"/>
  <c r="J31" i="16" s="1"/>
  <c r="J51" i="16" s="1"/>
  <c r="J10" i="16"/>
  <c r="J28" i="16" s="1"/>
  <c r="J48" i="16" s="1"/>
  <c r="J9" i="16"/>
  <c r="J27" i="16" s="1"/>
  <c r="J47" i="16" s="1"/>
  <c r="J11" i="16"/>
  <c r="J29" i="16" s="1"/>
  <c r="J49" i="16" s="1"/>
  <c r="J14" i="16"/>
  <c r="J32" i="16" s="1"/>
  <c r="J52" i="16" s="1"/>
  <c r="I18" i="16"/>
  <c r="I36" i="16" s="1"/>
  <c r="J12" i="16"/>
  <c r="J30" i="16" s="1"/>
  <c r="J50" i="16" s="1"/>
  <c r="J15" i="16"/>
  <c r="J33" i="16" s="1"/>
  <c r="J53" i="16" s="1"/>
  <c r="C58" i="60"/>
  <c r="I58" i="60" s="1"/>
  <c r="O58" i="60" s="1"/>
  <c r="U58" i="60" s="1"/>
  <c r="I6" i="60"/>
  <c r="O6" i="60" s="1"/>
  <c r="U6" i="60" s="1"/>
  <c r="A1" i="60"/>
  <c r="Y80" i="60"/>
  <c r="T89" i="60"/>
  <c r="H87" i="60"/>
  <c r="T61" i="60"/>
  <c r="N62" i="60"/>
  <c r="H63" i="60"/>
  <c r="T37" i="60"/>
  <c r="T21" i="60"/>
  <c r="N47" i="60"/>
  <c r="N31" i="60"/>
  <c r="N15" i="60"/>
  <c r="H41" i="60"/>
  <c r="H25" i="60"/>
  <c r="H9" i="60"/>
  <c r="B68" i="60"/>
  <c r="B15" i="60"/>
  <c r="B31" i="60"/>
  <c r="B47" i="60"/>
  <c r="N87" i="60"/>
  <c r="T68" i="60"/>
  <c r="N69" i="60"/>
  <c r="H70" i="60"/>
  <c r="T44" i="60"/>
  <c r="T28" i="60"/>
  <c r="T12" i="60"/>
  <c r="N38" i="60"/>
  <c r="N22" i="60"/>
  <c r="H48" i="60"/>
  <c r="H32" i="60"/>
  <c r="H16" i="60"/>
  <c r="B61" i="60"/>
  <c r="B60" i="60"/>
  <c r="B24" i="60"/>
  <c r="B40" i="60"/>
  <c r="N90" i="60"/>
  <c r="T71" i="60"/>
  <c r="N72" i="60"/>
  <c r="H73" i="60"/>
  <c r="T47" i="60"/>
  <c r="T31" i="60"/>
  <c r="T15" i="60"/>
  <c r="N41" i="60"/>
  <c r="N25" i="60"/>
  <c r="N9" i="60"/>
  <c r="H35" i="60"/>
  <c r="H19" i="60"/>
  <c r="B92" i="60"/>
  <c r="B74" i="60"/>
  <c r="B21" i="60"/>
  <c r="B37" i="60"/>
  <c r="T90" i="60"/>
  <c r="H88" i="60"/>
  <c r="T62" i="60"/>
  <c r="N63" i="60"/>
  <c r="H64" i="60"/>
  <c r="T38" i="60"/>
  <c r="T22" i="60"/>
  <c r="N48" i="60"/>
  <c r="N32" i="60"/>
  <c r="N16" i="60"/>
  <c r="H42" i="60"/>
  <c r="H26" i="60"/>
  <c r="H10" i="60"/>
  <c r="B67" i="60"/>
  <c r="B14" i="60"/>
  <c r="B30" i="60"/>
  <c r="B46" i="60"/>
  <c r="T94" i="60"/>
  <c r="H91" i="60"/>
  <c r="T65" i="60"/>
  <c r="N66" i="60"/>
  <c r="H67" i="60"/>
  <c r="T41" i="60"/>
  <c r="T25" i="60"/>
  <c r="T9" i="60"/>
  <c r="N35" i="60"/>
  <c r="N19" i="60"/>
  <c r="H45" i="60"/>
  <c r="H29" i="60"/>
  <c r="H13" i="60"/>
  <c r="B64" i="60"/>
  <c r="B11" i="60"/>
  <c r="B27" i="60"/>
  <c r="B43" i="60"/>
  <c r="N91" i="60"/>
  <c r="T72" i="60"/>
  <c r="N73" i="60"/>
  <c r="H74" i="60"/>
  <c r="T48" i="60"/>
  <c r="T32" i="60"/>
  <c r="T16" i="60"/>
  <c r="N42" i="60"/>
  <c r="N26" i="60"/>
  <c r="N10" i="60"/>
  <c r="H36" i="60"/>
  <c r="H20" i="60"/>
  <c r="B91" i="60"/>
  <c r="B73" i="60"/>
  <c r="B20" i="60"/>
  <c r="B36" i="60"/>
  <c r="T87" i="60"/>
  <c r="T75" i="60"/>
  <c r="N77" i="60"/>
  <c r="N60" i="60"/>
  <c r="H61" i="60"/>
  <c r="T35" i="60"/>
  <c r="T19" i="60"/>
  <c r="N45" i="60"/>
  <c r="N29" i="60"/>
  <c r="N13" i="60"/>
  <c r="H39" i="60"/>
  <c r="H23" i="60"/>
  <c r="B88" i="60"/>
  <c r="B70" i="60"/>
  <c r="B17" i="60"/>
  <c r="B33" i="60"/>
  <c r="B50" i="60"/>
  <c r="H92" i="60"/>
  <c r="T66" i="60"/>
  <c r="N67" i="60"/>
  <c r="H68" i="60"/>
  <c r="T42" i="60"/>
  <c r="T26" i="60"/>
  <c r="T10" i="60"/>
  <c r="N36" i="60"/>
  <c r="N20" i="60"/>
  <c r="H46" i="60"/>
  <c r="H30" i="60"/>
  <c r="H14" i="60"/>
  <c r="B63" i="60"/>
  <c r="B26" i="60"/>
  <c r="A80" i="60"/>
  <c r="Y53" i="60"/>
  <c r="A53" i="60"/>
  <c r="Y1" i="60"/>
  <c r="N88" i="60"/>
  <c r="T69" i="60"/>
  <c r="N70" i="60"/>
  <c r="H71" i="60"/>
  <c r="T45" i="60"/>
  <c r="T29" i="60"/>
  <c r="T13" i="60"/>
  <c r="N39" i="60"/>
  <c r="N23" i="60"/>
  <c r="H50" i="60"/>
  <c r="H33" i="60"/>
  <c r="H17" i="60"/>
  <c r="B87" i="60"/>
  <c r="B77" i="60"/>
  <c r="B23" i="60"/>
  <c r="B39" i="60"/>
  <c r="T88" i="60"/>
  <c r="T77" i="60"/>
  <c r="T60" i="60"/>
  <c r="N61" i="60"/>
  <c r="H62" i="60"/>
  <c r="T36" i="60"/>
  <c r="T20" i="60"/>
  <c r="N46" i="60"/>
  <c r="N30" i="60"/>
  <c r="N14" i="60"/>
  <c r="H40" i="60"/>
  <c r="H24" i="60"/>
  <c r="H8" i="60"/>
  <c r="B69" i="60"/>
  <c r="B16" i="60"/>
  <c r="B32" i="60"/>
  <c r="T91" i="60"/>
  <c r="H89" i="60"/>
  <c r="T63" i="60"/>
  <c r="N64" i="60"/>
  <c r="H65" i="60"/>
  <c r="T39" i="60"/>
  <c r="T23" i="60"/>
  <c r="N50" i="60"/>
  <c r="N33" i="60"/>
  <c r="N17" i="60"/>
  <c r="H43" i="60"/>
  <c r="H27" i="60"/>
  <c r="H11" i="60"/>
  <c r="B66" i="60"/>
  <c r="B13" i="60"/>
  <c r="B29" i="60"/>
  <c r="B45" i="60"/>
  <c r="N89" i="60"/>
  <c r="T70" i="60"/>
  <c r="N71" i="60"/>
  <c r="H72" i="60"/>
  <c r="T46" i="60"/>
  <c r="T30" i="60"/>
  <c r="T14" i="60"/>
  <c r="N40" i="60"/>
  <c r="N24" i="60"/>
  <c r="N8" i="60"/>
  <c r="H34" i="60"/>
  <c r="H18" i="60"/>
  <c r="B94" i="60"/>
  <c r="B75" i="60"/>
  <c r="B22" i="60"/>
  <c r="B38" i="60"/>
  <c r="B44" i="60"/>
  <c r="N92" i="60"/>
  <c r="T73" i="60"/>
  <c r="N74" i="60"/>
  <c r="H75" i="60"/>
  <c r="T50" i="60"/>
  <c r="T33" i="60"/>
  <c r="T17" i="60"/>
  <c r="N43" i="60"/>
  <c r="N27" i="60"/>
  <c r="N11" i="60"/>
  <c r="H37" i="60"/>
  <c r="H21" i="60"/>
  <c r="B90" i="60"/>
  <c r="B72" i="60"/>
  <c r="B19" i="60"/>
  <c r="B35" i="60"/>
  <c r="T92" i="60"/>
  <c r="H90" i="60"/>
  <c r="T64" i="60"/>
  <c r="N65" i="60"/>
  <c r="H66" i="60"/>
  <c r="T40" i="60"/>
  <c r="T24" i="60"/>
  <c r="T8" i="60"/>
  <c r="N34" i="60"/>
  <c r="N18" i="60"/>
  <c r="H44" i="60"/>
  <c r="H28" i="60"/>
  <c r="H12" i="60"/>
  <c r="B65" i="60"/>
  <c r="B12" i="60"/>
  <c r="B28" i="60"/>
  <c r="B48" i="60"/>
  <c r="H94" i="60"/>
  <c r="T67" i="60"/>
  <c r="N68" i="60"/>
  <c r="H69" i="60"/>
  <c r="T43" i="60"/>
  <c r="T27" i="60"/>
  <c r="T11" i="60"/>
  <c r="N37" i="60"/>
  <c r="N21" i="60"/>
  <c r="H47" i="60"/>
  <c r="H31" i="60"/>
  <c r="H15" i="60"/>
  <c r="B62" i="60"/>
  <c r="B9" i="60"/>
  <c r="B25" i="60"/>
  <c r="B41" i="60"/>
  <c r="N94" i="60"/>
  <c r="T74" i="60"/>
  <c r="N75" i="60"/>
  <c r="H77" i="60"/>
  <c r="H60" i="60"/>
  <c r="T34" i="60"/>
  <c r="T18" i="60"/>
  <c r="N44" i="60"/>
  <c r="N28" i="60"/>
  <c r="N12" i="60"/>
  <c r="H38" i="60"/>
  <c r="H22" i="60"/>
  <c r="B89" i="60"/>
  <c r="B71" i="60"/>
  <c r="B18" i="60"/>
  <c r="B34" i="60"/>
  <c r="B10" i="60"/>
  <c r="B42" i="60"/>
  <c r="B8" i="60"/>
  <c r="I56" i="16" l="1"/>
  <c r="J18" i="16"/>
  <c r="J36" i="16" s="1"/>
  <c r="J56" i="16" s="1"/>
  <c r="Q15" i="31"/>
  <c r="Q11" i="31"/>
  <c r="Q13" i="31"/>
  <c r="Q9" i="31"/>
  <c r="Q14" i="31"/>
  <c r="Q8" i="31"/>
  <c r="Q10" i="31"/>
  <c r="Q12" i="31"/>
  <c r="B61" i="12" l="1"/>
  <c r="B89" i="12"/>
  <c r="A31" i="11"/>
  <c r="B19" i="11"/>
  <c r="M230" i="21" s="1"/>
  <c r="B31" i="12"/>
  <c r="M4" i="11"/>
  <c r="B44" i="11"/>
  <c r="B5" i="15"/>
  <c r="A1" i="15" s="1"/>
  <c r="A59" i="12"/>
  <c r="A257" i="21" l="1"/>
  <c r="A227" i="21"/>
  <c r="B87" i="15"/>
  <c r="M6" i="19" s="1"/>
  <c r="A1" i="19" s="1"/>
  <c r="B110" i="15"/>
  <c r="M19" i="19" s="1"/>
  <c r="B104" i="15"/>
  <c r="M25" i="19" s="1"/>
  <c r="B118" i="15"/>
  <c r="M11" i="19" s="1"/>
  <c r="B111" i="15"/>
  <c r="M18" i="19" s="1"/>
  <c r="B105" i="15"/>
  <c r="M24" i="19" s="1"/>
  <c r="B112" i="15"/>
  <c r="M17" i="19" s="1"/>
  <c r="B119" i="15"/>
  <c r="M10" i="19" s="1"/>
  <c r="B113" i="15"/>
  <c r="M16" i="19" s="1"/>
  <c r="B108" i="15"/>
  <c r="M21" i="19" s="1"/>
  <c r="B114" i="15"/>
  <c r="M15" i="19" s="1"/>
  <c r="B120" i="15"/>
  <c r="M9" i="19" s="1"/>
  <c r="B93" i="15"/>
  <c r="M36" i="19" s="1"/>
  <c r="B109" i="15"/>
  <c r="M20" i="19" s="1"/>
  <c r="B115" i="15"/>
  <c r="M14" i="19" s="1"/>
  <c r="B103" i="15"/>
  <c r="M26" i="19" s="1"/>
  <c r="B65" i="15"/>
  <c r="A44" i="15"/>
  <c r="B81" i="15"/>
  <c r="B71" i="15"/>
  <c r="B76" i="15"/>
  <c r="B74" i="15"/>
  <c r="B75" i="15"/>
  <c r="B72" i="15"/>
  <c r="B73" i="15"/>
  <c r="B54" i="15"/>
  <c r="H5" i="15"/>
  <c r="B48" i="15" s="1"/>
  <c r="H48" i="15"/>
  <c r="B93" i="12" l="1"/>
  <c r="B66" i="12"/>
  <c r="B15" i="15"/>
  <c r="B97" i="15" s="1"/>
  <c r="M32" i="19" s="1"/>
  <c r="B47" i="11"/>
  <c r="M7" i="11"/>
  <c r="B18" i="15"/>
  <c r="B100" i="15" s="1"/>
  <c r="M29" i="19" s="1"/>
  <c r="B67" i="12"/>
  <c r="B16" i="15"/>
  <c r="B98" i="15" s="1"/>
  <c r="M31" i="19" s="1"/>
  <c r="B94" i="12"/>
  <c r="B50" i="11"/>
  <c r="B35" i="15"/>
  <c r="B117" i="15" s="1"/>
  <c r="M12" i="19" s="1"/>
  <c r="M10" i="11"/>
  <c r="B13" i="15"/>
  <c r="B95" i="15" s="1"/>
  <c r="M34" i="19" s="1"/>
  <c r="B46" i="11"/>
  <c r="M6" i="11"/>
  <c r="B104" i="12"/>
  <c r="B100" i="12"/>
  <c r="B97" i="12"/>
  <c r="B70" i="12"/>
  <c r="B95" i="12"/>
  <c r="B68" i="12"/>
  <c r="B10" i="15"/>
  <c r="B92" i="15" s="1"/>
  <c r="M37" i="19" s="1"/>
  <c r="B101" i="12"/>
  <c r="B90" i="12"/>
  <c r="B8" i="15"/>
  <c r="B90" i="15" s="1"/>
  <c r="M39" i="19" s="1"/>
  <c r="B9" i="15"/>
  <c r="B91" i="12"/>
  <c r="B64" i="12"/>
  <c r="B20" i="15"/>
  <c r="B102" i="15" s="1"/>
  <c r="M27" i="19" s="1"/>
  <c r="M8" i="11"/>
  <c r="B48" i="11"/>
  <c r="B105" i="12"/>
  <c r="M5" i="11"/>
  <c r="B45" i="11"/>
  <c r="B14" i="11"/>
  <c r="N268" i="21" s="1"/>
  <c r="B7" i="15"/>
  <c r="B99" i="12"/>
  <c r="B49" i="11"/>
  <c r="B25" i="15"/>
  <c r="B107" i="15" s="1"/>
  <c r="M22" i="19" s="1"/>
  <c r="M9" i="11"/>
  <c r="B103" i="12"/>
  <c r="B96" i="12"/>
  <c r="B69" i="12"/>
  <c r="B98" i="12"/>
  <c r="B71" i="12"/>
  <c r="B102" i="12"/>
  <c r="B65" i="12"/>
  <c r="B92" i="12"/>
  <c r="B14" i="15"/>
  <c r="B96" i="15" s="1"/>
  <c r="M33" i="19" s="1"/>
  <c r="B91" i="15" l="1"/>
  <c r="M38" i="19" s="1"/>
  <c r="B52" i="15"/>
  <c r="H54" i="15"/>
  <c r="B50" i="15"/>
  <c r="B89" i="15"/>
  <c r="M40" i="19" s="1"/>
  <c r="H72" i="15"/>
  <c r="H73" i="15"/>
  <c r="H76" i="15"/>
  <c r="H74" i="15"/>
  <c r="H75" i="15"/>
  <c r="B40" i="15"/>
  <c r="B41" i="11"/>
  <c r="R12" i="11"/>
  <c r="B52" i="11"/>
  <c r="B22" i="11"/>
  <c r="M234" i="21" s="1"/>
  <c r="B20" i="11"/>
  <c r="M236" i="21" s="1"/>
  <c r="B24" i="11"/>
  <c r="M232" i="21" s="1"/>
  <c r="H79" i="15"/>
  <c r="B79" i="15"/>
  <c r="H36" i="15"/>
  <c r="H14" i="15"/>
  <c r="B57" i="15"/>
  <c r="H57" i="15"/>
  <c r="B21" i="11"/>
  <c r="M235" i="21" s="1"/>
  <c r="B78" i="15"/>
  <c r="H35" i="15"/>
  <c r="H28" i="15"/>
  <c r="H71" i="15"/>
  <c r="H52" i="15"/>
  <c r="H9" i="15"/>
  <c r="B63" i="15"/>
  <c r="H20" i="15"/>
  <c r="H66" i="15"/>
  <c r="H23" i="15"/>
  <c r="B66" i="15"/>
  <c r="B23" i="11"/>
  <c r="M233" i="21" s="1"/>
  <c r="B70" i="15"/>
  <c r="H27" i="15"/>
  <c r="H70" i="15"/>
  <c r="B64" i="15"/>
  <c r="H64" i="15"/>
  <c r="H21" i="15"/>
  <c r="B25" i="11"/>
  <c r="M231" i="21" s="1"/>
  <c r="H58" i="15"/>
  <c r="H15" i="15"/>
  <c r="B58" i="15"/>
  <c r="H51" i="15"/>
  <c r="B51" i="15"/>
  <c r="H8" i="15"/>
  <c r="B27" i="11"/>
  <c r="M12" i="11"/>
  <c r="H25" i="15"/>
  <c r="B68" i="15"/>
  <c r="H69" i="15"/>
  <c r="H26" i="15"/>
  <c r="B69" i="15"/>
  <c r="H13" i="15"/>
  <c r="B56" i="15"/>
  <c r="H80" i="15"/>
  <c r="H37" i="15"/>
  <c r="B80" i="15"/>
  <c r="B61" i="15"/>
  <c r="H18" i="15"/>
  <c r="H22" i="15"/>
  <c r="H65" i="15"/>
  <c r="H38" i="15"/>
  <c r="H81" i="15"/>
  <c r="H7" i="15"/>
  <c r="B55" i="12"/>
  <c r="B53" i="15"/>
  <c r="H10" i="15"/>
  <c r="H53" i="15"/>
  <c r="B59" i="15"/>
  <c r="H16" i="15"/>
  <c r="H59" i="15"/>
  <c r="H78" i="15" l="1"/>
  <c r="B122" i="15"/>
  <c r="M7" i="19" s="1"/>
  <c r="H56" i="15"/>
  <c r="H61" i="15"/>
  <c r="H50" i="15"/>
  <c r="H68" i="15"/>
  <c r="H63" i="15"/>
  <c r="H40" i="15"/>
  <c r="B83" i="15"/>
  <c r="H83" i="15"/>
  <c r="H99" i="18"/>
  <c r="H80" i="18"/>
  <c r="H86" i="18"/>
  <c r="H95" i="18"/>
  <c r="H51" i="18"/>
  <c r="H63" i="18"/>
  <c r="H76" i="18"/>
  <c r="H59" i="18"/>
  <c r="B103" i="18"/>
  <c r="H91" i="18"/>
  <c r="H103" i="18"/>
  <c r="H69" i="18"/>
</calcChain>
</file>

<file path=xl/sharedStrings.xml><?xml version="1.0" encoding="utf-8"?>
<sst xmlns="http://schemas.openxmlformats.org/spreadsheetml/2006/main" count="2354" uniqueCount="530">
  <si>
    <t>All industries</t>
  </si>
  <si>
    <t>Pharmaceuticals</t>
  </si>
  <si>
    <t>Construction</t>
  </si>
  <si>
    <t>Education</t>
  </si>
  <si>
    <t>6-Industry</t>
  </si>
  <si>
    <t>Engineering</t>
  </si>
  <si>
    <t>Rest of manufacturing</t>
  </si>
  <si>
    <t>Health and social work</t>
  </si>
  <si>
    <t>Manufacturing</t>
  </si>
  <si>
    <t>Elementary occupations</t>
  </si>
  <si>
    <t>All occupations</t>
  </si>
  <si>
    <t xml:space="preserve"> </t>
  </si>
  <si>
    <t>Set new years here:-</t>
  </si>
  <si>
    <t>Levels (000s)</t>
  </si>
  <si>
    <t>Shares (per cent)</t>
  </si>
  <si>
    <t>Growth (% per annum)</t>
  </si>
  <si>
    <t>Change (000s)</t>
  </si>
  <si>
    <t>Existing years</t>
  </si>
  <si>
    <t>Levels</t>
  </si>
  <si>
    <t>Change</t>
  </si>
  <si>
    <t>Absolute levels and changes (000s)</t>
  </si>
  <si>
    <t>Annual growth and industry shares (percent)</t>
  </si>
  <si>
    <t>Annual growth and occupation shares (percent)</t>
  </si>
  <si>
    <t>1st</t>
  </si>
  <si>
    <t>2nd</t>
  </si>
  <si>
    <t>3rd</t>
  </si>
  <si>
    <t>4th</t>
  </si>
  <si>
    <t>5th</t>
  </si>
  <si>
    <t>to</t>
  </si>
  <si>
    <t>Years shown from</t>
  </si>
  <si>
    <t>Net</t>
  </si>
  <si>
    <t>Replacement</t>
  </si>
  <si>
    <t>Demand</t>
  </si>
  <si>
    <t>Total</t>
  </si>
  <si>
    <t>Requirement</t>
  </si>
  <si>
    <t>per cent</t>
  </si>
  <si>
    <t>thousands</t>
  </si>
  <si>
    <t>Shares</t>
  </si>
  <si>
    <t>% per annum</t>
  </si>
  <si>
    <t>Growth</t>
  </si>
  <si>
    <t>All qualifications</t>
  </si>
  <si>
    <t>Qualification</t>
  </si>
  <si>
    <t>Total Requirement</t>
  </si>
  <si>
    <t>Net Change</t>
  </si>
  <si>
    <t>Growth % per annum</t>
  </si>
  <si>
    <t>Shares of all qualifications (per cent)</t>
  </si>
  <si>
    <t>Shares of all occupations (per cent)</t>
  </si>
  <si>
    <t>Qualification levels (thousands)</t>
  </si>
  <si>
    <t>RD p.a%</t>
  </si>
  <si>
    <t>Replace-ment Demand</t>
  </si>
  <si>
    <t>Total Require-ment</t>
  </si>
  <si>
    <t>Years used in the formula for RD p.a%</t>
  </si>
  <si>
    <t>Pre-primary education</t>
  </si>
  <si>
    <t>Primary education (1st stage basic)</t>
  </si>
  <si>
    <t>Lower secondary education (2nd stage basic)</t>
  </si>
  <si>
    <t>Upper secondary education</t>
  </si>
  <si>
    <t>Post-secondary non-tertiary education</t>
  </si>
  <si>
    <t>First stage of tertiary education</t>
  </si>
  <si>
    <t>Second stage of tertiary education</t>
  </si>
  <si>
    <t>Components of change</t>
  </si>
  <si>
    <t>Base year</t>
  </si>
  <si>
    <t>Target year</t>
  </si>
  <si>
    <t>Scale effect</t>
  </si>
  <si>
    <t>Occupation effect</t>
  </si>
  <si>
    <t>Industry mix effect</t>
  </si>
  <si>
    <t>SOC2010 Sub-Major Groups</t>
  </si>
  <si>
    <t>000s</t>
  </si>
  <si>
    <t>% share</t>
  </si>
  <si>
    <t xml:space="preserve">%   </t>
  </si>
  <si>
    <t>Engineering [26-28]</t>
  </si>
  <si>
    <t>Pharmaceuticals [21]</t>
  </si>
  <si>
    <t>Construction [41-43]</t>
  </si>
  <si>
    <t>Education [85]</t>
  </si>
  <si>
    <t>Health and social work [86-88]</t>
  </si>
  <si>
    <t>Industry Mix Effect ("shift")</t>
  </si>
  <si>
    <t>Occupation effect                   ("share")</t>
  </si>
  <si>
    <t>occ share</t>
  </si>
  <si>
    <t>Target Year</t>
  </si>
  <si>
    <t>All Occupations (Base Year)</t>
  </si>
  <si>
    <t>Notes.    Benchmark projections generated by E3ME and WLME.</t>
  </si>
  <si>
    <r>
      <t>The “</t>
    </r>
    <r>
      <rPr>
        <b/>
        <i/>
        <sz val="9"/>
        <rFont val="Arial"/>
        <family val="2"/>
      </rPr>
      <t>Scale effect</t>
    </r>
    <r>
      <rPr>
        <sz val="9"/>
        <rFont val="Arial"/>
        <family val="2"/>
      </rPr>
      <t>”  shows the changes that would have occurred if employment in each occupation and industry grew at the same rate as for total employment.</t>
    </r>
  </si>
  <si>
    <r>
      <t xml:space="preserve">The </t>
    </r>
    <r>
      <rPr>
        <b/>
        <i/>
        <sz val="9"/>
        <rFont val="Arial"/>
        <family val="2"/>
      </rPr>
      <t>industry mix</t>
    </r>
    <r>
      <rPr>
        <sz val="9"/>
        <rFont val="Arial"/>
        <family val="2"/>
      </rPr>
      <t xml:space="preserve"> or “</t>
    </r>
    <r>
      <rPr>
        <b/>
        <i/>
        <sz val="9"/>
        <rFont val="Arial"/>
        <family val="2"/>
      </rPr>
      <t>shift</t>
    </r>
    <r>
      <rPr>
        <sz val="9"/>
        <rFont val="Arial"/>
        <family val="2"/>
      </rPr>
      <t xml:space="preserve">” effect  shows the contributions that would have been made if the occupational mix in each industry had remained constant (the industry mix or “shift” effect). </t>
    </r>
  </si>
  <si>
    <t xml:space="preserve">This has been calculated using ratios of change for total employment  in the industry,  divided by the ratio of change for all industries (to net out the scale effect). </t>
  </si>
  <si>
    <r>
      <t xml:space="preserve">It therefore differs from the “shift” effect reported in Meagher </t>
    </r>
    <r>
      <rPr>
        <i/>
        <sz val="9"/>
        <rFont val="Arial"/>
        <family val="2"/>
      </rPr>
      <t>et al.</t>
    </r>
    <r>
      <rPr>
        <sz val="9"/>
        <rFont val="Arial"/>
        <family val="2"/>
      </rPr>
      <t xml:space="preserve"> (2013) which also incorporates the scale effect.</t>
    </r>
  </si>
  <si>
    <r>
      <t xml:space="preserve">The contributions due to changes in </t>
    </r>
    <r>
      <rPr>
        <b/>
        <i/>
        <sz val="9"/>
        <rFont val="Arial"/>
        <family val="2"/>
      </rPr>
      <t>occupational mix</t>
    </r>
    <r>
      <rPr>
        <sz val="9"/>
        <rFont val="Arial"/>
        <family val="2"/>
      </rPr>
      <t xml:space="preserve"> (the “</t>
    </r>
    <r>
      <rPr>
        <b/>
        <i/>
        <sz val="9"/>
        <rFont val="Arial"/>
        <family val="2"/>
      </rPr>
      <t>share</t>
    </r>
    <r>
      <rPr>
        <sz val="9"/>
        <rFont val="Arial"/>
        <family val="2"/>
      </rPr>
      <t>”  effect) are calculated as the residual of the total change net of the scale effect and the industry mix (or “shift”) effect.</t>
    </r>
  </si>
  <si>
    <r>
      <t xml:space="preserve">Column 2 in the shift-share tables reported in Meagher </t>
    </r>
    <r>
      <rPr>
        <i/>
        <sz val="9"/>
        <rFont val="Arial"/>
        <family val="2"/>
      </rPr>
      <t>et al</t>
    </r>
    <r>
      <rPr>
        <sz val="9"/>
        <rFont val="Arial"/>
        <family val="2"/>
      </rPr>
      <t>. (2013)  (the “shift” effect) can be formed by adding the scale and industry effects  in % terms, as shown here.</t>
    </r>
  </si>
  <si>
    <t>Agriculture, etc</t>
  </si>
  <si>
    <t>Mining and quarrying</t>
  </si>
  <si>
    <t>Electrical equipment</t>
  </si>
  <si>
    <t>Wholesale and retail trade</t>
  </si>
  <si>
    <t>Media</t>
  </si>
  <si>
    <t>Telecommunications</t>
  </si>
  <si>
    <t>Health</t>
  </si>
  <si>
    <t>Arts and entertainment</t>
  </si>
  <si>
    <t>Mining and quarrying [05-09]</t>
  </si>
  <si>
    <t>Electrical equipment [27]</t>
  </si>
  <si>
    <t>Rest of manufacturing [13-25,29-33]</t>
  </si>
  <si>
    <t>Wholesale and retail trade [45-47]</t>
  </si>
  <si>
    <t>Telecommunications [61]</t>
  </si>
  <si>
    <t>Arts and entertainment [90-93]</t>
  </si>
  <si>
    <t>Media [58-60]</t>
  </si>
  <si>
    <t>Manufacturing [10-33]</t>
  </si>
  <si>
    <t>Current Input File:</t>
  </si>
  <si>
    <t>Manager</t>
  </si>
  <si>
    <t>Males</t>
  </si>
  <si>
    <t>Females</t>
  </si>
  <si>
    <t>Males and females</t>
  </si>
  <si>
    <t>Population</t>
  </si>
  <si>
    <t>Labour Force</t>
  </si>
  <si>
    <t>65+</t>
  </si>
  <si>
    <t>(in age bands)</t>
  </si>
  <si>
    <t>Where does the data come from for this? (LPB)</t>
  </si>
  <si>
    <t>Note: For Belgium there is no European LFS data for some of the ISCED Qualifications.</t>
  </si>
  <si>
    <t>15-19</t>
  </si>
  <si>
    <t>20-24</t>
  </si>
  <si>
    <t>25-29</t>
  </si>
  <si>
    <t>30-34</t>
  </si>
  <si>
    <t>35-39</t>
  </si>
  <si>
    <t>40-44</t>
  </si>
  <si>
    <t>45-49</t>
  </si>
  <si>
    <t>50-54</t>
  </si>
  <si>
    <t>55-59</t>
  </si>
  <si>
    <t>60-64</t>
  </si>
  <si>
    <t>15+</t>
  </si>
  <si>
    <t>All Low qualifications</t>
  </si>
  <si>
    <t>All Medium qualifications</t>
  </si>
  <si>
    <t>All High qualifications</t>
  </si>
  <si>
    <t>Date run</t>
  </si>
  <si>
    <t>Basic metals [24]</t>
  </si>
  <si>
    <t>Metal products [25]</t>
  </si>
  <si>
    <t>Publishing activities [58]</t>
  </si>
  <si>
    <t>Financial services [64]</t>
  </si>
  <si>
    <t>Employment activities [78]</t>
  </si>
  <si>
    <t>Membership organisations [94]</t>
  </si>
  <si>
    <t>Other manufacturing</t>
  </si>
  <si>
    <t>Sewerage</t>
  </si>
  <si>
    <t>Civil engineering</t>
  </si>
  <si>
    <t>Water transport</t>
  </si>
  <si>
    <t>Air transport</t>
  </si>
  <si>
    <t>Accommodation</t>
  </si>
  <si>
    <t>Publishing activities</t>
  </si>
  <si>
    <t>Scientific research and development</t>
  </si>
  <si>
    <t>Employment activities</t>
  </si>
  <si>
    <t>Choose Database File</t>
  </si>
  <si>
    <t>Replacement Demand rate</t>
  </si>
  <si>
    <t>Replacement Demand level</t>
  </si>
  <si>
    <t>Database</t>
  </si>
  <si>
    <t>Database current</t>
  </si>
  <si>
    <t>To return to this sheet from any page, just click the home icon</t>
  </si>
  <si>
    <t>Sheet name</t>
  </si>
  <si>
    <t>Contents</t>
  </si>
  <si>
    <t>WARNING</t>
  </si>
  <si>
    <t>BUSINESS REGISTER AND EMPLOYMENT SURVEY</t>
  </si>
  <si>
    <t>THESE DATA HAVE BEEN COLLECTED</t>
  </si>
  <si>
    <t>UNDER THE TERMS OF THE Statistics of Trade Act 1947</t>
  </si>
  <si>
    <t>THE ESTIMATES ARE BASED ON DATA ONS HAVE PLACED IN THE PUBLIC DOMAIN</t>
  </si>
  <si>
    <t>REPORTING</t>
  </si>
  <si>
    <t>The projections presented in this Workbook are calculated from a number of different data sources, using</t>
  </si>
  <si>
    <t>a variety of econometric and statistical techniques. As a result, precise margins of error cannot be assigned</t>
  </si>
  <si>
    <t>For unpublished analyses, a more lenient criterion can be used. However, the uncertainties associated with</t>
  </si>
  <si>
    <t>However, there is inevitably some degree of judgement required on the part of the researcher.</t>
  </si>
  <si>
    <t>For cases in between 1,000 and 10,000 individuals, it is difficult to prescribe general rules, and an element of</t>
  </si>
  <si>
    <t>publishable then the equivalent figures in the workbooks should not be published. Where the focus is on</t>
  </si>
  <si>
    <t>self-employment or upon occupations, a more stringent cut-off should be applied.</t>
  </si>
  <si>
    <t>PUBLISHED DATA: Ideally, a minimum of 10,000 individuals per cell</t>
  </si>
  <si>
    <t>UNPUBLISHED DATA: A minimum of 1,000 individuals per cell</t>
  </si>
  <si>
    <t>Aggregation of 75 detailed industries to 22 Industry groups</t>
  </si>
  <si>
    <t>Agriculture [01-03]</t>
  </si>
  <si>
    <t>Agriculture, etc [01-03]</t>
  </si>
  <si>
    <t>Coal, oil &amp; gas; Mining &amp; related [05-09]</t>
  </si>
  <si>
    <t>Food drink and tobacco [10-12]</t>
  </si>
  <si>
    <t>Food products [10]</t>
  </si>
  <si>
    <t>Beverages &amp; tobacco [11-12]</t>
  </si>
  <si>
    <t>Computers, etc [26]</t>
  </si>
  <si>
    <t>Machinery, etc [28]</t>
  </si>
  <si>
    <t>Textiles [13]</t>
  </si>
  <si>
    <t>Wearing apparel; Leather, etc [14,15]</t>
  </si>
  <si>
    <t>Wood, etc [16]</t>
  </si>
  <si>
    <t>Paper, etc [17]</t>
  </si>
  <si>
    <t>Printing &amp; recording [18]</t>
  </si>
  <si>
    <t>Coke &amp; refining; Chemicals,etc [19,20]</t>
  </si>
  <si>
    <t>Rubber &amp; plastic [22]</t>
  </si>
  <si>
    <t>Other non-metallic [23]</t>
  </si>
  <si>
    <t>Motor vehicles, etc [29]</t>
  </si>
  <si>
    <t>Other trans. equipment [30]</t>
  </si>
  <si>
    <t>Furniture [31]</t>
  </si>
  <si>
    <t>Other manufacturing [32]</t>
  </si>
  <si>
    <t>Repair &amp; installation [33]</t>
  </si>
  <si>
    <t>Electricity and gas [35]</t>
  </si>
  <si>
    <t>Electricity, gas, etc [35]</t>
  </si>
  <si>
    <t>Water and sewerage [36-39]</t>
  </si>
  <si>
    <t>Water [36]</t>
  </si>
  <si>
    <t>Sewerage [37]</t>
  </si>
  <si>
    <t>Waste management [38-39]</t>
  </si>
  <si>
    <t>Construction [41]</t>
  </si>
  <si>
    <t>Civil engineering [42]</t>
  </si>
  <si>
    <t>Specialised construction [43]</t>
  </si>
  <si>
    <t>Sale of motor vehicles [45]</t>
  </si>
  <si>
    <t>Wholesale trade [46]</t>
  </si>
  <si>
    <t>Retail trade [47]</t>
  </si>
  <si>
    <t>Transport and storage [49-53]</t>
  </si>
  <si>
    <t>Land transport, etc [49]</t>
  </si>
  <si>
    <t>Water transport [50]</t>
  </si>
  <si>
    <t>Air transport [51]</t>
  </si>
  <si>
    <t>Warehousing, etc [52]</t>
  </si>
  <si>
    <t>Postal, etc [53]</t>
  </si>
  <si>
    <t>Accommodation and food [55-56]</t>
  </si>
  <si>
    <t>Accommodation [55]</t>
  </si>
  <si>
    <t>Food &amp; beverage services [56]</t>
  </si>
  <si>
    <t>Film &amp;  music [59]</t>
  </si>
  <si>
    <t>Broadcasting [60]</t>
  </si>
  <si>
    <t>Information technology [61-63]</t>
  </si>
  <si>
    <t>Computer programming, etc [62]</t>
  </si>
  <si>
    <t>Information services [63]</t>
  </si>
  <si>
    <t>Finance and insurance [64-66]</t>
  </si>
  <si>
    <t>Insurance &amp; pensions [65]</t>
  </si>
  <si>
    <t>Auxiliary  services [66]</t>
  </si>
  <si>
    <t>Real estate [68]</t>
  </si>
  <si>
    <t>Professional services [69-75]</t>
  </si>
  <si>
    <t>Legal &amp; accounting [69]</t>
  </si>
  <si>
    <t>Head offices, etc [70]</t>
  </si>
  <si>
    <t>Architectural &amp; related [71]</t>
  </si>
  <si>
    <t>Scientific research [72]</t>
  </si>
  <si>
    <t>Advertising, etc [73]</t>
  </si>
  <si>
    <t>Other professional [74]</t>
  </si>
  <si>
    <t>Veterinary [75]</t>
  </si>
  <si>
    <t>Support services [77-82]</t>
  </si>
  <si>
    <t>Rental &amp; leasing [77]</t>
  </si>
  <si>
    <t>Travel, etc [79]</t>
  </si>
  <si>
    <t>Security, etc [80]</t>
  </si>
  <si>
    <t>Services to buildings [81]</t>
  </si>
  <si>
    <t>Office admin. [82]</t>
  </si>
  <si>
    <t>Public admin. and defence [84]</t>
  </si>
  <si>
    <t>Public admin. &amp; defence [84]</t>
  </si>
  <si>
    <t>Health [86]</t>
  </si>
  <si>
    <t>Residential care [87]</t>
  </si>
  <si>
    <t>Social work [88]</t>
  </si>
  <si>
    <t>Arts &amp; entertainment [90]</t>
  </si>
  <si>
    <t>Libraries, etc [91]</t>
  </si>
  <si>
    <t>Gambling [92]</t>
  </si>
  <si>
    <t>Sport &amp; recreation [93]</t>
  </si>
  <si>
    <t>Other services [94-99]</t>
  </si>
  <si>
    <t>Repair of  goods [95]</t>
  </si>
  <si>
    <t>Other personal service [96-99]</t>
  </si>
  <si>
    <t>Aggregation of 75 detailed industries to 6 Broad industrial sectors</t>
  </si>
  <si>
    <t>Primary sector and utilities [01-09,35-39]</t>
  </si>
  <si>
    <t>Trade, accomod. and transport [45-56]</t>
  </si>
  <si>
    <t>Business and other services [58-82,90-99]</t>
  </si>
  <si>
    <t>Non-market services [84-88]</t>
  </si>
  <si>
    <t>Primary sector and utilities</t>
  </si>
  <si>
    <t>Trade, accomod. and transport</t>
  </si>
  <si>
    <t>Business and other services</t>
  </si>
  <si>
    <t>75-Industry</t>
  </si>
  <si>
    <t>Coal, oil &amp; gas; Mining &amp; related</t>
  </si>
  <si>
    <t>Food products</t>
  </si>
  <si>
    <t>Beverages and tobacco</t>
  </si>
  <si>
    <t>Textiles</t>
  </si>
  <si>
    <t>Wearing apparel; Leather, etc</t>
  </si>
  <si>
    <t xml:space="preserve">Wood and cork </t>
  </si>
  <si>
    <t>Paper, etc</t>
  </si>
  <si>
    <t>Printing and recording</t>
  </si>
  <si>
    <t>Coke and petroleum; Chemicals, etc</t>
  </si>
  <si>
    <t>Rubber and plastic</t>
  </si>
  <si>
    <t>Other non-metallic</t>
  </si>
  <si>
    <t>Basic metals</t>
  </si>
  <si>
    <t>Metal products</t>
  </si>
  <si>
    <t>Computer, etc</t>
  </si>
  <si>
    <t>Machinery n.e.c.</t>
  </si>
  <si>
    <t>Motor vehicles, etc</t>
  </si>
  <si>
    <t>Other transport equipment</t>
  </si>
  <si>
    <t>Furniture</t>
  </si>
  <si>
    <t>Repair and installation</t>
  </si>
  <si>
    <t>Electricity, gas, etc</t>
  </si>
  <si>
    <t>Water</t>
  </si>
  <si>
    <t>Waste management</t>
  </si>
  <si>
    <t>Specialised construction</t>
  </si>
  <si>
    <t>Motor vehicle trade</t>
  </si>
  <si>
    <t>Wholesale trade</t>
  </si>
  <si>
    <t>Retail trade</t>
  </si>
  <si>
    <t>Land transport, etc</t>
  </si>
  <si>
    <t>Warehousing, etc</t>
  </si>
  <si>
    <t>Postal and courier</t>
  </si>
  <si>
    <t>Food and beverage services</t>
  </si>
  <si>
    <t>Film and music</t>
  </si>
  <si>
    <t>Broadcasting</t>
  </si>
  <si>
    <t>Computing services</t>
  </si>
  <si>
    <t>Information services</t>
  </si>
  <si>
    <t>Financial services</t>
  </si>
  <si>
    <t>Insurance and pensions</t>
  </si>
  <si>
    <t>Auxiliary financial services</t>
  </si>
  <si>
    <t>Real estate</t>
  </si>
  <si>
    <t>Legal and accounting</t>
  </si>
  <si>
    <t>Head offices, etc</t>
  </si>
  <si>
    <t>Architectural and related</t>
  </si>
  <si>
    <t>Advertising, etc</t>
  </si>
  <si>
    <t>Other professional</t>
  </si>
  <si>
    <t>Veterinary</t>
  </si>
  <si>
    <t>Rental and leasing</t>
  </si>
  <si>
    <t>Travel, etc</t>
  </si>
  <si>
    <t>Security, etc</t>
  </si>
  <si>
    <t>Services to buildings</t>
  </si>
  <si>
    <t>Office administrative</t>
  </si>
  <si>
    <t>Public administration and defence</t>
  </si>
  <si>
    <t xml:space="preserve">Education </t>
  </si>
  <si>
    <t>Residential care</t>
  </si>
  <si>
    <t>Social work</t>
  </si>
  <si>
    <t>Libraries, etc</t>
  </si>
  <si>
    <t>Gambling and betting</t>
  </si>
  <si>
    <t>Sport and recreation</t>
  </si>
  <si>
    <t>Membership organisations</t>
  </si>
  <si>
    <t>Repair of goods</t>
  </si>
  <si>
    <t>Other personal service</t>
  </si>
  <si>
    <t>22-Industry</t>
  </si>
  <si>
    <t>Agriculture</t>
  </si>
  <si>
    <t>Food drink and tobacco</t>
  </si>
  <si>
    <t>Electricity and gas</t>
  </si>
  <si>
    <t>Water and sewerage</t>
  </si>
  <si>
    <t>Transport and storage</t>
  </si>
  <si>
    <t>Accommodation and food</t>
  </si>
  <si>
    <t>Information technology</t>
  </si>
  <si>
    <t>Finance and insurance</t>
  </si>
  <si>
    <t>Professional services</t>
  </si>
  <si>
    <t>Support services</t>
  </si>
  <si>
    <t>Public admin. and defence</t>
  </si>
  <si>
    <t>Other services</t>
  </si>
  <si>
    <t>Sub-major group names:</t>
  </si>
  <si>
    <t>9-Occupation</t>
  </si>
  <si>
    <t>Major group names:</t>
  </si>
  <si>
    <t>Managers, directors and senior officials</t>
  </si>
  <si>
    <t>Professional occupations</t>
  </si>
  <si>
    <t>Skilled trades occupations</t>
  </si>
  <si>
    <t>Process, plant and machine operatives</t>
  </si>
  <si>
    <t>9-Qualification names:</t>
  </si>
  <si>
    <t>No Qualification</t>
  </si>
  <si>
    <t>Gender names:</t>
  </si>
  <si>
    <t>Status names:</t>
  </si>
  <si>
    <t>M+F</t>
  </si>
  <si>
    <t>All</t>
  </si>
  <si>
    <t>All in employment</t>
  </si>
  <si>
    <t>M</t>
  </si>
  <si>
    <t>EE</t>
  </si>
  <si>
    <t>Employees in employment</t>
  </si>
  <si>
    <t>F</t>
  </si>
  <si>
    <t>SE</t>
  </si>
  <si>
    <t>Self-employment</t>
  </si>
  <si>
    <t>FT</t>
  </si>
  <si>
    <t>Full-time employees</t>
  </si>
  <si>
    <t>PT</t>
  </si>
  <si>
    <t>Part-time employees</t>
  </si>
  <si>
    <t>Industry groups</t>
  </si>
  <si>
    <t>Industry sectors</t>
  </si>
  <si>
    <t>6-Qualification names:</t>
  </si>
  <si>
    <t>Qualification groups</t>
  </si>
  <si>
    <t>Industry</t>
  </si>
  <si>
    <t>Industry Group [SIC2007]</t>
  </si>
  <si>
    <t>Ind75 industry [SIC2007]</t>
  </si>
  <si>
    <t>Broad industry [SIC2007]</t>
  </si>
  <si>
    <t>9-Occupation (SOC2010)</t>
  </si>
  <si>
    <t>Aggregation of 9-Qualifications to 6-Qualification groups</t>
  </si>
  <si>
    <t>6-Qualifications (QCF)</t>
  </si>
  <si>
    <t>6-Qualification groups (QCF)</t>
  </si>
  <si>
    <t>Female</t>
  </si>
  <si>
    <t>Male</t>
  </si>
  <si>
    <t>Total employment</t>
  </si>
  <si>
    <t>Male employment</t>
  </si>
  <si>
    <t>Female employment</t>
  </si>
  <si>
    <t>(% share)</t>
  </si>
  <si>
    <t>Self employed</t>
  </si>
  <si>
    <t>Part time</t>
  </si>
  <si>
    <t>Full time</t>
  </si>
  <si>
    <t>Changes in Employment Status (000s)</t>
  </si>
  <si>
    <t>Employment by Gender</t>
  </si>
  <si>
    <t xml:space="preserve">Employment Status </t>
  </si>
  <si>
    <t xml:space="preserve">% p.a. changes </t>
  </si>
  <si>
    <t>Ind T1</t>
  </si>
  <si>
    <t>Ind T2</t>
  </si>
  <si>
    <t>Occ T2</t>
  </si>
  <si>
    <t>Employment by Industry Sector (6 industries)</t>
  </si>
  <si>
    <t>Employment by Industry Group (22 industries)</t>
  </si>
  <si>
    <t>Occ T3</t>
  </si>
  <si>
    <t>Ind T4</t>
  </si>
  <si>
    <t>Ind T6</t>
  </si>
  <si>
    <t>Occ T4</t>
  </si>
  <si>
    <t>Ind T5</t>
  </si>
  <si>
    <t>Employment by Industry Group in Sector (6 + 22 industries)</t>
  </si>
  <si>
    <t>Employment Status by Industry Group and Gender (22 industries)</t>
  </si>
  <si>
    <t>Ind F1</t>
  </si>
  <si>
    <t>Occ F1</t>
  </si>
  <si>
    <t>Ind F2</t>
  </si>
  <si>
    <t>Occ F2</t>
  </si>
  <si>
    <t>IndOcc T1</t>
  </si>
  <si>
    <t>Line Chart Employment by Industry (6 + 22 industries)</t>
  </si>
  <si>
    <t>Occ T1</t>
  </si>
  <si>
    <t>Bar Chart Growth in Employment by Industry Group (6 + 22 industries)</t>
  </si>
  <si>
    <t>Qual T1</t>
  </si>
  <si>
    <t>Employment by Qualification (9 qualifications)</t>
  </si>
  <si>
    <t>Qual F1</t>
  </si>
  <si>
    <t>Line chart Employment by Qualification (9 qualifications)</t>
  </si>
  <si>
    <t>ShiftShare T1</t>
  </si>
  <si>
    <t>RD F1</t>
  </si>
  <si>
    <t>RD T1</t>
  </si>
  <si>
    <t>Basic T1</t>
  </si>
  <si>
    <t>Basic T2</t>
  </si>
  <si>
    <t>Basic T3</t>
  </si>
  <si>
    <t>Employment by Industry Sector, Occupation Group and Qualification (9 occupations by 6 industries by 9 qualifications)</t>
  </si>
  <si>
    <t>IndOcc T2</t>
  </si>
  <si>
    <t>Linked to sheet IndustryTable4</t>
  </si>
  <si>
    <t>Select years for the Tables</t>
  </si>
  <si>
    <t>Linked to sheet Industry Table1</t>
  </si>
  <si>
    <t>Linked to sheet IndustryTable1</t>
  </si>
  <si>
    <r>
      <t xml:space="preserve">Uses the 1st, 2nd and 5th years selected  for </t>
    </r>
    <r>
      <rPr>
        <b/>
        <sz val="10"/>
        <color indexed="54"/>
        <rFont val="Arial"/>
        <family val="2"/>
      </rPr>
      <t>Tables</t>
    </r>
    <r>
      <rPr>
        <sz val="10"/>
        <color indexed="54"/>
        <rFont val="Arial"/>
        <family val="2"/>
      </rPr>
      <t xml:space="preserve"> in sheet Manager</t>
    </r>
  </si>
  <si>
    <t>Linked to sheet OccupationTable3</t>
  </si>
  <si>
    <r>
      <t xml:space="preserve">Uses the 3nd and 5th years selected  for </t>
    </r>
    <r>
      <rPr>
        <b/>
        <sz val="10"/>
        <color indexed="54"/>
        <rFont val="Arial"/>
        <family val="2"/>
      </rPr>
      <t>Tables</t>
    </r>
    <r>
      <rPr>
        <sz val="10"/>
        <color indexed="54"/>
        <rFont val="Arial"/>
        <family val="2"/>
      </rPr>
      <t xml:space="preserve"> in sheet Manager</t>
    </r>
  </si>
  <si>
    <t>Linked to sheet Occupation Table1</t>
  </si>
  <si>
    <r>
      <t xml:space="preserve">Uses the 1st, 3nd and 5th years selected  for </t>
    </r>
    <r>
      <rPr>
        <b/>
        <sz val="10"/>
        <color indexed="54"/>
        <rFont val="Arial"/>
        <family val="2"/>
      </rPr>
      <t>Tables</t>
    </r>
    <r>
      <rPr>
        <sz val="10"/>
        <color indexed="54"/>
        <rFont val="Arial"/>
        <family val="2"/>
      </rPr>
      <t xml:space="preserve"> in sheet Manager</t>
    </r>
  </si>
  <si>
    <r>
      <t xml:space="preserve">Uses the 3rd and 5th years selected  for </t>
    </r>
    <r>
      <rPr>
        <b/>
        <sz val="10"/>
        <color indexed="54"/>
        <rFont val="Arial"/>
        <family val="2"/>
      </rPr>
      <t>Tables</t>
    </r>
    <r>
      <rPr>
        <sz val="10"/>
        <color indexed="54"/>
        <rFont val="Arial"/>
        <family val="2"/>
      </rPr>
      <t xml:space="preserve"> in sheet Manager (via OccupationTable1)</t>
    </r>
  </si>
  <si>
    <t>Absolute Changes (000s)</t>
  </si>
  <si>
    <t>Occ F3</t>
  </si>
  <si>
    <t>Occ F4</t>
  </si>
  <si>
    <t>Changes in Occupational Employment Structure (9 occupations)</t>
  </si>
  <si>
    <t>Occupational Change by Gender (9 occupations)</t>
  </si>
  <si>
    <t>Part-time</t>
  </si>
  <si>
    <t>Full-time</t>
  </si>
  <si>
    <t>Occ F5</t>
  </si>
  <si>
    <t>Occupational Change by Status (9 occupations)</t>
  </si>
  <si>
    <t>Employment Change by Occupation Group and Gender and Replacement Demand (9 occupations)</t>
  </si>
  <si>
    <t>Occ T5</t>
  </si>
  <si>
    <t>Employment Change by Occupation Group, Status and Gender (9 occupations)</t>
  </si>
  <si>
    <r>
      <t xml:space="preserve">Uses the 1st, 3rdand 5th years selected  for </t>
    </r>
    <r>
      <rPr>
        <b/>
        <sz val="10"/>
        <color indexed="54"/>
        <rFont val="Arial"/>
        <family val="2"/>
      </rPr>
      <t>Tables</t>
    </r>
    <r>
      <rPr>
        <sz val="10"/>
        <color indexed="54"/>
        <rFont val="Arial"/>
        <family val="2"/>
      </rPr>
      <t xml:space="preserve"> in sheet Manager</t>
    </r>
  </si>
  <si>
    <t>Aggregation of 22 industry groups to 6 Broad industrial sectors</t>
  </si>
  <si>
    <t>Scenario</t>
  </si>
  <si>
    <t>.Main</t>
  </si>
  <si>
    <t>MDM version</t>
  </si>
  <si>
    <t>Employment Status by Industry and Gender (22 industries)</t>
  </si>
  <si>
    <t>Occupation Composition by Gender (9 occupations by 22 industries)</t>
  </si>
  <si>
    <t>Occupation Composition by Employment Status (9 occupations by 22 industries)</t>
  </si>
  <si>
    <r>
      <t xml:space="preserve">Uses the 1st, 3rd and 5th years selected  for </t>
    </r>
    <r>
      <rPr>
        <b/>
        <sz val="10"/>
        <color indexed="54"/>
        <rFont val="Arial"/>
        <family val="2"/>
      </rPr>
      <t>Tables</t>
    </r>
    <r>
      <rPr>
        <sz val="10"/>
        <color indexed="54"/>
        <rFont val="Arial"/>
        <family val="2"/>
      </rPr>
      <t xml:space="preserve"> in sheet Manager</t>
    </r>
  </si>
  <si>
    <t>max</t>
  </si>
  <si>
    <t>min</t>
  </si>
  <si>
    <t>axis bounds</t>
  </si>
  <si>
    <t>major unit</t>
  </si>
  <si>
    <r>
      <t xml:space="preserve">Uses the 1st, 3rd and 5th years selected  for </t>
    </r>
    <r>
      <rPr>
        <b/>
        <sz val="10"/>
        <color indexed="54"/>
        <rFont val="Arial"/>
        <family val="2"/>
      </rPr>
      <t>Summary Tables</t>
    </r>
    <r>
      <rPr>
        <sz val="10"/>
        <color indexed="54"/>
        <rFont val="Arial"/>
        <family val="2"/>
      </rPr>
      <t xml:space="preserve"> in sheet Manager</t>
    </r>
  </si>
  <si>
    <t>RQF8 Doctorate</t>
  </si>
  <si>
    <t>RQF 7-8</t>
  </si>
  <si>
    <t>RQF7 Other higher degree</t>
  </si>
  <si>
    <t>RQF 4-6</t>
  </si>
  <si>
    <t>RQF6 First degree</t>
  </si>
  <si>
    <t>RQF3 A level &amp; equivalent</t>
  </si>
  <si>
    <t>RQF5 Foundation degree;Nursing;Teaching</t>
  </si>
  <si>
    <t>RQF2 GCSE(A-C) &amp; equivalent</t>
  </si>
  <si>
    <t>RQF4 HE below degree level</t>
  </si>
  <si>
    <t>RQF1 GCSE(below grade C) &amp; equivalent</t>
  </si>
  <si>
    <t>Non-marketed services</t>
  </si>
  <si>
    <t>THIS EXCEL WORKBOOK CONTAINS DATA</t>
  </si>
  <si>
    <t>BASED ON THE ANNUAL BUSINESS INQUIRY /</t>
  </si>
  <si>
    <t>based on counts of at least 10,000 individuals. This should provide a reasonable degree of statistical robustness to</t>
  </si>
  <si>
    <t>the estimates whether historic or forecast, and also ensure that you are not in breach of the Statistics of trade Act, 1947.</t>
  </si>
  <si>
    <t>judgement on behalf of the user is needed.  At an industry level, and focussing just on employees, the limits</t>
  </si>
  <si>
    <t>set by ONS in publishing ABI or BRES data can be used as a general guide. If ONS do not regard estimates as</t>
  </si>
  <si>
    <t>projections involving fewer than 1,000 individuals are probably too great for such estimates to be useful.</t>
  </si>
  <si>
    <t>Employment Change by Occupation and Replacement Demand (26 occupations)</t>
  </si>
  <si>
    <t>Employment Change by Occupation in Occupation Group (9 + 26 occupations)</t>
  </si>
  <si>
    <t>Occupation Composition by Gender (26 occupations)</t>
  </si>
  <si>
    <t>Bar Chart Growth in Employment by Occupation (9 + 26 occupations)</t>
  </si>
  <si>
    <t>Line Chart Employment by Occupation (9 + 26 occupations)</t>
  </si>
  <si>
    <t>Shift-Share by Occupation (26 occupations)</t>
  </si>
  <si>
    <t>Replacement Demand by Occupation and Qualification (26 occupations by 9 qualifications)</t>
  </si>
  <si>
    <t>Replacement Demand by Occupation Group (9 + 26 occupations)</t>
  </si>
  <si>
    <t>Employment Change by Occupation and Replacement Demand (26 occupations by 9 qualifications)</t>
  </si>
  <si>
    <t>Occupation by Qualification (26 occupations by 9 qualifications)</t>
  </si>
  <si>
    <t>11 Corporate managers and directors</t>
  </si>
  <si>
    <t>12 Other managers and proprietors</t>
  </si>
  <si>
    <t>21 Science, research, engineering and technology professionals</t>
  </si>
  <si>
    <t>22 Health professionals</t>
  </si>
  <si>
    <t>23 Teaching and other educational professionals</t>
  </si>
  <si>
    <t>24 Business, media and public service professionals</t>
  </si>
  <si>
    <t>31 Science, engineering and technology associate professionals</t>
  </si>
  <si>
    <t>32 Health and social care associate professionals</t>
  </si>
  <si>
    <t>33 Protective service occupations</t>
  </si>
  <si>
    <t>34 Culture, media and sports occupations</t>
  </si>
  <si>
    <t>35 Business and public service associate professionals</t>
  </si>
  <si>
    <t>41 Administrative occupations</t>
  </si>
  <si>
    <t>42 Secretarial and related occupations</t>
  </si>
  <si>
    <t>51 Skilled agricultural and related trades</t>
  </si>
  <si>
    <t>52 Skilled metal, electrical and electronic trades</t>
  </si>
  <si>
    <t>53 Skilled construction and building trades</t>
  </si>
  <si>
    <t>54 Textiles, printing and other skilled trades</t>
  </si>
  <si>
    <t>61 Caring personal service occupations</t>
  </si>
  <si>
    <t>62 Leisure, travel and related personal service occupations</t>
  </si>
  <si>
    <t>63 Community and civil enforcement occupations</t>
  </si>
  <si>
    <t>71 Sales occupations</t>
  </si>
  <si>
    <t>72 Customer service occupations</t>
  </si>
  <si>
    <t>81 Process, plant and machine operatives</t>
  </si>
  <si>
    <t>82 Transport and mobile machine drivers and operatives</t>
  </si>
  <si>
    <t>91 Elementary trades and related occupations</t>
  </si>
  <si>
    <t>92 Elementary administration and service occupations</t>
  </si>
  <si>
    <t>26-Occupation</t>
  </si>
  <si>
    <t>Associate professional occupations</t>
  </si>
  <si>
    <t>Administrative and secretarial occupations</t>
  </si>
  <si>
    <t>Caring, leisure and other service occupations</t>
  </si>
  <si>
    <t>Sales and customer service occupations</t>
  </si>
  <si>
    <t>Aggregation of 26-Sub major occupation groups to 9-Major occupation groups</t>
  </si>
  <si>
    <t>26-Occupation (SOC2020)</t>
  </si>
  <si>
    <t>SOC2020 Sub-Major Groups</t>
  </si>
  <si>
    <t>Nuffield - Rev 13547</t>
  </si>
  <si>
    <t>Date database created</t>
  </si>
  <si>
    <t>Copyright:  Warwick Institute for Employment Research / Cambridge Econometrics, 2023</t>
  </si>
  <si>
    <t>M:\IE\Projects\Nuffield via NFER AI and automation\Data\Results\Workbooks\LO\v2 Main\LO_Database.Main.xlsx</t>
  </si>
  <si>
    <t>M:\IE\Projects\Nuffield via NFER AI and automation\Data\Results\Workbooks\LEPs\OX_LEP\v2 Main\OX_LEP_Database.Main.xlsx</t>
  </si>
  <si>
    <r>
      <t xml:space="preserve">to the estimates. For further details, see the </t>
    </r>
    <r>
      <rPr>
        <i/>
        <sz val="12"/>
        <color theme="1"/>
        <rFont val="Arial"/>
        <family val="2"/>
      </rPr>
      <t xml:space="preserve">Skills Imperative 2035 </t>
    </r>
    <r>
      <rPr>
        <sz val="12"/>
        <color theme="1"/>
        <rFont val="Arial"/>
        <family val="2"/>
      </rPr>
      <t>Technical Report.</t>
    </r>
  </si>
  <si>
    <r>
      <t xml:space="preserve">The results update those previously produced under the </t>
    </r>
    <r>
      <rPr>
        <i/>
        <sz val="12"/>
        <color theme="1"/>
        <rFont val="Arial"/>
        <family val="2"/>
      </rPr>
      <t>Working Futures</t>
    </r>
    <r>
      <rPr>
        <sz val="12"/>
        <color theme="1"/>
        <rFont val="Arial"/>
        <family val="2"/>
      </rPr>
      <t xml:space="preserve"> banner.</t>
    </r>
  </si>
  <si>
    <t xml:space="preserve">As a general rule of thumb, it is advisable to only publish statistics or analyses which are </t>
  </si>
  <si>
    <t>Thus, in summary, we advise:</t>
  </si>
  <si>
    <t>6 Industries</t>
  </si>
  <si>
    <t>22 Industries</t>
  </si>
  <si>
    <t>6 + 22 Industries</t>
  </si>
  <si>
    <t>9 Occupations by 22 Industries</t>
  </si>
  <si>
    <t>9 Occupations</t>
  </si>
  <si>
    <t>26 Occupations</t>
  </si>
  <si>
    <t>9 + 26 Occupations</t>
  </si>
  <si>
    <t>9 Qualifications</t>
  </si>
  <si>
    <t>26 Occupations by 9 Qualifications</t>
  </si>
  <si>
    <t>9 Occupations by 9 Qualifications</t>
  </si>
  <si>
    <t>9 Occupations by 6 Industries by 9 Qualifications</t>
  </si>
  <si>
    <t>M:/IE/Projects/Nuffield via NFER AI and automation/Data/Results/Workbooks/LSIPs/LI_LSIP/LI_LSIP_Database.Main.xlsx</t>
  </si>
  <si>
    <t>LSIP</t>
  </si>
  <si>
    <t>12. Greater Lincolnshire</t>
  </si>
  <si>
    <t>LSIP name</t>
  </si>
  <si>
    <t>Greater Lincolnshire</t>
  </si>
  <si>
    <t>09 03 2023 10:28:05 AM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</si>
</sst>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8">
    <numFmt numFmtId="43" formatCode="_-* #,##0.00_-;\-* #,##0.00_-;_-* &quot;-&quot;??_-;_-@_-"/>
    <numFmt numFmtId="164" formatCode="0.0"/>
    <numFmt numFmtId="165" formatCode="0.00000"/>
    <numFmt numFmtId="166" formatCode="#,##0.0"/>
    <numFmt numFmtId="167" formatCode="0.0%"/>
    <numFmt numFmtId="168" formatCode="_-* #,##0_-;\-* #,##0_-;_-* &quot;-&quot;??_-;_-@_-"/>
    <numFmt numFmtId="169" formatCode="_-* #,##0.00000_-;\-* #,##0.00000_-;_-* &quot;-&quot;??_-;_-@_-"/>
    <numFmt numFmtId="170" formatCode="0.000000"/>
  </numFmts>
  <fonts count="35" x14ac:knownFonts="1">
    <font>
      <sz val="10"/>
      <name val="Arial"/>
    </font>
    <font>
      <sz val="10"/>
      <color theme="1"/>
      <name val="Arial"/>
      <family val="2"/>
    </font>
    <font>
      <sz val="10"/>
      <color theme="1"/>
      <name val="Arial"/>
      <family val="2"/>
    </font>
    <font>
      <sz val="10"/>
      <name val="Arial"/>
      <family val="2"/>
    </font>
    <font>
      <sz val="8"/>
      <name val="Arial"/>
      <family val="2"/>
    </font>
    <font>
      <b/>
      <sz val="10"/>
      <name val="Arial"/>
      <family val="2"/>
    </font>
    <font>
      <sz val="12"/>
      <name val="Times New Roman"/>
      <family val="1"/>
    </font>
    <font>
      <sz val="10"/>
      <name val="Arial"/>
      <family val="2"/>
    </font>
    <font>
      <sz val="10"/>
      <name val="Times New Roman"/>
      <family val="1"/>
    </font>
    <font>
      <b/>
      <sz val="12"/>
      <name val="Arial"/>
      <family val="2"/>
    </font>
    <font>
      <i/>
      <sz val="10"/>
      <name val="Arial"/>
      <family val="2"/>
    </font>
    <font>
      <b/>
      <sz val="10"/>
      <color indexed="54"/>
      <name val="Arial"/>
      <family val="2"/>
    </font>
    <font>
      <sz val="10"/>
      <color indexed="54"/>
      <name val="Arial"/>
      <family val="2"/>
    </font>
    <font>
      <sz val="11"/>
      <name val="Arial"/>
      <family val="2"/>
    </font>
    <font>
      <sz val="9"/>
      <name val="Arial"/>
      <family val="2"/>
    </font>
    <font>
      <sz val="10"/>
      <color theme="1"/>
      <name val="Arial"/>
      <family val="2"/>
    </font>
    <font>
      <b/>
      <sz val="10"/>
      <color theme="1"/>
      <name val="Arial"/>
      <family val="2"/>
    </font>
    <font>
      <sz val="10"/>
      <color rgb="FFFF0000"/>
      <name val="Arial"/>
      <family val="2"/>
    </font>
    <font>
      <b/>
      <sz val="10"/>
      <color rgb="FFFF0000"/>
      <name val="Arial"/>
      <family val="2"/>
    </font>
    <font>
      <sz val="9"/>
      <color rgb="FFFF0000"/>
      <name val="Courier New"/>
      <family val="3"/>
    </font>
    <font>
      <b/>
      <i/>
      <sz val="9"/>
      <name val="Arial"/>
      <family val="2"/>
    </font>
    <font>
      <i/>
      <sz val="9"/>
      <name val="Arial"/>
      <family val="2"/>
    </font>
    <font>
      <b/>
      <sz val="16"/>
      <name val="Arial"/>
      <family val="2"/>
    </font>
    <font>
      <sz val="10"/>
      <name val="Arial"/>
      <family val="2"/>
    </font>
    <font>
      <b/>
      <sz val="14"/>
      <color theme="1"/>
      <name val="Arial"/>
      <family val="2"/>
    </font>
    <font>
      <u/>
      <sz val="10"/>
      <color theme="10"/>
      <name val="Arial"/>
      <family val="2"/>
    </font>
    <font>
      <b/>
      <sz val="11"/>
      <name val="Arial"/>
      <family val="2"/>
    </font>
    <font>
      <sz val="10"/>
      <color theme="1"/>
      <name val="Times New Roman"/>
      <family val="1"/>
    </font>
    <font>
      <b/>
      <sz val="15"/>
      <color rgb="FFFFFFFF"/>
      <name val="Arial"/>
      <family val="2"/>
    </font>
    <font>
      <b/>
      <sz val="15"/>
      <color rgb="FFFF0000"/>
      <name val="Arial"/>
      <family val="2"/>
    </font>
    <font>
      <b/>
      <sz val="15"/>
      <color theme="1"/>
      <name val="Arial"/>
      <family val="2"/>
    </font>
    <font>
      <b/>
      <sz val="12"/>
      <color theme="1"/>
      <name val="Arial"/>
      <family val="2"/>
    </font>
    <font>
      <sz val="12"/>
      <color theme="1"/>
      <name val="Arial"/>
      <family val="2"/>
    </font>
    <font>
      <i/>
      <sz val="12"/>
      <color theme="1"/>
      <name val="Arial"/>
      <family val="2"/>
    </font>
    <font>
      <sz val="12"/>
      <name val="Arial"/>
      <family val="2"/>
    </font>
  </fonts>
  <fills count="6">
    <fill>
      <patternFill patternType="none"/>
    </fill>
    <fill>
      <patternFill patternType="gray125"/>
    </fill>
    <fill>
      <patternFill patternType="solid">
        <fgColor indexed="9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rgb="FFFF0000"/>
        <bgColor indexed="64"/>
      </patternFill>
    </fill>
  </fills>
  <borders count="24">
    <border>
      <left/>
      <right/>
      <top/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 style="dashed">
        <color indexed="64"/>
      </bottom>
      <diagonal/>
    </border>
    <border>
      <left/>
      <right/>
      <top style="thin">
        <color indexed="64"/>
      </top>
      <bottom style="dashed">
        <color indexed="64"/>
      </bottom>
      <diagonal/>
    </border>
    <border>
      <left/>
      <right style="thin">
        <color indexed="64"/>
      </right>
      <top style="thin">
        <color indexed="64"/>
      </top>
      <bottom style="dashed">
        <color indexed="64"/>
      </bottom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</borders>
  <cellStyleXfs count="17">
    <xf numFmtId="0" fontId="0" fillId="0" borderId="0"/>
    <xf numFmtId="43" fontId="3" fillId="0" borderId="0" applyFont="0" applyFill="0" applyBorder="0" applyAlignment="0" applyProtection="0"/>
    <xf numFmtId="0" fontId="6" fillId="0" borderId="0"/>
    <xf numFmtId="0" fontId="8" fillId="0" borderId="0"/>
    <xf numFmtId="0" fontId="3" fillId="0" borderId="0"/>
    <xf numFmtId="0" fontId="15" fillId="0" borderId="0"/>
    <xf numFmtId="0" fontId="8" fillId="0" borderId="0"/>
    <xf numFmtId="0" fontId="8" fillId="0" borderId="0"/>
    <xf numFmtId="0" fontId="15" fillId="0" borderId="0"/>
    <xf numFmtId="0" fontId="2" fillId="0" borderId="0"/>
    <xf numFmtId="9" fontId="3" fillId="0" borderId="0" applyFont="0" applyFill="0" applyBorder="0" applyAlignment="0" applyProtection="0"/>
    <xf numFmtId="9" fontId="23" fillId="0" borderId="0" applyFont="0" applyFill="0" applyBorder="0" applyAlignment="0" applyProtection="0"/>
    <xf numFmtId="0" fontId="25" fillId="0" borderId="0" applyNumberFormat="0" applyFill="0" applyBorder="0" applyAlignment="0" applyProtection="0"/>
    <xf numFmtId="0" fontId="8" fillId="0" borderId="0"/>
    <xf numFmtId="0" fontId="3" fillId="0" borderId="0"/>
    <xf numFmtId="0" fontId="1" fillId="0" borderId="0"/>
    <xf numFmtId="0" fontId="8" fillId="0" borderId="0"/>
  </cellStyleXfs>
  <cellXfs count="392">
    <xf numFmtId="0" fontId="0" fillId="0" borderId="0" xfId="0"/>
    <xf numFmtId="0" fontId="5" fillId="0" borderId="0" xfId="0" applyFont="1"/>
    <xf numFmtId="0" fontId="0" fillId="0" borderId="1" xfId="0" applyBorder="1"/>
    <xf numFmtId="0" fontId="0" fillId="0" borderId="2" xfId="0" applyBorder="1"/>
    <xf numFmtId="0" fontId="0" fillId="0" borderId="3" xfId="0" applyBorder="1"/>
    <xf numFmtId="0" fontId="0" fillId="0" borderId="4" xfId="0" applyBorder="1"/>
    <xf numFmtId="0" fontId="0" fillId="0" borderId="5" xfId="0" applyBorder="1"/>
    <xf numFmtId="0" fontId="0" fillId="0" borderId="6" xfId="0" applyBorder="1"/>
    <xf numFmtId="0" fontId="0" fillId="0" borderId="7" xfId="0" applyBorder="1"/>
    <xf numFmtId="0" fontId="0" fillId="0" borderId="8" xfId="0" applyBorder="1"/>
    <xf numFmtId="1" fontId="0" fillId="0" borderId="0" xfId="0" applyNumberFormat="1"/>
    <xf numFmtId="3" fontId="0" fillId="0" borderId="0" xfId="0" applyNumberFormat="1"/>
    <xf numFmtId="0" fontId="0" fillId="0" borderId="0" xfId="0" applyAlignment="1">
      <alignment textRotation="90" wrapText="1"/>
    </xf>
    <xf numFmtId="0" fontId="7" fillId="0" borderId="0" xfId="0" applyFont="1"/>
    <xf numFmtId="1" fontId="7" fillId="0" borderId="0" xfId="2" applyNumberFormat="1" applyFont="1"/>
    <xf numFmtId="1" fontId="5" fillId="0" borderId="0" xfId="2" applyNumberFormat="1" applyFont="1"/>
    <xf numFmtId="0" fontId="0" fillId="0" borderId="0" xfId="0" applyAlignment="1">
      <alignment horizontal="right"/>
    </xf>
    <xf numFmtId="1" fontId="5" fillId="0" borderId="0" xfId="0" applyNumberFormat="1" applyFont="1"/>
    <xf numFmtId="164" fontId="7" fillId="0" borderId="0" xfId="3" applyNumberFormat="1" applyFont="1"/>
    <xf numFmtId="0" fontId="9" fillId="0" borderId="0" xfId="3" applyFont="1"/>
    <xf numFmtId="0" fontId="5" fillId="0" borderId="0" xfId="3" applyFont="1" applyAlignment="1">
      <alignment horizontal="right"/>
    </xf>
    <xf numFmtId="1" fontId="7" fillId="0" borderId="0" xfId="3" applyNumberFormat="1" applyFont="1"/>
    <xf numFmtId="0" fontId="0" fillId="0" borderId="9" xfId="0" applyBorder="1"/>
    <xf numFmtId="1" fontId="5" fillId="0" borderId="9" xfId="0" applyNumberFormat="1" applyFont="1" applyBorder="1"/>
    <xf numFmtId="0" fontId="0" fillId="0" borderId="10" xfId="0" applyBorder="1"/>
    <xf numFmtId="0" fontId="5" fillId="0" borderId="9" xfId="3" applyFont="1" applyBorder="1" applyAlignment="1">
      <alignment horizontal="right"/>
    </xf>
    <xf numFmtId="164" fontId="7" fillId="0" borderId="10" xfId="3" applyNumberFormat="1" applyFont="1" applyBorder="1"/>
    <xf numFmtId="3" fontId="7" fillId="0" borderId="0" xfId="3" applyNumberFormat="1" applyFont="1"/>
    <xf numFmtId="0" fontId="5" fillId="0" borderId="11" xfId="0" applyFont="1" applyBorder="1"/>
    <xf numFmtId="3" fontId="7" fillId="0" borderId="10" xfId="3" applyNumberFormat="1" applyFont="1" applyBorder="1"/>
    <xf numFmtId="0" fontId="10" fillId="0" borderId="0" xfId="0" applyFont="1"/>
    <xf numFmtId="3" fontId="10" fillId="0" borderId="0" xfId="0" applyNumberFormat="1" applyFont="1"/>
    <xf numFmtId="3" fontId="7" fillId="0" borderId="0" xfId="0" applyNumberFormat="1" applyFont="1"/>
    <xf numFmtId="3" fontId="7" fillId="0" borderId="10" xfId="0" applyNumberFormat="1" applyFont="1" applyBorder="1"/>
    <xf numFmtId="3" fontId="0" fillId="0" borderId="10" xfId="0" applyNumberFormat="1" applyBorder="1"/>
    <xf numFmtId="1" fontId="5" fillId="0" borderId="10" xfId="0" applyNumberFormat="1" applyFont="1" applyBorder="1"/>
    <xf numFmtId="0" fontId="0" fillId="0" borderId="11" xfId="0" applyBorder="1"/>
    <xf numFmtId="0" fontId="5" fillId="0" borderId="10" xfId="0" applyFont="1" applyBorder="1" applyAlignment="1">
      <alignment horizontal="right"/>
    </xf>
    <xf numFmtId="0" fontId="7" fillId="0" borderId="0" xfId="0" applyFont="1" applyAlignment="1">
      <alignment horizontal="right"/>
    </xf>
    <xf numFmtId="0" fontId="7" fillId="0" borderId="10" xfId="0" applyFont="1" applyBorder="1"/>
    <xf numFmtId="164" fontId="0" fillId="0" borderId="0" xfId="0" applyNumberFormat="1"/>
    <xf numFmtId="0" fontId="5" fillId="0" borderId="10" xfId="0" applyFont="1" applyBorder="1"/>
    <xf numFmtId="1" fontId="5" fillId="0" borderId="10" xfId="0" applyNumberFormat="1" applyFont="1" applyBorder="1" applyAlignment="1">
      <alignment horizontal="right"/>
    </xf>
    <xf numFmtId="164" fontId="0" fillId="0" borderId="10" xfId="0" applyNumberFormat="1" applyBorder="1"/>
    <xf numFmtId="164" fontId="10" fillId="0" borderId="0" xfId="0" applyNumberFormat="1" applyFont="1"/>
    <xf numFmtId="0" fontId="7" fillId="0" borderId="0" xfId="0" applyFont="1" applyAlignment="1">
      <alignment horizontal="left"/>
    </xf>
    <xf numFmtId="0" fontId="12" fillId="0" borderId="0" xfId="0" applyFont="1"/>
    <xf numFmtId="0" fontId="0" fillId="0" borderId="0" xfId="0" applyAlignment="1">
      <alignment horizontal="center"/>
    </xf>
    <xf numFmtId="1" fontId="0" fillId="0" borderId="0" xfId="0" applyNumberFormat="1" applyAlignment="1">
      <alignment horizontal="right"/>
    </xf>
    <xf numFmtId="164" fontId="7" fillId="0" borderId="0" xfId="0" applyNumberFormat="1" applyFont="1"/>
    <xf numFmtId="164" fontId="7" fillId="0" borderId="10" xfId="0" applyNumberFormat="1" applyFont="1" applyBorder="1"/>
    <xf numFmtId="0" fontId="0" fillId="2" borderId="13" xfId="0" applyFill="1" applyBorder="1"/>
    <xf numFmtId="0" fontId="0" fillId="2" borderId="14" xfId="0" applyFill="1" applyBorder="1"/>
    <xf numFmtId="0" fontId="0" fillId="2" borderId="15" xfId="0" applyFill="1" applyBorder="1"/>
    <xf numFmtId="0" fontId="0" fillId="2" borderId="0" xfId="0" applyFill="1"/>
    <xf numFmtId="0" fontId="0" fillId="2" borderId="16" xfId="0" applyFill="1" applyBorder="1"/>
    <xf numFmtId="0" fontId="0" fillId="2" borderId="17" xfId="0" applyFill="1" applyBorder="1"/>
    <xf numFmtId="0" fontId="0" fillId="2" borderId="18" xfId="0" applyFill="1" applyBorder="1"/>
    <xf numFmtId="0" fontId="0" fillId="2" borderId="19" xfId="0" applyFill="1" applyBorder="1"/>
    <xf numFmtId="0" fontId="0" fillId="2" borderId="0" xfId="0" applyFill="1" applyAlignment="1">
      <alignment horizontal="center"/>
    </xf>
    <xf numFmtId="1" fontId="0" fillId="2" borderId="0" xfId="0" applyNumberFormat="1" applyFill="1" applyAlignment="1">
      <alignment horizontal="center"/>
    </xf>
    <xf numFmtId="0" fontId="0" fillId="2" borderId="20" xfId="0" applyFill="1" applyBorder="1" applyAlignment="1">
      <alignment horizontal="center"/>
    </xf>
    <xf numFmtId="0" fontId="0" fillId="2" borderId="21" xfId="0" applyFill="1" applyBorder="1" applyAlignment="1">
      <alignment horizontal="center"/>
    </xf>
    <xf numFmtId="0" fontId="0" fillId="0" borderId="10" xfId="0" applyBorder="1" applyAlignment="1">
      <alignment horizontal="right"/>
    </xf>
    <xf numFmtId="0" fontId="5" fillId="0" borderId="10" xfId="3" applyFont="1" applyBorder="1" applyAlignment="1">
      <alignment horizontal="right"/>
    </xf>
    <xf numFmtId="3" fontId="0" fillId="0" borderId="11" xfId="0" applyNumberFormat="1" applyBorder="1"/>
    <xf numFmtId="164" fontId="7" fillId="0" borderId="11" xfId="3" applyNumberFormat="1" applyFont="1" applyBorder="1"/>
    <xf numFmtId="166" fontId="0" fillId="0" borderId="10" xfId="0" applyNumberFormat="1" applyBorder="1"/>
    <xf numFmtId="166" fontId="7" fillId="0" borderId="0" xfId="3" applyNumberFormat="1" applyFont="1"/>
    <xf numFmtId="166" fontId="0" fillId="0" borderId="0" xfId="0" applyNumberFormat="1"/>
    <xf numFmtId="166" fontId="7" fillId="0" borderId="10" xfId="3" applyNumberFormat="1" applyFont="1" applyBorder="1"/>
    <xf numFmtId="0" fontId="0" fillId="0" borderId="0" xfId="0" applyAlignment="1">
      <alignment wrapText="1"/>
    </xf>
    <xf numFmtId="0" fontId="0" fillId="0" borderId="0" xfId="0" applyAlignment="1">
      <alignment horizontal="right" wrapText="1"/>
    </xf>
    <xf numFmtId="167" fontId="0" fillId="0" borderId="0" xfId="0" applyNumberFormat="1"/>
    <xf numFmtId="1" fontId="5" fillId="0" borderId="0" xfId="0" applyNumberFormat="1" applyFont="1" applyAlignment="1">
      <alignment horizontal="right"/>
    </xf>
    <xf numFmtId="1" fontId="5" fillId="0" borderId="9" xfId="0" applyNumberFormat="1" applyFont="1" applyBorder="1" applyAlignment="1">
      <alignment horizontal="right"/>
    </xf>
    <xf numFmtId="0" fontId="5" fillId="0" borderId="17" xfId="0" applyFont="1" applyBorder="1"/>
    <xf numFmtId="3" fontId="7" fillId="0" borderId="0" xfId="1" applyNumberFormat="1" applyFont="1"/>
    <xf numFmtId="0" fontId="7" fillId="0" borderId="11" xfId="0" applyFont="1" applyBorder="1"/>
    <xf numFmtId="0" fontId="7" fillId="0" borderId="11" xfId="0" applyFont="1" applyBorder="1" applyAlignment="1">
      <alignment horizontal="center"/>
    </xf>
    <xf numFmtId="0" fontId="9" fillId="3" borderId="0" xfId="0" applyFont="1" applyFill="1"/>
    <xf numFmtId="0" fontId="0" fillId="3" borderId="0" xfId="0" applyFill="1"/>
    <xf numFmtId="0" fontId="3" fillId="0" borderId="0" xfId="0" applyFont="1" applyAlignment="1">
      <alignment horizontal="right"/>
    </xf>
    <xf numFmtId="0" fontId="3" fillId="0" borderId="0" xfId="0" applyFont="1"/>
    <xf numFmtId="0" fontId="3" fillId="0" borderId="0" xfId="0" applyFont="1" applyAlignment="1">
      <alignment horizontal="right" wrapText="1"/>
    </xf>
    <xf numFmtId="0" fontId="5" fillId="0" borderId="0" xfId="0" applyFont="1" applyAlignment="1">
      <alignment vertical="center" wrapText="1"/>
    </xf>
    <xf numFmtId="0" fontId="13" fillId="0" borderId="0" xfId="3" applyFont="1"/>
    <xf numFmtId="3" fontId="5" fillId="0" borderId="0" xfId="0" applyNumberFormat="1" applyFont="1"/>
    <xf numFmtId="0" fontId="0" fillId="0" borderId="9" xfId="0" applyBorder="1" applyAlignment="1">
      <alignment horizontal="right" wrapText="1"/>
    </xf>
    <xf numFmtId="1" fontId="3" fillId="0" borderId="0" xfId="2" applyNumberFormat="1" applyFont="1"/>
    <xf numFmtId="0" fontId="5" fillId="0" borderId="0" xfId="0" applyFont="1" applyAlignment="1">
      <alignment wrapText="1"/>
    </xf>
    <xf numFmtId="0" fontId="3" fillId="0" borderId="0" xfId="4"/>
    <xf numFmtId="0" fontId="3" fillId="0" borderId="10" xfId="4" applyBorder="1"/>
    <xf numFmtId="3" fontId="3" fillId="0" borderId="10" xfId="4" applyNumberFormat="1" applyBorder="1"/>
    <xf numFmtId="3" fontId="3" fillId="0" borderId="0" xfId="4" applyNumberFormat="1"/>
    <xf numFmtId="0" fontId="3" fillId="0" borderId="11" xfId="4" applyBorder="1" applyAlignment="1">
      <alignment horizontal="centerContinuous"/>
    </xf>
    <xf numFmtId="0" fontId="3" fillId="0" borderId="11" xfId="4" applyBorder="1"/>
    <xf numFmtId="164" fontId="3" fillId="0" borderId="0" xfId="4" applyNumberFormat="1"/>
    <xf numFmtId="164" fontId="3" fillId="0" borderId="10" xfId="4" applyNumberFormat="1" applyBorder="1"/>
    <xf numFmtId="0" fontId="5" fillId="0" borderId="11" xfId="0" applyFont="1" applyBorder="1" applyAlignment="1">
      <alignment horizontal="right"/>
    </xf>
    <xf numFmtId="1" fontId="5" fillId="0" borderId="10" xfId="4" applyNumberFormat="1" applyFont="1" applyBorder="1" applyAlignment="1">
      <alignment horizontal="left"/>
    </xf>
    <xf numFmtId="1" fontId="5" fillId="0" borderId="10" xfId="4" applyNumberFormat="1" applyFont="1" applyBorder="1" applyAlignment="1">
      <alignment horizontal="left" wrapText="1"/>
    </xf>
    <xf numFmtId="0" fontId="3" fillId="0" borderId="0" xfId="4" applyAlignment="1">
      <alignment wrapText="1"/>
    </xf>
    <xf numFmtId="0" fontId="3" fillId="0" borderId="0" xfId="4" applyAlignment="1">
      <alignment horizontal="centerContinuous"/>
    </xf>
    <xf numFmtId="0" fontId="3" fillId="0" borderId="0" xfId="4" applyAlignment="1">
      <alignment horizontal="right" wrapText="1"/>
    </xf>
    <xf numFmtId="0" fontId="0" fillId="0" borderId="10" xfId="0" applyBorder="1" applyAlignment="1">
      <alignment horizontal="right" wrapText="1"/>
    </xf>
    <xf numFmtId="0" fontId="3" fillId="0" borderId="10" xfId="4" applyBorder="1" applyAlignment="1">
      <alignment horizontal="right" wrapText="1"/>
    </xf>
    <xf numFmtId="1" fontId="3" fillId="0" borderId="0" xfId="4" applyNumberFormat="1"/>
    <xf numFmtId="1" fontId="3" fillId="0" borderId="10" xfId="4" applyNumberFormat="1" applyBorder="1"/>
    <xf numFmtId="1" fontId="3" fillId="0" borderId="0" xfId="4" applyNumberFormat="1" applyAlignment="1">
      <alignment horizontal="right" wrapText="1"/>
    </xf>
    <xf numFmtId="1" fontId="3" fillId="0" borderId="10" xfId="4" applyNumberFormat="1" applyBorder="1" applyAlignment="1">
      <alignment horizontal="right" wrapText="1"/>
    </xf>
    <xf numFmtId="0" fontId="5" fillId="0" borderId="0" xfId="4" applyFont="1" applyAlignment="1">
      <alignment horizontal="center"/>
    </xf>
    <xf numFmtId="3" fontId="3" fillId="0" borderId="11" xfId="4" applyNumberFormat="1" applyBorder="1"/>
    <xf numFmtId="1" fontId="5" fillId="0" borderId="10" xfId="4" applyNumberFormat="1" applyFont="1" applyBorder="1" applyAlignment="1">
      <alignment wrapText="1"/>
    </xf>
    <xf numFmtId="0" fontId="5" fillId="0" borderId="0" xfId="4" applyFont="1"/>
    <xf numFmtId="0" fontId="3" fillId="0" borderId="10" xfId="0" applyFont="1" applyBorder="1" applyAlignment="1">
      <alignment horizontal="right" wrapText="1"/>
    </xf>
    <xf numFmtId="0" fontId="3" fillId="0" borderId="10" xfId="4" applyBorder="1" applyAlignment="1">
      <alignment horizontal="right"/>
    </xf>
    <xf numFmtId="0" fontId="3" fillId="0" borderId="0" xfId="4" applyAlignment="1">
      <alignment horizontal="right"/>
    </xf>
    <xf numFmtId="0" fontId="5" fillId="0" borderId="11" xfId="4" applyFont="1" applyBorder="1"/>
    <xf numFmtId="0" fontId="3" fillId="0" borderId="11" xfId="4" applyBorder="1" applyAlignment="1">
      <alignment horizontal="right"/>
    </xf>
    <xf numFmtId="1" fontId="5" fillId="0" borderId="10" xfId="4" applyNumberFormat="1" applyFont="1" applyBorder="1"/>
    <xf numFmtId="0" fontId="5" fillId="0" borderId="10" xfId="4" applyFont="1" applyBorder="1" applyAlignment="1">
      <alignment horizontal="right"/>
    </xf>
    <xf numFmtId="0" fontId="10" fillId="0" borderId="0" xfId="4" applyFont="1"/>
    <xf numFmtId="3" fontId="10" fillId="0" borderId="0" xfId="4" applyNumberFormat="1" applyFont="1"/>
    <xf numFmtId="0" fontId="0" fillId="0" borderId="0" xfId="0" quotePrefix="1"/>
    <xf numFmtId="0" fontId="0" fillId="0" borderId="0" xfId="0" applyAlignment="1">
      <alignment textRotation="90"/>
    </xf>
    <xf numFmtId="1" fontId="3" fillId="0" borderId="0" xfId="0" applyNumberFormat="1" applyFont="1"/>
    <xf numFmtId="0" fontId="3" fillId="2" borderId="20" xfId="0" applyFont="1" applyFill="1" applyBorder="1" applyAlignment="1">
      <alignment horizontal="center"/>
    </xf>
    <xf numFmtId="0" fontId="16" fillId="4" borderId="0" xfId="5" applyFont="1" applyFill="1"/>
    <xf numFmtId="0" fontId="15" fillId="4" borderId="0" xfId="5" applyFill="1"/>
    <xf numFmtId="0" fontId="15" fillId="0" borderId="0" xfId="5"/>
    <xf numFmtId="0" fontId="16" fillId="4" borderId="11" xfId="5" applyFont="1" applyFill="1" applyBorder="1" applyAlignment="1">
      <alignment horizontal="right"/>
    </xf>
    <xf numFmtId="1" fontId="16" fillId="4" borderId="11" xfId="5" applyNumberFormat="1" applyFont="1" applyFill="1" applyBorder="1" applyAlignment="1">
      <alignment horizontal="right"/>
    </xf>
    <xf numFmtId="1" fontId="5" fillId="4" borderId="0" xfId="6" applyNumberFormat="1" applyFont="1" applyFill="1"/>
    <xf numFmtId="0" fontId="16" fillId="4" borderId="10" xfId="5" applyFont="1" applyFill="1" applyBorder="1" applyAlignment="1">
      <alignment horizontal="right"/>
    </xf>
    <xf numFmtId="1" fontId="15" fillId="0" borderId="0" xfId="5" applyNumberFormat="1"/>
    <xf numFmtId="0" fontId="16" fillId="0" borderId="0" xfId="5" applyFont="1"/>
    <xf numFmtId="0" fontId="17" fillId="0" borderId="0" xfId="5" applyFont="1"/>
    <xf numFmtId="1" fontId="17" fillId="0" borderId="0" xfId="0" applyNumberFormat="1" applyFont="1"/>
    <xf numFmtId="0" fontId="19" fillId="0" borderId="0" xfId="0" applyFont="1" applyAlignment="1">
      <alignment horizontal="left" vertical="center" readingOrder="1"/>
    </xf>
    <xf numFmtId="168" fontId="15" fillId="0" borderId="0" xfId="1" applyNumberFormat="1" applyFont="1"/>
    <xf numFmtId="164" fontId="15" fillId="0" borderId="0" xfId="5" applyNumberFormat="1"/>
    <xf numFmtId="164" fontId="15" fillId="0" borderId="11" xfId="5" applyNumberFormat="1" applyBorder="1"/>
    <xf numFmtId="1" fontId="5" fillId="0" borderId="0" xfId="6" applyNumberFormat="1" applyFont="1"/>
    <xf numFmtId="0" fontId="16" fillId="0" borderId="0" xfId="5" applyFont="1" applyAlignment="1">
      <alignment horizontal="right"/>
    </xf>
    <xf numFmtId="0" fontId="15" fillId="0" borderId="10" xfId="5" applyBorder="1"/>
    <xf numFmtId="0" fontId="15" fillId="0" borderId="11" xfId="5" applyBorder="1"/>
    <xf numFmtId="164" fontId="15" fillId="0" borderId="10" xfId="5" applyNumberFormat="1" applyBorder="1"/>
    <xf numFmtId="1" fontId="15" fillId="0" borderId="10" xfId="5" applyNumberFormat="1" applyBorder="1"/>
    <xf numFmtId="0" fontId="3" fillId="0" borderId="10" xfId="5" applyFont="1" applyBorder="1"/>
    <xf numFmtId="3" fontId="15" fillId="0" borderId="11" xfId="5" applyNumberFormat="1" applyBorder="1"/>
    <xf numFmtId="3" fontId="15" fillId="0" borderId="0" xfId="5" applyNumberFormat="1"/>
    <xf numFmtId="3" fontId="15" fillId="0" borderId="10" xfId="5" applyNumberFormat="1" applyBorder="1"/>
    <xf numFmtId="0" fontId="16" fillId="4" borderId="11" xfId="5" applyFont="1" applyFill="1" applyBorder="1" applyAlignment="1">
      <alignment horizontal="center"/>
    </xf>
    <xf numFmtId="0" fontId="16" fillId="4" borderId="0" xfId="5" applyFont="1" applyFill="1" applyAlignment="1">
      <alignment horizontal="right"/>
    </xf>
    <xf numFmtId="0" fontId="15" fillId="4" borderId="10" xfId="5" applyFill="1" applyBorder="1"/>
    <xf numFmtId="0" fontId="9" fillId="3" borderId="0" xfId="4" applyFont="1" applyFill="1"/>
    <xf numFmtId="0" fontId="3" fillId="3" borderId="0" xfId="4" applyFill="1"/>
    <xf numFmtId="0" fontId="12" fillId="0" borderId="0" xfId="4" applyFont="1"/>
    <xf numFmtId="0" fontId="16" fillId="4" borderId="9" xfId="5" applyFont="1" applyFill="1" applyBorder="1" applyAlignment="1">
      <alignment horizontal="right"/>
    </xf>
    <xf numFmtId="0" fontId="1" fillId="0" borderId="0" xfId="5" applyFont="1"/>
    <xf numFmtId="0" fontId="1" fillId="0" borderId="0" xfId="5" applyFont="1" applyAlignment="1">
      <alignment wrapText="1"/>
    </xf>
    <xf numFmtId="168" fontId="15" fillId="0" borderId="0" xfId="1" applyNumberFormat="1" applyFont="1" applyFill="1" applyBorder="1"/>
    <xf numFmtId="168" fontId="15" fillId="0" borderId="0" xfId="1" applyNumberFormat="1" applyFont="1" applyFill="1"/>
    <xf numFmtId="2" fontId="15" fillId="0" borderId="11" xfId="5" applyNumberFormat="1" applyBorder="1"/>
    <xf numFmtId="2" fontId="15" fillId="0" borderId="0" xfId="5" applyNumberFormat="1"/>
    <xf numFmtId="0" fontId="1" fillId="4" borderId="10" xfId="5" applyFont="1" applyFill="1" applyBorder="1"/>
    <xf numFmtId="168" fontId="15" fillId="0" borderId="10" xfId="1" applyNumberFormat="1" applyFont="1" applyFill="1" applyBorder="1"/>
    <xf numFmtId="0" fontId="15" fillId="0" borderId="0" xfId="5" applyAlignment="1">
      <alignment vertical="top" wrapText="1"/>
    </xf>
    <xf numFmtId="169" fontId="1" fillId="0" borderId="0" xfId="1" applyNumberFormat="1" applyFont="1" applyFill="1"/>
    <xf numFmtId="0" fontId="14" fillId="0" borderId="0" xfId="0" applyFont="1" applyAlignment="1">
      <alignment horizontal="left" vertical="top"/>
    </xf>
    <xf numFmtId="0" fontId="15" fillId="0" borderId="0" xfId="5" applyAlignment="1">
      <alignment horizontal="left" vertical="top"/>
    </xf>
    <xf numFmtId="4" fontId="0" fillId="0" borderId="0" xfId="0" applyNumberFormat="1"/>
    <xf numFmtId="2" fontId="7" fillId="0" borderId="0" xfId="3" applyNumberFormat="1" applyFont="1"/>
    <xf numFmtId="0" fontId="0" fillId="2" borderId="15" xfId="0" applyFill="1" applyBorder="1" applyAlignment="1">
      <alignment horizontal="right"/>
    </xf>
    <xf numFmtId="0" fontId="22" fillId="0" borderId="0" xfId="0" applyFont="1"/>
    <xf numFmtId="0" fontId="5" fillId="2" borderId="12" xfId="0" applyFont="1" applyFill="1" applyBorder="1" applyAlignment="1">
      <alignment horizontal="left" vertical="center"/>
    </xf>
    <xf numFmtId="0" fontId="5" fillId="2" borderId="12" xfId="0" applyFont="1" applyFill="1" applyBorder="1" applyAlignment="1">
      <alignment vertical="center"/>
    </xf>
    <xf numFmtId="1" fontId="3" fillId="0" borderId="0" xfId="4" applyNumberFormat="1" applyAlignment="1">
      <alignment horizontal="right"/>
    </xf>
    <xf numFmtId="0" fontId="5" fillId="0" borderId="9" xfId="4" applyFont="1" applyBorder="1"/>
    <xf numFmtId="0" fontId="5" fillId="0" borderId="10" xfId="4" applyFont="1" applyBorder="1"/>
    <xf numFmtId="0" fontId="18" fillId="0" borderId="0" xfId="4" applyFont="1"/>
    <xf numFmtId="0" fontId="5" fillId="0" borderId="0" xfId="3" applyFont="1"/>
    <xf numFmtId="0" fontId="5" fillId="0" borderId="0" xfId="4" applyFont="1" applyAlignment="1">
      <alignment horizontal="right"/>
    </xf>
    <xf numFmtId="0" fontId="5" fillId="0" borderId="11" xfId="4" applyFont="1" applyBorder="1" applyAlignment="1">
      <alignment horizontal="centerContinuous"/>
    </xf>
    <xf numFmtId="0" fontId="3" fillId="0" borderId="9" xfId="4" applyBorder="1" applyAlignment="1">
      <alignment horizontal="centerContinuous"/>
    </xf>
    <xf numFmtId="0" fontId="3" fillId="0" borderId="9" xfId="4" applyBorder="1"/>
    <xf numFmtId="1" fontId="5" fillId="0" borderId="10" xfId="4" applyNumberFormat="1" applyFont="1" applyBorder="1" applyAlignment="1">
      <alignment horizontal="right"/>
    </xf>
    <xf numFmtId="3" fontId="3" fillId="0" borderId="0" xfId="1" applyNumberFormat="1" applyFont="1"/>
    <xf numFmtId="3" fontId="3" fillId="0" borderId="0" xfId="1" applyNumberFormat="1" applyFont="1" applyBorder="1"/>
    <xf numFmtId="3" fontId="3" fillId="0" borderId="10" xfId="1" applyNumberFormat="1" applyFont="1" applyBorder="1"/>
    <xf numFmtId="3" fontId="3" fillId="0" borderId="11" xfId="1" applyNumberFormat="1" applyFont="1" applyBorder="1"/>
    <xf numFmtId="0" fontId="16" fillId="4" borderId="0" xfId="5" applyFont="1" applyFill="1" applyAlignment="1">
      <alignment horizontal="center"/>
    </xf>
    <xf numFmtId="0" fontId="16" fillId="4" borderId="11" xfId="5" applyFont="1" applyFill="1" applyBorder="1" applyAlignment="1">
      <alignment horizontal="center" wrapText="1"/>
    </xf>
    <xf numFmtId="0" fontId="9" fillId="0" borderId="0" xfId="0" applyFont="1"/>
    <xf numFmtId="0" fontId="5" fillId="0" borderId="9" xfId="0" applyFont="1" applyBorder="1"/>
    <xf numFmtId="1" fontId="18" fillId="0" borderId="0" xfId="0" applyNumberFormat="1" applyFont="1"/>
    <xf numFmtId="2" fontId="15" fillId="0" borderId="10" xfId="5" applyNumberFormat="1" applyBorder="1"/>
    <xf numFmtId="0" fontId="0" fillId="2" borderId="10" xfId="0" applyFill="1" applyBorder="1"/>
    <xf numFmtId="0" fontId="5" fillId="2" borderId="14" xfId="0" applyFont="1" applyFill="1" applyBorder="1" applyAlignment="1">
      <alignment horizontal="left" vertical="center"/>
    </xf>
    <xf numFmtId="167" fontId="0" fillId="0" borderId="0" xfId="11" applyNumberFormat="1" applyFont="1" applyAlignment="1"/>
    <xf numFmtId="0" fontId="5" fillId="0" borderId="9" xfId="0" applyFont="1" applyBorder="1" applyAlignment="1">
      <alignment vertical="center" wrapText="1"/>
    </xf>
    <xf numFmtId="0" fontId="0" fillId="0" borderId="9" xfId="0" applyBorder="1" applyAlignment="1">
      <alignment horizontal="right"/>
    </xf>
    <xf numFmtId="0" fontId="24" fillId="0" borderId="0" xfId="5" applyFont="1"/>
    <xf numFmtId="0" fontId="0" fillId="2" borderId="23" xfId="0" applyFill="1" applyBorder="1" applyAlignment="1">
      <alignment horizontal="right"/>
    </xf>
    <xf numFmtId="3" fontId="10" fillId="0" borderId="10" xfId="0" applyNumberFormat="1" applyFont="1" applyBorder="1"/>
    <xf numFmtId="164" fontId="10" fillId="0" borderId="10" xfId="0" applyNumberFormat="1" applyFont="1" applyBorder="1"/>
    <xf numFmtId="3" fontId="3" fillId="0" borderId="0" xfId="5" applyNumberFormat="1" applyFont="1"/>
    <xf numFmtId="0" fontId="5" fillId="0" borderId="0" xfId="0" applyFont="1" applyAlignment="1">
      <alignment horizontal="left"/>
    </xf>
    <xf numFmtId="0" fontId="5" fillId="0" borderId="22" xfId="0" applyFont="1" applyBorder="1"/>
    <xf numFmtId="0" fontId="25" fillId="0" borderId="22" xfId="12" applyBorder="1"/>
    <xf numFmtId="0" fontId="3" fillId="0" borderId="22" xfId="0" applyFont="1" applyBorder="1"/>
    <xf numFmtId="0" fontId="0" fillId="0" borderId="22" xfId="0" applyBorder="1"/>
    <xf numFmtId="0" fontId="26" fillId="0" borderId="0" xfId="0" applyFont="1"/>
    <xf numFmtId="0" fontId="3" fillId="0" borderId="0" xfId="13" applyFont="1" applyAlignment="1">
      <alignment horizontal="center"/>
    </xf>
    <xf numFmtId="0" fontId="1" fillId="0" borderId="0" xfId="7" applyFont="1" applyAlignment="1">
      <alignment horizontal="center" vertical="center"/>
    </xf>
    <xf numFmtId="0" fontId="27" fillId="0" borderId="0" xfId="7" applyFont="1" applyAlignment="1">
      <alignment horizontal="center"/>
    </xf>
    <xf numFmtId="0" fontId="31" fillId="0" borderId="0" xfId="7" applyFont="1" applyAlignment="1">
      <alignment horizontal="center" vertical="center"/>
    </xf>
    <xf numFmtId="0" fontId="27" fillId="0" borderId="5" xfId="7" applyFont="1" applyBorder="1" applyAlignment="1">
      <alignment horizontal="center"/>
    </xf>
    <xf numFmtId="0" fontId="1" fillId="0" borderId="1" xfId="7" applyFont="1" applyBorder="1" applyAlignment="1">
      <alignment horizontal="center" vertical="center"/>
    </xf>
    <xf numFmtId="0" fontId="1" fillId="0" borderId="2" xfId="7" applyFont="1" applyBorder="1" applyAlignment="1">
      <alignment horizontal="center" vertical="center"/>
    </xf>
    <xf numFmtId="0" fontId="31" fillId="0" borderId="2" xfId="7" applyFont="1" applyBorder="1" applyAlignment="1">
      <alignment horizontal="center" vertical="center"/>
    </xf>
    <xf numFmtId="0" fontId="1" fillId="0" borderId="3" xfId="7" applyFont="1" applyBorder="1" applyAlignment="1">
      <alignment horizontal="center" vertical="center"/>
    </xf>
    <xf numFmtId="0" fontId="32" fillId="0" borderId="4" xfId="7" applyFont="1" applyBorder="1" applyAlignment="1">
      <alignment horizontal="center" vertical="center"/>
    </xf>
    <xf numFmtId="0" fontId="32" fillId="0" borderId="0" xfId="7" applyFont="1" applyAlignment="1">
      <alignment horizontal="center" vertical="center"/>
    </xf>
    <xf numFmtId="0" fontId="1" fillId="0" borderId="5" xfId="7" applyFont="1" applyBorder="1" applyAlignment="1">
      <alignment horizontal="center" vertical="center"/>
    </xf>
    <xf numFmtId="0" fontId="31" fillId="0" borderId="4" xfId="7" applyFont="1" applyBorder="1" applyAlignment="1">
      <alignment horizontal="center" vertical="center"/>
    </xf>
    <xf numFmtId="0" fontId="8" fillId="0" borderId="0" xfId="7" applyAlignment="1">
      <alignment horizontal="center"/>
    </xf>
    <xf numFmtId="0" fontId="5" fillId="0" borderId="0" xfId="14" applyFont="1"/>
    <xf numFmtId="0" fontId="3" fillId="0" borderId="0" xfId="14"/>
    <xf numFmtId="1" fontId="16" fillId="0" borderId="0" xfId="0" applyNumberFormat="1" applyFont="1"/>
    <xf numFmtId="1" fontId="0" fillId="0" borderId="10" xfId="0" applyNumberFormat="1" applyBorder="1"/>
    <xf numFmtId="1" fontId="7" fillId="0" borderId="0" xfId="0" applyNumberFormat="1" applyFont="1"/>
    <xf numFmtId="1" fontId="5" fillId="0" borderId="11" xfId="0" applyNumberFormat="1" applyFont="1" applyBorder="1"/>
    <xf numFmtId="167" fontId="0" fillId="0" borderId="10" xfId="11" applyNumberFormat="1" applyFont="1" applyBorder="1" applyAlignment="1"/>
    <xf numFmtId="1" fontId="3" fillId="0" borderId="10" xfId="4" applyNumberFormat="1" applyBorder="1" applyAlignment="1">
      <alignment horizontal="center" wrapText="1"/>
    </xf>
    <xf numFmtId="0" fontId="3" fillId="0" borderId="0" xfId="15" applyFont="1"/>
    <xf numFmtId="1" fontId="3" fillId="0" borderId="0" xfId="15" applyNumberFormat="1" applyFont="1"/>
    <xf numFmtId="3" fontId="3" fillId="0" borderId="0" xfId="15" applyNumberFormat="1" applyFont="1"/>
    <xf numFmtId="3" fontId="3" fillId="0" borderId="0" xfId="15" applyNumberFormat="1" applyFont="1" applyAlignment="1">
      <alignment horizontal="right"/>
    </xf>
    <xf numFmtId="1" fontId="3" fillId="0" borderId="0" xfId="15" applyNumberFormat="1" applyFont="1" applyAlignment="1">
      <alignment horizontal="right"/>
    </xf>
    <xf numFmtId="1" fontId="5" fillId="0" borderId="0" xfId="15" applyNumberFormat="1" applyFont="1"/>
    <xf numFmtId="0" fontId="5" fillId="0" borderId="11" xfId="15" applyFont="1" applyBorder="1"/>
    <xf numFmtId="0" fontId="3" fillId="0" borderId="11" xfId="15" applyFont="1" applyBorder="1"/>
    <xf numFmtId="1" fontId="3" fillId="0" borderId="10" xfId="15" applyNumberFormat="1" applyFont="1" applyBorder="1"/>
    <xf numFmtId="0" fontId="5" fillId="0" borderId="10" xfId="15" applyFont="1" applyBorder="1" applyAlignment="1">
      <alignment horizontal="right"/>
    </xf>
    <xf numFmtId="0" fontId="5" fillId="0" borderId="0" xfId="15" applyFont="1" applyAlignment="1">
      <alignment horizontal="centerContinuous"/>
    </xf>
    <xf numFmtId="3" fontId="3" fillId="0" borderId="10" xfId="15" applyNumberFormat="1" applyFont="1" applyBorder="1"/>
    <xf numFmtId="0" fontId="3" fillId="0" borderId="0" xfId="15" applyFont="1" applyAlignment="1">
      <alignment horizontal="right"/>
    </xf>
    <xf numFmtId="3" fontId="3" fillId="0" borderId="0" xfId="3" applyNumberFormat="1" applyFont="1"/>
    <xf numFmtId="1" fontId="5" fillId="0" borderId="11" xfId="15" applyNumberFormat="1" applyFont="1" applyBorder="1"/>
    <xf numFmtId="3" fontId="3" fillId="0" borderId="10" xfId="3" applyNumberFormat="1" applyFont="1" applyBorder="1" applyAlignment="1">
      <alignment horizontal="right"/>
    </xf>
    <xf numFmtId="0" fontId="3" fillId="0" borderId="10" xfId="15" applyFont="1" applyBorder="1"/>
    <xf numFmtId="1" fontId="5" fillId="0" borderId="0" xfId="15" applyNumberFormat="1" applyFont="1" applyAlignment="1">
      <alignment horizontal="centerContinuous"/>
    </xf>
    <xf numFmtId="0" fontId="5" fillId="0" borderId="10" xfId="15" applyFont="1" applyBorder="1"/>
    <xf numFmtId="1" fontId="5" fillId="0" borderId="10" xfId="15" applyNumberFormat="1" applyFont="1" applyBorder="1" applyAlignment="1">
      <alignment horizontal="right"/>
    </xf>
    <xf numFmtId="1" fontId="3" fillId="0" borderId="10" xfId="3" applyNumberFormat="1" applyFont="1" applyBorder="1" applyAlignment="1">
      <alignment horizontal="right"/>
    </xf>
    <xf numFmtId="0" fontId="5" fillId="0" borderId="0" xfId="15" applyFont="1" applyAlignment="1">
      <alignment horizontal="right"/>
    </xf>
    <xf numFmtId="0" fontId="5" fillId="0" borderId="0" xfId="15" applyFont="1"/>
    <xf numFmtId="1" fontId="5" fillId="0" borderId="0" xfId="15" applyNumberFormat="1" applyFont="1" applyAlignment="1">
      <alignment horizontal="right"/>
    </xf>
    <xf numFmtId="1" fontId="3" fillId="0" borderId="0" xfId="16" applyNumberFormat="1" applyFont="1"/>
    <xf numFmtId="1" fontId="5" fillId="0" borderId="0" xfId="16" applyNumberFormat="1" applyFont="1"/>
    <xf numFmtId="1" fontId="10" fillId="0" borderId="0" xfId="16" applyNumberFormat="1" applyFont="1"/>
    <xf numFmtId="1" fontId="3" fillId="0" borderId="0" xfId="16" applyNumberFormat="1" applyFont="1" applyAlignment="1">
      <alignment horizontal="right"/>
    </xf>
    <xf numFmtId="1" fontId="3" fillId="0" borderId="10" xfId="16" applyNumberFormat="1" applyFont="1" applyBorder="1"/>
    <xf numFmtId="1" fontId="26" fillId="0" borderId="11" xfId="16" applyNumberFormat="1" applyFont="1" applyBorder="1"/>
    <xf numFmtId="1" fontId="3" fillId="0" borderId="11" xfId="16" applyNumberFormat="1" applyFont="1" applyBorder="1"/>
    <xf numFmtId="1" fontId="18" fillId="0" borderId="10" xfId="16" applyNumberFormat="1" applyFont="1" applyBorder="1"/>
    <xf numFmtId="1" fontId="5" fillId="0" borderId="10" xfId="16" applyNumberFormat="1" applyFont="1" applyBorder="1" applyAlignment="1">
      <alignment horizontal="right"/>
    </xf>
    <xf numFmtId="1" fontId="18" fillId="0" borderId="0" xfId="16" applyNumberFormat="1" applyFont="1"/>
    <xf numFmtId="0" fontId="16" fillId="0" borderId="11" xfId="5" applyFont="1" applyBorder="1" applyAlignment="1">
      <alignment horizontal="right"/>
    </xf>
    <xf numFmtId="1" fontId="16" fillId="0" borderId="11" xfId="5" applyNumberFormat="1" applyFont="1" applyBorder="1" applyAlignment="1">
      <alignment horizontal="right"/>
    </xf>
    <xf numFmtId="0" fontId="16" fillId="0" borderId="10" xfId="5" applyFont="1" applyBorder="1" applyAlignment="1">
      <alignment horizontal="right"/>
    </xf>
    <xf numFmtId="1" fontId="5" fillId="0" borderId="10" xfId="6" applyNumberFormat="1" applyFont="1" applyBorder="1"/>
    <xf numFmtId="0" fontId="16" fillId="0" borderId="10" xfId="5" applyFont="1" applyBorder="1"/>
    <xf numFmtId="0" fontId="16" fillId="0" borderId="11" xfId="5" applyFont="1" applyBorder="1"/>
    <xf numFmtId="0" fontId="31" fillId="0" borderId="0" xfId="5" applyFont="1"/>
    <xf numFmtId="1" fontId="5" fillId="0" borderId="11" xfId="6" applyNumberFormat="1" applyFont="1" applyBorder="1"/>
    <xf numFmtId="3" fontId="5" fillId="0" borderId="0" xfId="15" applyNumberFormat="1" applyFont="1" applyAlignment="1">
      <alignment horizontal="centerContinuous"/>
    </xf>
    <xf numFmtId="1" fontId="5" fillId="0" borderId="0" xfId="7" applyNumberFormat="1" applyFont="1"/>
    <xf numFmtId="3" fontId="5" fillId="0" borderId="10" xfId="15" applyNumberFormat="1" applyFont="1" applyBorder="1" applyAlignment="1">
      <alignment horizontal="right"/>
    </xf>
    <xf numFmtId="3" fontId="5" fillId="0" borderId="0" xfId="3" applyNumberFormat="1" applyFont="1"/>
    <xf numFmtId="0" fontId="3" fillId="0" borderId="0" xfId="3" applyFont="1"/>
    <xf numFmtId="1" fontId="3" fillId="0" borderId="0" xfId="3" applyNumberFormat="1" applyFont="1"/>
    <xf numFmtId="1" fontId="3" fillId="0" borderId="0" xfId="3" applyNumberFormat="1" applyFont="1" applyAlignment="1">
      <alignment horizontal="right"/>
    </xf>
    <xf numFmtId="1" fontId="5" fillId="0" borderId="0" xfId="3" applyNumberFormat="1" applyFont="1"/>
    <xf numFmtId="1" fontId="5" fillId="0" borderId="0" xfId="3" applyNumberFormat="1" applyFont="1" applyAlignment="1">
      <alignment horizontal="left"/>
    </xf>
    <xf numFmtId="1" fontId="5" fillId="0" borderId="0" xfId="3" applyNumberFormat="1" applyFont="1" applyAlignment="1">
      <alignment horizontal="right"/>
    </xf>
    <xf numFmtId="0" fontId="5" fillId="0" borderId="11" xfId="3" applyFont="1" applyBorder="1"/>
    <xf numFmtId="1" fontId="5" fillId="0" borderId="11" xfId="3" applyNumberFormat="1" applyFont="1" applyBorder="1"/>
    <xf numFmtId="0" fontId="3" fillId="0" borderId="11" xfId="3" applyFont="1" applyBorder="1"/>
    <xf numFmtId="1" fontId="3" fillId="0" borderId="11" xfId="3" applyNumberFormat="1" applyFont="1" applyBorder="1"/>
    <xf numFmtId="0" fontId="5" fillId="0" borderId="0" xfId="3" applyFont="1" applyAlignment="1">
      <alignment horizontal="left"/>
    </xf>
    <xf numFmtId="0" fontId="3" fillId="0" borderId="10" xfId="3" applyFont="1" applyBorder="1"/>
    <xf numFmtId="1" fontId="3" fillId="0" borderId="10" xfId="3" applyNumberFormat="1" applyFont="1" applyBorder="1"/>
    <xf numFmtId="0" fontId="4" fillId="0" borderId="0" xfId="3" applyFont="1"/>
    <xf numFmtId="0" fontId="5" fillId="0" borderId="10" xfId="3" applyFont="1" applyBorder="1"/>
    <xf numFmtId="1" fontId="5" fillId="0" borderId="10" xfId="3" applyNumberFormat="1" applyFont="1" applyBorder="1" applyAlignment="1">
      <alignment horizontal="right"/>
    </xf>
    <xf numFmtId="2" fontId="3" fillId="0" borderId="0" xfId="3" applyNumberFormat="1" applyFont="1" applyAlignment="1">
      <alignment horizontal="right"/>
    </xf>
    <xf numFmtId="164" fontId="3" fillId="0" borderId="0" xfId="3" applyNumberFormat="1" applyFont="1" applyAlignment="1">
      <alignment horizontal="right"/>
    </xf>
    <xf numFmtId="164" fontId="3" fillId="0" borderId="0" xfId="16" applyNumberFormat="1" applyFont="1" applyAlignment="1">
      <alignment horizontal="right"/>
    </xf>
    <xf numFmtId="164" fontId="3" fillId="0" borderId="10" xfId="16" applyNumberFormat="1" applyFont="1" applyBorder="1" applyAlignment="1">
      <alignment horizontal="right"/>
    </xf>
    <xf numFmtId="166" fontId="3" fillId="0" borderId="0" xfId="3" applyNumberFormat="1" applyFont="1"/>
    <xf numFmtId="166" fontId="3" fillId="0" borderId="0" xfId="15" applyNumberFormat="1" applyFont="1"/>
    <xf numFmtId="166" fontId="7" fillId="0" borderId="0" xfId="1" applyNumberFormat="1" applyFont="1"/>
    <xf numFmtId="166" fontId="7" fillId="0" borderId="0" xfId="1" applyNumberFormat="1" applyFont="1" applyBorder="1"/>
    <xf numFmtId="166" fontId="7" fillId="0" borderId="0" xfId="0" applyNumberFormat="1" applyFont="1"/>
    <xf numFmtId="166" fontId="7" fillId="0" borderId="10" xfId="1" applyNumberFormat="1" applyFont="1" applyBorder="1"/>
    <xf numFmtId="166" fontId="7" fillId="0" borderId="10" xfId="0" applyNumberFormat="1" applyFont="1" applyBorder="1"/>
    <xf numFmtId="166" fontId="3" fillId="0" borderId="0" xfId="4" applyNumberFormat="1"/>
    <xf numFmtId="166" fontId="3" fillId="0" borderId="10" xfId="4" applyNumberFormat="1" applyBorder="1"/>
    <xf numFmtId="166" fontId="3" fillId="0" borderId="10" xfId="15" applyNumberFormat="1" applyFont="1" applyBorder="1"/>
    <xf numFmtId="165" fontId="3" fillId="0" borderId="0" xfId="15" applyNumberFormat="1" applyFont="1"/>
    <xf numFmtId="170" fontId="0" fillId="0" borderId="0" xfId="0" applyNumberFormat="1"/>
    <xf numFmtId="1" fontId="10" fillId="0" borderId="0" xfId="16" applyNumberFormat="1" applyFont="1" applyAlignment="1">
      <alignment horizontal="right"/>
    </xf>
    <xf numFmtId="1" fontId="3" fillId="0" borderId="10" xfId="16" applyNumberFormat="1" applyFont="1" applyBorder="1" applyAlignment="1">
      <alignment horizontal="right"/>
    </xf>
    <xf numFmtId="1" fontId="10" fillId="0" borderId="10" xfId="16" applyNumberFormat="1" applyFont="1" applyBorder="1" applyAlignment="1">
      <alignment horizontal="right"/>
    </xf>
    <xf numFmtId="1" fontId="5" fillId="0" borderId="11" xfId="16" applyNumberFormat="1" applyFont="1" applyBorder="1" applyAlignment="1">
      <alignment horizontal="right"/>
    </xf>
    <xf numFmtId="1" fontId="5" fillId="0" borderId="11" xfId="16" applyNumberFormat="1" applyFont="1" applyBorder="1" applyAlignment="1">
      <alignment horizontal="center"/>
    </xf>
    <xf numFmtId="1" fontId="5" fillId="0" borderId="0" xfId="16" applyNumberFormat="1" applyFont="1" applyAlignment="1">
      <alignment horizontal="right"/>
    </xf>
    <xf numFmtId="1" fontId="3" fillId="0" borderId="11" xfId="16" applyNumberFormat="1" applyFont="1" applyBorder="1" applyAlignment="1">
      <alignment horizontal="right"/>
    </xf>
    <xf numFmtId="0" fontId="5" fillId="0" borderId="10" xfId="3" applyFont="1" applyBorder="1" applyAlignment="1">
      <alignment horizontal="center"/>
    </xf>
    <xf numFmtId="4" fontId="3" fillId="0" borderId="0" xfId="3" applyNumberFormat="1" applyFont="1"/>
    <xf numFmtId="4" fontId="3" fillId="0" borderId="0" xfId="15" applyNumberFormat="1" applyFont="1"/>
    <xf numFmtId="0" fontId="13" fillId="0" borderId="0" xfId="15" applyFont="1"/>
    <xf numFmtId="0" fontId="13" fillId="0" borderId="0" xfId="15" applyFont="1" applyAlignment="1">
      <alignment horizontal="centerContinuous"/>
    </xf>
    <xf numFmtId="0" fontId="13" fillId="0" borderId="0" xfId="4" applyFont="1"/>
    <xf numFmtId="0" fontId="3" fillId="0" borderId="0" xfId="4" applyAlignment="1">
      <alignment horizontal="center" vertical="center"/>
    </xf>
    <xf numFmtId="164" fontId="3" fillId="0" borderId="0" xfId="3" applyNumberFormat="1" applyFont="1" applyAlignment="1">
      <alignment horizontal="center" vertical="center"/>
    </xf>
    <xf numFmtId="1" fontId="3" fillId="0" borderId="0" xfId="15" applyNumberFormat="1" applyFont="1" applyAlignment="1">
      <alignment vertical="center"/>
    </xf>
    <xf numFmtId="3" fontId="3" fillId="0" borderId="0" xfId="3" applyNumberFormat="1" applyFont="1" applyAlignment="1">
      <alignment horizontal="center" vertical="center"/>
    </xf>
    <xf numFmtId="3" fontId="3" fillId="0" borderId="0" xfId="15" applyNumberFormat="1" applyFont="1" applyAlignment="1">
      <alignment horizontal="center" vertical="center"/>
    </xf>
    <xf numFmtId="1" fontId="5" fillId="0" borderId="10" xfId="15" applyNumberFormat="1" applyFont="1" applyBorder="1" applyAlignment="1">
      <alignment vertical="center"/>
    </xf>
    <xf numFmtId="3" fontId="5" fillId="0" borderId="10" xfId="15" applyNumberFormat="1" applyFont="1" applyBorder="1" applyAlignment="1">
      <alignment horizontal="center" vertical="center"/>
    </xf>
    <xf numFmtId="164" fontId="5" fillId="0" borderId="10" xfId="3" applyNumberFormat="1" applyFont="1" applyBorder="1" applyAlignment="1">
      <alignment horizontal="center" vertical="center"/>
    </xf>
    <xf numFmtId="0" fontId="5" fillId="0" borderId="10" xfId="4" applyFont="1" applyBorder="1" applyAlignment="1">
      <alignment horizontal="center" vertical="center"/>
    </xf>
    <xf numFmtId="9" fontId="0" fillId="0" borderId="0" xfId="11" applyFont="1"/>
    <xf numFmtId="9" fontId="5" fillId="0" borderId="0" xfId="11" applyFont="1"/>
    <xf numFmtId="0" fontId="5" fillId="0" borderId="10" xfId="0" applyFont="1" applyBorder="1" applyAlignment="1">
      <alignment horizontal="center"/>
    </xf>
    <xf numFmtId="1" fontId="5" fillId="0" borderId="10" xfId="0" applyNumberFormat="1" applyFont="1" applyBorder="1" applyAlignment="1">
      <alignment horizontal="center"/>
    </xf>
    <xf numFmtId="3" fontId="13" fillId="0" borderId="0" xfId="3" applyNumberFormat="1" applyFont="1"/>
    <xf numFmtId="3" fontId="5" fillId="0" borderId="0" xfId="0" applyNumberFormat="1" applyFont="1" applyAlignment="1">
      <alignment wrapText="1"/>
    </xf>
    <xf numFmtId="0" fontId="5" fillId="0" borderId="0" xfId="0" applyFont="1" applyAlignment="1">
      <alignment horizontal="right" wrapText="1"/>
    </xf>
    <xf numFmtId="0" fontId="3" fillId="0" borderId="0" xfId="0" applyFont="1" applyAlignment="1">
      <alignment wrapText="1"/>
    </xf>
    <xf numFmtId="1" fontId="3" fillId="0" borderId="9" xfId="0" applyNumberFormat="1" applyFont="1" applyBorder="1" applyAlignment="1">
      <alignment horizontal="right" wrapText="1"/>
    </xf>
    <xf numFmtId="3" fontId="3" fillId="0" borderId="0" xfId="0" applyNumberFormat="1" applyFont="1" applyAlignment="1">
      <alignment wrapText="1"/>
    </xf>
    <xf numFmtId="167" fontId="3" fillId="0" borderId="0" xfId="11" applyNumberFormat="1" applyFont="1" applyAlignment="1">
      <alignment wrapText="1"/>
    </xf>
    <xf numFmtId="0" fontId="10" fillId="0" borderId="10" xfId="0" applyFont="1" applyBorder="1"/>
    <xf numFmtId="167" fontId="3" fillId="0" borderId="0" xfId="10" applyNumberFormat="1" applyFont="1" applyAlignment="1">
      <alignment wrapText="1"/>
    </xf>
    <xf numFmtId="3" fontId="3" fillId="0" borderId="10" xfId="0" applyNumberFormat="1" applyFont="1" applyBorder="1" applyAlignment="1">
      <alignment wrapText="1"/>
    </xf>
    <xf numFmtId="167" fontId="3" fillId="0" borderId="10" xfId="10" applyNumberFormat="1" applyFont="1" applyBorder="1" applyAlignment="1">
      <alignment wrapText="1"/>
    </xf>
    <xf numFmtId="164" fontId="3" fillId="0" borderId="0" xfId="3" applyNumberFormat="1" applyFont="1"/>
    <xf numFmtId="1" fontId="3" fillId="0" borderId="0" xfId="0" applyNumberFormat="1" applyFont="1" applyAlignment="1">
      <alignment horizontal="right"/>
    </xf>
    <xf numFmtId="0" fontId="9" fillId="0" borderId="11" xfId="3" applyFont="1" applyBorder="1"/>
    <xf numFmtId="167" fontId="3" fillId="0" borderId="0" xfId="10" applyNumberFormat="1" applyFont="1" applyBorder="1" applyAlignment="1">
      <alignment wrapText="1"/>
    </xf>
    <xf numFmtId="0" fontId="30" fillId="0" borderId="0" xfId="7" applyFont="1" applyAlignment="1">
      <alignment horizontal="center" vertical="center"/>
    </xf>
    <xf numFmtId="0" fontId="29" fillId="0" borderId="0" xfId="7" applyFont="1" applyAlignment="1">
      <alignment horizontal="center" vertical="center"/>
    </xf>
    <xf numFmtId="0" fontId="34" fillId="0" borderId="0" xfId="7" applyFont="1" applyAlignment="1">
      <alignment horizontal="center" vertical="center"/>
    </xf>
    <xf numFmtId="1" fontId="3" fillId="0" borderId="0" xfId="0" applyNumberFormat="1" applyFont="1" applyAlignment="1">
      <alignment textRotation="90"/>
    </xf>
    <xf numFmtId="0" fontId="1" fillId="0" borderId="4" xfId="7" applyFont="1" applyBorder="1" applyAlignment="1">
      <alignment horizontal="center" vertical="center"/>
    </xf>
    <xf numFmtId="0" fontId="27" fillId="0" borderId="4" xfId="7" applyFont="1" applyBorder="1" applyAlignment="1">
      <alignment horizontal="center"/>
    </xf>
    <xf numFmtId="0" fontId="27" fillId="0" borderId="6" xfId="7" applyFont="1" applyBorder="1" applyAlignment="1">
      <alignment horizontal="center"/>
    </xf>
    <xf numFmtId="0" fontId="27" fillId="0" borderId="7" xfId="7" applyFont="1" applyBorder="1" applyAlignment="1">
      <alignment horizontal="center"/>
    </xf>
    <xf numFmtId="0" fontId="27" fillId="0" borderId="8" xfId="7" applyFont="1" applyBorder="1" applyAlignment="1">
      <alignment horizontal="center"/>
    </xf>
    <xf numFmtId="0" fontId="5" fillId="3" borderId="0" xfId="4" applyFont="1" applyFill="1"/>
    <xf numFmtId="0" fontId="26" fillId="0" borderId="0" xfId="3" applyFont="1"/>
    <xf numFmtId="0" fontId="27" fillId="0" borderId="0" xfId="7" applyFont="1" applyAlignment="1">
      <alignment horizontal="center"/>
    </xf>
    <xf numFmtId="0" fontId="1" fillId="0" borderId="0" xfId="7" applyFont="1" applyAlignment="1">
      <alignment horizontal="center" vertical="center"/>
    </xf>
    <xf numFmtId="0" fontId="28" fillId="5" borderId="0" xfId="7" applyFont="1" applyFill="1" applyAlignment="1">
      <alignment horizontal="center" vertical="center"/>
    </xf>
    <xf numFmtId="0" fontId="29" fillId="0" borderId="0" xfId="7" applyFont="1" applyAlignment="1">
      <alignment horizontal="center" vertical="center"/>
    </xf>
    <xf numFmtId="0" fontId="30" fillId="0" borderId="0" xfId="7" applyFont="1" applyAlignment="1">
      <alignment horizontal="center" vertical="center" wrapText="1"/>
    </xf>
    <xf numFmtId="0" fontId="30" fillId="0" borderId="0" xfId="7" applyFont="1" applyAlignment="1">
      <alignment horizontal="center" vertical="center"/>
    </xf>
    <xf numFmtId="0" fontId="5" fillId="0" borderId="0" xfId="3" applyFont="1" applyAlignment="1">
      <alignment horizontal="center"/>
    </xf>
    <xf numFmtId="0" fontId="5" fillId="0" borderId="10" xfId="3" applyFont="1" applyBorder="1" applyAlignment="1">
      <alignment horizontal="center"/>
    </xf>
    <xf numFmtId="1" fontId="5" fillId="0" borderId="11" xfId="16" applyNumberFormat="1" applyFont="1" applyBorder="1" applyAlignment="1">
      <alignment horizontal="center"/>
    </xf>
    <xf numFmtId="1" fontId="5" fillId="0" borderId="0" xfId="15" applyNumberFormat="1" applyFont="1" applyAlignment="1">
      <alignment horizontal="center"/>
    </xf>
    <xf numFmtId="0" fontId="5" fillId="0" borderId="0" xfId="15" applyFont="1" applyAlignment="1">
      <alignment horizontal="center"/>
    </xf>
    <xf numFmtId="1" fontId="5" fillId="0" borderId="0" xfId="16" applyNumberFormat="1" applyFont="1" applyAlignment="1">
      <alignment horizontal="center"/>
    </xf>
    <xf numFmtId="0" fontId="5" fillId="0" borderId="0" xfId="0" applyFont="1" applyAlignment="1">
      <alignment horizontal="center"/>
    </xf>
    <xf numFmtId="0" fontId="16" fillId="0" borderId="0" xfId="5" applyFont="1" applyAlignment="1">
      <alignment horizontal="center"/>
    </xf>
    <xf numFmtId="0" fontId="16" fillId="0" borderId="9" xfId="5" applyFont="1" applyBorder="1" applyAlignment="1">
      <alignment horizontal="center"/>
    </xf>
    <xf numFmtId="0" fontId="9" fillId="0" borderId="0" xfId="3" applyFont="1" applyAlignment="1">
      <alignment horizontal="left" vertical="top" wrapText="1"/>
    </xf>
    <xf numFmtId="0" fontId="7" fillId="0" borderId="11" xfId="0" applyFont="1" applyBorder="1" applyAlignment="1">
      <alignment horizontal="center" wrapText="1"/>
    </xf>
    <xf numFmtId="1" fontId="7" fillId="0" borderId="11" xfId="0" applyNumberFormat="1" applyFont="1" applyBorder="1" applyAlignment="1">
      <alignment horizontal="center" wrapText="1"/>
    </xf>
    <xf numFmtId="0" fontId="5" fillId="0" borderId="11" xfId="4" applyFont="1" applyBorder="1" applyAlignment="1">
      <alignment horizontal="center"/>
    </xf>
    <xf numFmtId="0" fontId="5" fillId="0" borderId="0" xfId="4" applyFont="1" applyAlignment="1">
      <alignment horizontal="center"/>
    </xf>
    <xf numFmtId="0" fontId="16" fillId="4" borderId="10" xfId="5" applyFont="1" applyFill="1" applyBorder="1" applyAlignment="1">
      <alignment horizontal="center"/>
    </xf>
    <xf numFmtId="0" fontId="16" fillId="4" borderId="11" xfId="5" applyFont="1" applyFill="1" applyBorder="1" applyAlignment="1">
      <alignment horizontal="center"/>
    </xf>
    <xf numFmtId="0" fontId="16" fillId="4" borderId="11" xfId="5" applyFont="1" applyFill="1" applyBorder="1" applyAlignment="1">
      <alignment horizontal="center" wrapText="1"/>
    </xf>
    <xf numFmtId="0" fontId="14" fillId="0" borderId="0" xfId="0" applyFont="1" applyAlignment="1">
      <alignment horizontal="left" vertical="top" wrapText="1"/>
    </xf>
    <xf numFmtId="0" fontId="5" fillId="0" borderId="9" xfId="4" applyFont="1" applyBorder="1" applyAlignment="1">
      <alignment horizontal="center"/>
    </xf>
    <xf numFmtId="22" fontId="0" fillId="0" borderId="0" xfId="0" applyNumberFormat="1"/>
  </cellXfs>
  <cellStyles count="17">
    <cellStyle name="Comma" xfId="1" builtinId="3"/>
    <cellStyle name="Hyperlink" xfId="12" builtinId="8"/>
    <cellStyle name="Normal" xfId="0" builtinId="0"/>
    <cellStyle name="Normal 2" xfId="4" xr:uid="{00000000-0005-0000-0000-000003000000}"/>
    <cellStyle name="Normal 2 2" xfId="7" xr:uid="{00000000-0005-0000-0000-000004000000}"/>
    <cellStyle name="Normal 3" xfId="6" xr:uid="{00000000-0005-0000-0000-000005000000}"/>
    <cellStyle name="Normal 3 2" xfId="14" xr:uid="{00000000-0005-0000-0000-000006000000}"/>
    <cellStyle name="Normal 4" xfId="8" xr:uid="{00000000-0005-0000-0000-000007000000}"/>
    <cellStyle name="Normal 5" xfId="5" xr:uid="{00000000-0005-0000-0000-000008000000}"/>
    <cellStyle name="Normal 6" xfId="9" xr:uid="{00000000-0005-0000-0000-000009000000}"/>
    <cellStyle name="Normal 7" xfId="15" xr:uid="{00000000-0005-0000-0000-00000A000000}"/>
    <cellStyle name="Normal_16UK" xfId="2" xr:uid="{00000000-0005-0000-0000-00000B000000}"/>
    <cellStyle name="Normal_Book2" xfId="16" xr:uid="{00000000-0005-0000-0000-00000C000000}"/>
    <cellStyle name="Normal_SSDAtables" xfId="3" xr:uid="{00000000-0005-0000-0000-00000E000000}"/>
    <cellStyle name="Normal_WarningSheet" xfId="13" xr:uid="{00000000-0005-0000-0000-00000F000000}"/>
    <cellStyle name="Percent" xfId="11" builtinId="5"/>
    <cellStyle name="Percent 2" xfId="10" xr:uid="{00000000-0005-0000-0000-000011000000}"/>
  </cellStyles>
  <dxfs count="13">
    <dxf>
      <font>
        <b/>
        <i val="0"/>
        <condense val="0"/>
        <extend val="0"/>
        <color auto="1"/>
      </font>
    </dxf>
    <dxf>
      <font>
        <color theme="1" tint="0.34998626667073579"/>
      </font>
    </dxf>
    <dxf>
      <font>
        <b/>
        <i val="0"/>
        <condense val="0"/>
        <extend val="0"/>
        <color auto="1"/>
      </font>
    </dxf>
    <dxf>
      <font>
        <color theme="1" tint="0.34998626667073579"/>
      </font>
    </dxf>
    <dxf>
      <font>
        <b/>
        <i val="0"/>
        <condense val="0"/>
        <extend val="0"/>
        <color auto="1"/>
      </font>
    </dxf>
    <dxf>
      <font>
        <color theme="1" tint="0.3499862666707357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</dxfs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worksheet" Target="worksheets/sheet26.xml"/><Relationship Id="rId39" Type="http://schemas.openxmlformats.org/officeDocument/2006/relationships/worksheet" Target="worksheets/sheet39.xml"/><Relationship Id="rId21" Type="http://schemas.openxmlformats.org/officeDocument/2006/relationships/worksheet" Target="worksheets/sheet21.xml"/><Relationship Id="rId34" Type="http://schemas.openxmlformats.org/officeDocument/2006/relationships/worksheet" Target="worksheets/sheet34.xml"/><Relationship Id="rId42" Type="http://schemas.openxmlformats.org/officeDocument/2006/relationships/styles" Target="styles.xml"/><Relationship Id="rId47" Type="http://schemas.openxmlformats.org/officeDocument/2006/relationships/customXml" Target="../customXml/item2.xml"/><Relationship Id="rId7" Type="http://schemas.openxmlformats.org/officeDocument/2006/relationships/worksheet" Target="worksheets/sheet7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9" Type="http://schemas.openxmlformats.org/officeDocument/2006/relationships/worksheet" Target="worksheets/sheet29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openxmlformats.org/officeDocument/2006/relationships/worksheet" Target="worksheets/sheet32.xml"/><Relationship Id="rId37" Type="http://schemas.openxmlformats.org/officeDocument/2006/relationships/worksheet" Target="worksheets/sheet37.xml"/><Relationship Id="rId40" Type="http://schemas.openxmlformats.org/officeDocument/2006/relationships/externalLink" Target="externalLinks/externalLink1.xml"/><Relationship Id="rId45" Type="http://schemas.microsoft.com/office/2006/relationships/vbaProject" Target="vbaProject.bin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worksheet" Target="worksheets/sheet28.xml"/><Relationship Id="rId36" Type="http://schemas.openxmlformats.org/officeDocument/2006/relationships/worksheet" Target="worksheets/sheet36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31" Type="http://schemas.openxmlformats.org/officeDocument/2006/relationships/worksheet" Target="worksheets/sheet31.xml"/><Relationship Id="rId44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30" Type="http://schemas.openxmlformats.org/officeDocument/2006/relationships/worksheet" Target="worksheets/sheet30.xml"/><Relationship Id="rId35" Type="http://schemas.openxmlformats.org/officeDocument/2006/relationships/worksheet" Target="worksheets/sheet35.xml"/><Relationship Id="rId43" Type="http://schemas.openxmlformats.org/officeDocument/2006/relationships/sharedStrings" Target="sharedStrings.xml"/><Relationship Id="rId48" Type="http://schemas.openxmlformats.org/officeDocument/2006/relationships/customXml" Target="../customXml/item3.xml"/><Relationship Id="rId8" Type="http://schemas.openxmlformats.org/officeDocument/2006/relationships/worksheet" Target="worksheets/sheet8.xml"/><Relationship Id="rId3" Type="http://schemas.openxmlformats.org/officeDocument/2006/relationships/worksheet" Target="worksheets/sheet3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schemas.openxmlformats.org/officeDocument/2006/relationships/worksheet" Target="worksheets/sheet33.xml"/><Relationship Id="rId38" Type="http://schemas.openxmlformats.org/officeDocument/2006/relationships/worksheet" Target="worksheets/sheet38.xml"/><Relationship Id="rId46" Type="http://schemas.openxmlformats.org/officeDocument/2006/relationships/customXml" Target="../customXml/item1.xml"/><Relationship Id="rId20" Type="http://schemas.openxmlformats.org/officeDocument/2006/relationships/worksheet" Target="worksheets/sheet20.xml"/><Relationship Id="rId41" Type="http://schemas.openxmlformats.org/officeDocument/2006/relationships/theme" Target="theme/theme1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charts/_rels/chart28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9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0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31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32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_rels/chart33.xml.rels><?xml version="1.0" encoding="UTF-8" standalone="yes"?>
<Relationships xmlns="http://schemas.openxmlformats.org/package/2006/relationships"><Relationship Id="rId2" Type="http://schemas.microsoft.com/office/2011/relationships/chartColorStyle" Target="colors6.xml"/><Relationship Id="rId1" Type="http://schemas.microsoft.com/office/2011/relationships/chartStyle" Target="style6.xml"/></Relationships>
</file>

<file path=xl/charts/_rels/chart34.xml.rels><?xml version="1.0" encoding="UTF-8" standalone="yes"?>
<Relationships xmlns="http://schemas.openxmlformats.org/package/2006/relationships"><Relationship Id="rId2" Type="http://schemas.microsoft.com/office/2011/relationships/chartColorStyle" Target="colors7.xml"/><Relationship Id="rId1" Type="http://schemas.microsoft.com/office/2011/relationships/chartStyle" Target="style7.xml"/></Relationships>
</file>

<file path=xl/charts/_rels/chart35.xml.rels><?xml version="1.0" encoding="UTF-8" standalone="yes"?>
<Relationships xmlns="http://schemas.openxmlformats.org/package/2006/relationships"><Relationship Id="rId2" Type="http://schemas.microsoft.com/office/2011/relationships/chartColorStyle" Target="colors8.xml"/><Relationship Id="rId1" Type="http://schemas.microsoft.com/office/2011/relationships/chartStyle" Target="style8.xml"/></Relationships>
</file>

<file path=xl/charts/_rels/chart49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27.xml"/></Relationships>
</file>

<file path=xl/charts/_rels/chart50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28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32756178915522327"/>
          <c:y val="2.8320326004183771E-2"/>
          <c:w val="0.63925054006941662"/>
          <c:h val="0.89648480247726559"/>
        </c:manualLayout>
      </c:layout>
      <c:barChart>
        <c:barDir val="bar"/>
        <c:grouping val="clustered"/>
        <c:varyColors val="0"/>
        <c:ser>
          <c:idx val="1"/>
          <c:order val="0"/>
          <c:tx>
            <c:strRef>
              <c:f>'Ind F1'!$M$6</c:f>
              <c:strCache>
                <c:ptCount val="1"/>
                <c:pt idx="0">
                  <c:v>2015-2020</c:v>
                </c:pt>
              </c:strCache>
            </c:strRef>
          </c:tx>
          <c:spPr>
            <a:solidFill>
              <a:srgbClr val="000000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cat>
            <c:strRef>
              <c:f>'Ind F1'!$L$7:$L$40</c:f>
              <c:strCache>
                <c:ptCount val="34"/>
                <c:pt idx="0">
                  <c:v>All industries</c:v>
                </c:pt>
                <c:pt idx="2">
                  <c:v>Health and social work</c:v>
                </c:pt>
                <c:pt idx="3">
                  <c:v>Education</c:v>
                </c:pt>
                <c:pt idx="4">
                  <c:v>Public admin. and defence</c:v>
                </c:pt>
                <c:pt idx="5">
                  <c:v>[Non-marketed services]</c:v>
                </c:pt>
                <c:pt idx="7">
                  <c:v>Other services</c:v>
                </c:pt>
                <c:pt idx="8">
                  <c:v>Arts and entertainment</c:v>
                </c:pt>
                <c:pt idx="9">
                  <c:v>Support services</c:v>
                </c:pt>
                <c:pt idx="10">
                  <c:v>Professional services</c:v>
                </c:pt>
                <c:pt idx="11">
                  <c:v>Real estate</c:v>
                </c:pt>
                <c:pt idx="12">
                  <c:v>Finance and insurance</c:v>
                </c:pt>
                <c:pt idx="13">
                  <c:v>Information technology</c:v>
                </c:pt>
                <c:pt idx="14">
                  <c:v>Media</c:v>
                </c:pt>
                <c:pt idx="15">
                  <c:v>[Business and other services]</c:v>
                </c:pt>
                <c:pt idx="17">
                  <c:v>Accommodation and food</c:v>
                </c:pt>
                <c:pt idx="18">
                  <c:v>Transport and storage</c:v>
                </c:pt>
                <c:pt idx="19">
                  <c:v>Wholesale and retail trade</c:v>
                </c:pt>
                <c:pt idx="20">
                  <c:v>[Trade, accomod. and transport]</c:v>
                </c:pt>
                <c:pt idx="22">
                  <c:v>[Construction]</c:v>
                </c:pt>
                <c:pt idx="24">
                  <c:v>Rest of manufacturing</c:v>
                </c:pt>
                <c:pt idx="25">
                  <c:v>Engineering</c:v>
                </c:pt>
                <c:pt idx="26">
                  <c:v>Food drink and tobacco</c:v>
                </c:pt>
                <c:pt idx="27">
                  <c:v>[Manufacturing]</c:v>
                </c:pt>
                <c:pt idx="29">
                  <c:v>Water and sewerage</c:v>
                </c:pt>
                <c:pt idx="30">
                  <c:v>Electricity and gas</c:v>
                </c:pt>
                <c:pt idx="31">
                  <c:v>Mining and quarrying</c:v>
                </c:pt>
                <c:pt idx="32">
                  <c:v>Agriculture</c:v>
                </c:pt>
                <c:pt idx="33">
                  <c:v>[Primary sector and utilities]</c:v>
                </c:pt>
              </c:strCache>
            </c:strRef>
          </c:cat>
          <c:val>
            <c:numRef>
              <c:f>'Ind F1'!$M$7:$M$40</c:f>
              <c:numCache>
                <c:formatCode>General</c:formatCode>
                <c:ptCount val="34"/>
                <c:pt idx="0">
                  <c:v>0.52241841326523542</c:v>
                </c:pt>
                <c:pt idx="2">
                  <c:v>0.85372583391500889</c:v>
                </c:pt>
                <c:pt idx="3">
                  <c:v>-1.0425924003481191</c:v>
                </c:pt>
                <c:pt idx="4">
                  <c:v>0.38216104240964555</c:v>
                </c:pt>
                <c:pt idx="5">
                  <c:v>0.11816145712943982</c:v>
                </c:pt>
                <c:pt idx="7">
                  <c:v>5.8769635748112004</c:v>
                </c:pt>
                <c:pt idx="8">
                  <c:v>0.33427909766676756</c:v>
                </c:pt>
                <c:pt idx="9">
                  <c:v>0.86227319318181728</c:v>
                </c:pt>
                <c:pt idx="10">
                  <c:v>3.5164748013454039</c:v>
                </c:pt>
                <c:pt idx="11">
                  <c:v>5.9325103520040168</c:v>
                </c:pt>
                <c:pt idx="12">
                  <c:v>-4.298965413581235</c:v>
                </c:pt>
                <c:pt idx="13">
                  <c:v>0.38098455531154762</c:v>
                </c:pt>
                <c:pt idx="14">
                  <c:v>1.0688592856978429</c:v>
                </c:pt>
                <c:pt idx="15">
                  <c:v>2.0831300155521371</c:v>
                </c:pt>
                <c:pt idx="17">
                  <c:v>-4.9247533670215837E-2</c:v>
                </c:pt>
                <c:pt idx="18">
                  <c:v>1.8465076100194988</c:v>
                </c:pt>
                <c:pt idx="19">
                  <c:v>-0.31218546632629796</c:v>
                </c:pt>
                <c:pt idx="20">
                  <c:v>0.15767605598384637</c:v>
                </c:pt>
                <c:pt idx="22">
                  <c:v>-0.70780153476213137</c:v>
                </c:pt>
                <c:pt idx="24">
                  <c:v>-0.22743178542734555</c:v>
                </c:pt>
                <c:pt idx="25">
                  <c:v>-6.9712148201588438</c:v>
                </c:pt>
                <c:pt idx="26">
                  <c:v>1.5465537797197948</c:v>
                </c:pt>
                <c:pt idx="27">
                  <c:v>-0.27840156966945084</c:v>
                </c:pt>
                <c:pt idx="29">
                  <c:v>-1.799950452106891</c:v>
                </c:pt>
                <c:pt idx="30">
                  <c:v>0.33696582569997524</c:v>
                </c:pt>
                <c:pt idx="31">
                  <c:v>5.3645494647709846</c:v>
                </c:pt>
                <c:pt idx="32">
                  <c:v>2.9559045328480638</c:v>
                </c:pt>
                <c:pt idx="33">
                  <c:v>1.6951135220768965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CB93-4BE8-A289-BE30E28486EE}"/>
            </c:ext>
          </c:extLst>
        </c:ser>
        <c:ser>
          <c:idx val="0"/>
          <c:order val="1"/>
          <c:tx>
            <c:strRef>
              <c:f>'Ind F1'!$N$6</c:f>
              <c:strCache>
                <c:ptCount val="1"/>
                <c:pt idx="0">
                  <c:v>2020-2035</c:v>
                </c:pt>
              </c:strCache>
            </c:strRef>
          </c:tx>
          <c:spPr>
            <a:solidFill>
              <a:srgbClr val="FFFF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cat>
            <c:strRef>
              <c:f>'Ind F1'!$L$7:$L$40</c:f>
              <c:strCache>
                <c:ptCount val="34"/>
                <c:pt idx="0">
                  <c:v>All industries</c:v>
                </c:pt>
                <c:pt idx="2">
                  <c:v>Health and social work</c:v>
                </c:pt>
                <c:pt idx="3">
                  <c:v>Education</c:v>
                </c:pt>
                <c:pt idx="4">
                  <c:v>Public admin. and defence</c:v>
                </c:pt>
                <c:pt idx="5">
                  <c:v>[Non-marketed services]</c:v>
                </c:pt>
                <c:pt idx="7">
                  <c:v>Other services</c:v>
                </c:pt>
                <c:pt idx="8">
                  <c:v>Arts and entertainment</c:v>
                </c:pt>
                <c:pt idx="9">
                  <c:v>Support services</c:v>
                </c:pt>
                <c:pt idx="10">
                  <c:v>Professional services</c:v>
                </c:pt>
                <c:pt idx="11">
                  <c:v>Real estate</c:v>
                </c:pt>
                <c:pt idx="12">
                  <c:v>Finance and insurance</c:v>
                </c:pt>
                <c:pt idx="13">
                  <c:v>Information technology</c:v>
                </c:pt>
                <c:pt idx="14">
                  <c:v>Media</c:v>
                </c:pt>
                <c:pt idx="15">
                  <c:v>[Business and other services]</c:v>
                </c:pt>
                <c:pt idx="17">
                  <c:v>Accommodation and food</c:v>
                </c:pt>
                <c:pt idx="18">
                  <c:v>Transport and storage</c:v>
                </c:pt>
                <c:pt idx="19">
                  <c:v>Wholesale and retail trade</c:v>
                </c:pt>
                <c:pt idx="20">
                  <c:v>[Trade, accomod. and transport]</c:v>
                </c:pt>
                <c:pt idx="22">
                  <c:v>[Construction]</c:v>
                </c:pt>
                <c:pt idx="24">
                  <c:v>Rest of manufacturing</c:v>
                </c:pt>
                <c:pt idx="25">
                  <c:v>Engineering</c:v>
                </c:pt>
                <c:pt idx="26">
                  <c:v>Food drink and tobacco</c:v>
                </c:pt>
                <c:pt idx="27">
                  <c:v>[Manufacturing]</c:v>
                </c:pt>
                <c:pt idx="29">
                  <c:v>Water and sewerage</c:v>
                </c:pt>
                <c:pt idx="30">
                  <c:v>Electricity and gas</c:v>
                </c:pt>
                <c:pt idx="31">
                  <c:v>Mining and quarrying</c:v>
                </c:pt>
                <c:pt idx="32">
                  <c:v>Agriculture</c:v>
                </c:pt>
                <c:pt idx="33">
                  <c:v>[Primary sector and utilities]</c:v>
                </c:pt>
              </c:strCache>
            </c:strRef>
          </c:cat>
          <c:val>
            <c:numRef>
              <c:f>'Ind F1'!$N$7:$N$40</c:f>
              <c:numCache>
                <c:formatCode>General</c:formatCode>
                <c:ptCount val="34"/>
                <c:pt idx="0">
                  <c:v>0.23020070827648453</c:v>
                </c:pt>
                <c:pt idx="2">
                  <c:v>0.73614390667773311</c:v>
                </c:pt>
                <c:pt idx="3">
                  <c:v>-8.6867184314753931E-2</c:v>
                </c:pt>
                <c:pt idx="4">
                  <c:v>0.37413772037970805</c:v>
                </c:pt>
                <c:pt idx="5">
                  <c:v>0.41393123653759023</c:v>
                </c:pt>
                <c:pt idx="7">
                  <c:v>-0.69912248152874668</c:v>
                </c:pt>
                <c:pt idx="8">
                  <c:v>-0.43018049795472413</c:v>
                </c:pt>
                <c:pt idx="9">
                  <c:v>0.88394315485351704</c:v>
                </c:pt>
                <c:pt idx="10">
                  <c:v>0.62820359543860338</c:v>
                </c:pt>
                <c:pt idx="11">
                  <c:v>8.2067375480954219E-2</c:v>
                </c:pt>
                <c:pt idx="12">
                  <c:v>-0.43997279222682817</c:v>
                </c:pt>
                <c:pt idx="13">
                  <c:v>1.0176467915485432</c:v>
                </c:pt>
                <c:pt idx="14">
                  <c:v>9.0768825795173314E-3</c:v>
                </c:pt>
                <c:pt idx="15">
                  <c:v>0.39158638240996968</c:v>
                </c:pt>
                <c:pt idx="17">
                  <c:v>0.63289256999830013</c:v>
                </c:pt>
                <c:pt idx="18">
                  <c:v>0.31905323709113809</c:v>
                </c:pt>
                <c:pt idx="19">
                  <c:v>0.20499225808650046</c:v>
                </c:pt>
                <c:pt idx="20">
                  <c:v>0.33088214164520569</c:v>
                </c:pt>
                <c:pt idx="22">
                  <c:v>0.30797859160296426</c:v>
                </c:pt>
                <c:pt idx="24">
                  <c:v>-1.1903309956480146</c:v>
                </c:pt>
                <c:pt idx="25">
                  <c:v>-0.75337970548389199</c:v>
                </c:pt>
                <c:pt idx="26">
                  <c:v>0.2814572920113223</c:v>
                </c:pt>
                <c:pt idx="27">
                  <c:v>-0.60005766449598985</c:v>
                </c:pt>
                <c:pt idx="29">
                  <c:v>0.6874606591248833</c:v>
                </c:pt>
                <c:pt idx="30">
                  <c:v>-0.27303690777481515</c:v>
                </c:pt>
                <c:pt idx="31">
                  <c:v>-3.4917539161036459</c:v>
                </c:pt>
                <c:pt idx="32">
                  <c:v>-0.21288641698670174</c:v>
                </c:pt>
                <c:pt idx="33">
                  <c:v>-0.11546214798360266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CB93-4BE8-A289-BE30E28486E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251426392"/>
        <c:axId val="137969896"/>
      </c:barChart>
      <c:catAx>
        <c:axId val="251426392"/>
        <c:scaling>
          <c:orientation val="minMax"/>
        </c:scaling>
        <c:delete val="0"/>
        <c:axPos val="l"/>
        <c:numFmt formatCode="General" sourceLinked="1"/>
        <c:majorTickMark val="cross"/>
        <c:minorTickMark val="none"/>
        <c:tickLblPos val="low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 rtl="0">
              <a:defRPr sz="105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137969896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137969896"/>
        <c:scaling>
          <c:orientation val="minMax"/>
        </c:scaling>
        <c:delete val="0"/>
        <c:axPos val="b"/>
        <c:majorGridlines>
          <c:spPr>
            <a:ln w="12700">
              <a:solidFill>
                <a:srgbClr val="000000"/>
              </a:solidFill>
              <a:prstDash val="sysDash"/>
            </a:ln>
          </c:spPr>
        </c:majorGridlines>
        <c:title>
          <c:tx>
            <c:rich>
              <a:bodyPr/>
              <a:lstStyle/>
              <a:p>
                <a:pPr>
                  <a:defRPr sz="105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GB"/>
                  <a:t>% per annum</a:t>
                </a:r>
              </a:p>
            </c:rich>
          </c:tx>
          <c:layout>
            <c:manualLayout>
              <c:xMode val="edge"/>
              <c:yMode val="edge"/>
              <c:x val="0.85281505458472884"/>
              <c:y val="0.95703170634829804"/>
            </c:manualLayout>
          </c:layout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out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5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251426392"/>
        <c:crosses val="autoZero"/>
        <c:crossBetween val="between"/>
        <c:minorUnit val="1"/>
      </c:valAx>
      <c:spPr>
        <a:noFill/>
        <a:ln w="12700">
          <a:solidFill>
            <a:srgbClr val="808080"/>
          </a:solidFill>
          <a:prstDash val="solid"/>
        </a:ln>
      </c:spPr>
    </c:plotArea>
    <c:legend>
      <c:legendPos val="r"/>
      <c:layout>
        <c:manualLayout>
          <c:xMode val="edge"/>
          <c:yMode val="edge"/>
          <c:x val="0.55699934191150069"/>
          <c:y val="0.95507858041695559"/>
          <c:w val="0.11544027811637315"/>
          <c:h val="4.1992207523444923E-2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920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12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0.98425196850393659" l="0.748031496063017" r="0.748031496063017" t="0.98425196850393659" header="0.51181102362204722" footer="0.51181102362204722"/>
    <c:pageSetup paperSize="9" orientation="portrait"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8.8328143736555897E-2"/>
          <c:y val="6.9182531574561834E-2"/>
          <c:w val="0.87224041939852393"/>
          <c:h val="0.7861651315291116"/>
        </c:manualLayout>
      </c:layout>
      <c:areaChart>
        <c:grouping val="stacked"/>
        <c:varyColors val="0"/>
        <c:ser>
          <c:idx val="1"/>
          <c:order val="0"/>
          <c:tx>
            <c:strRef>
              <c:f>'Ind F2'!$L$6</c:f>
              <c:strCache>
                <c:ptCount val="1"/>
                <c:pt idx="0">
                  <c:v>Agriculture</c:v>
                </c:pt>
              </c:strCache>
            </c:strRef>
          </c:tx>
          <c:spPr>
            <a:solidFill>
              <a:srgbClr val="808080"/>
            </a:solidFill>
            <a:ln w="12700">
              <a:solidFill>
                <a:srgbClr val="000000"/>
              </a:solidFill>
              <a:prstDash val="solid"/>
            </a:ln>
          </c:spPr>
          <c:cat>
            <c:numRef>
              <c:f>'Ind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'Ind F2'!$M$6:$AL$6</c:f>
              <c:numCache>
                <c:formatCode>#,##0</c:formatCode>
                <c:ptCount val="26"/>
                <c:pt idx="0">
                  <c:v>11.098999999999979</c:v>
                </c:pt>
                <c:pt idx="1">
                  <c:v>14.375000000000034</c:v>
                </c:pt>
                <c:pt idx="2">
                  <c:v>16.556999999999995</c:v>
                </c:pt>
                <c:pt idx="3">
                  <c:v>14.324000000000005</c:v>
                </c:pt>
                <c:pt idx="4">
                  <c:v>11.130000000000026</c:v>
                </c:pt>
                <c:pt idx="5">
                  <c:v>12.392000000000024</c:v>
                </c:pt>
                <c:pt idx="6">
                  <c:v>13.015000000000036</c:v>
                </c:pt>
                <c:pt idx="7">
                  <c:v>14.435000000000025</c:v>
                </c:pt>
                <c:pt idx="8">
                  <c:v>14.459000000000037</c:v>
                </c:pt>
                <c:pt idx="9">
                  <c:v>11.259999999999964</c:v>
                </c:pt>
                <c:pt idx="10">
                  <c:v>14.335000000000026</c:v>
                </c:pt>
                <c:pt idx="11">
                  <c:v>14.327999999999992</c:v>
                </c:pt>
                <c:pt idx="12">
                  <c:v>14.327000000000025</c:v>
                </c:pt>
                <c:pt idx="13">
                  <c:v>14.324000000000002</c:v>
                </c:pt>
                <c:pt idx="14">
                  <c:v>14.297999999999995</c:v>
                </c:pt>
                <c:pt idx="15">
                  <c:v>14.250000000000018</c:v>
                </c:pt>
                <c:pt idx="16">
                  <c:v>14.213000000000005</c:v>
                </c:pt>
                <c:pt idx="17">
                  <c:v>14.175000000000018</c:v>
                </c:pt>
                <c:pt idx="18">
                  <c:v>14.133000000000031</c:v>
                </c:pt>
                <c:pt idx="19">
                  <c:v>14.091999999999969</c:v>
                </c:pt>
                <c:pt idx="20">
                  <c:v>14.058999999999966</c:v>
                </c:pt>
                <c:pt idx="21">
                  <c:v>14.025000000000004</c:v>
                </c:pt>
                <c:pt idx="22">
                  <c:v>13.990999999999987</c:v>
                </c:pt>
                <c:pt idx="23">
                  <c:v>13.956000000000005</c:v>
                </c:pt>
                <c:pt idx="24" formatCode="#,##0.00">
                  <c:v>13.920000000000012</c:v>
                </c:pt>
                <c:pt idx="25">
                  <c:v>13.884000000000032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8CA4-40D6-BD1E-474194B8C77E}"/>
            </c:ext>
          </c:extLst>
        </c:ser>
        <c:ser>
          <c:idx val="2"/>
          <c:order val="1"/>
          <c:tx>
            <c:strRef>
              <c:f>'Ind F2'!$L$7</c:f>
              <c:strCache>
                <c:ptCount val="1"/>
                <c:pt idx="0">
                  <c:v>Mining and quarrying</c:v>
                </c:pt>
              </c:strCache>
            </c:strRef>
          </c:tx>
          <c:spPr>
            <a:solidFill>
              <a:srgbClr val="969696"/>
            </a:solidFill>
            <a:ln w="12700">
              <a:solidFill>
                <a:srgbClr val="000000"/>
              </a:solidFill>
              <a:prstDash val="solid"/>
            </a:ln>
          </c:spPr>
          <c:cat>
            <c:numRef>
              <c:f>'Ind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'Ind F2'!$M$7:$AL$7</c:f>
              <c:numCache>
                <c:formatCode>#,##0</c:formatCode>
                <c:ptCount val="26"/>
                <c:pt idx="0">
                  <c:v>0.8539999999999992</c:v>
                </c:pt>
                <c:pt idx="1">
                  <c:v>0.97799999999999998</c:v>
                </c:pt>
                <c:pt idx="2">
                  <c:v>0.87499999999999634</c:v>
                </c:pt>
                <c:pt idx="3">
                  <c:v>0.46600000000000069</c:v>
                </c:pt>
                <c:pt idx="4">
                  <c:v>0.58699999999999997</c:v>
                </c:pt>
                <c:pt idx="5">
                  <c:v>0.70999999999999963</c:v>
                </c:pt>
                <c:pt idx="6">
                  <c:v>0.84599999999999898</c:v>
                </c:pt>
                <c:pt idx="7">
                  <c:v>0.83600000000000141</c:v>
                </c:pt>
                <c:pt idx="8">
                  <c:v>0.98599999999999843</c:v>
                </c:pt>
                <c:pt idx="9">
                  <c:v>0.93399999999999828</c:v>
                </c:pt>
                <c:pt idx="10">
                  <c:v>0.92199999999999949</c:v>
                </c:pt>
                <c:pt idx="11">
                  <c:v>0.876000000000001</c:v>
                </c:pt>
                <c:pt idx="12">
                  <c:v>0.85799999999999965</c:v>
                </c:pt>
                <c:pt idx="13">
                  <c:v>0.81899999999999684</c:v>
                </c:pt>
                <c:pt idx="14">
                  <c:v>0.7790000000000008</c:v>
                </c:pt>
                <c:pt idx="15">
                  <c:v>0.747</c:v>
                </c:pt>
                <c:pt idx="16">
                  <c:v>0.7200000000000002</c:v>
                </c:pt>
                <c:pt idx="17">
                  <c:v>0.69499999999999984</c:v>
                </c:pt>
                <c:pt idx="18">
                  <c:v>0.67100000000000037</c:v>
                </c:pt>
                <c:pt idx="19">
                  <c:v>0.64899999999999947</c:v>
                </c:pt>
                <c:pt idx="20">
                  <c:v>0.62999999999999845</c:v>
                </c:pt>
                <c:pt idx="21">
                  <c:v>0.60900000000000265</c:v>
                </c:pt>
                <c:pt idx="22">
                  <c:v>0.59000000000000052</c:v>
                </c:pt>
                <c:pt idx="23">
                  <c:v>0.57299999999999895</c:v>
                </c:pt>
                <c:pt idx="24" formatCode="#,##0.00">
                  <c:v>0.55600000000000105</c:v>
                </c:pt>
                <c:pt idx="25">
                  <c:v>0.54099999999999993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8CA4-40D6-BD1E-474194B8C77E}"/>
            </c:ext>
          </c:extLst>
        </c:ser>
        <c:ser>
          <c:idx val="3"/>
          <c:order val="2"/>
          <c:tx>
            <c:strRef>
              <c:f>'Ind F2'!$L$8</c:f>
              <c:strCache>
                <c:ptCount val="1"/>
                <c:pt idx="0">
                  <c:v>Electricity and gas</c:v>
                </c:pt>
              </c:strCache>
            </c:strRef>
          </c:tx>
          <c:spPr>
            <a:solidFill>
              <a:srgbClr val="C0C0C0"/>
            </a:solidFill>
            <a:ln w="12700">
              <a:solidFill>
                <a:srgbClr val="000000"/>
              </a:solidFill>
              <a:prstDash val="solid"/>
            </a:ln>
          </c:spPr>
          <c:cat>
            <c:numRef>
              <c:f>'Ind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'Ind F2'!$M$8:$AL$8</c:f>
              <c:numCache>
                <c:formatCode>#,##0</c:formatCode>
                <c:ptCount val="26"/>
                <c:pt idx="0">
                  <c:v>1.2300000000000029</c:v>
                </c:pt>
                <c:pt idx="1">
                  <c:v>1.236</c:v>
                </c:pt>
                <c:pt idx="2">
                  <c:v>1.6920000000000006</c:v>
                </c:pt>
                <c:pt idx="3">
                  <c:v>1.394000000000003</c:v>
                </c:pt>
                <c:pt idx="4">
                  <c:v>1.4419999999999955</c:v>
                </c:pt>
                <c:pt idx="5">
                  <c:v>1.297000000000003</c:v>
                </c:pt>
                <c:pt idx="6">
                  <c:v>1.2290000000000001</c:v>
                </c:pt>
                <c:pt idx="7">
                  <c:v>1.2920000000000031</c:v>
                </c:pt>
                <c:pt idx="8">
                  <c:v>1.4069999999999978</c:v>
                </c:pt>
                <c:pt idx="9">
                  <c:v>1.3590000000000013</c:v>
                </c:pt>
                <c:pt idx="10">
                  <c:v>1.3190000000000015</c:v>
                </c:pt>
                <c:pt idx="11">
                  <c:v>1.3050000000000006</c:v>
                </c:pt>
                <c:pt idx="12">
                  <c:v>1.2830000000000001</c:v>
                </c:pt>
                <c:pt idx="13">
                  <c:v>1.2780000000000002</c:v>
                </c:pt>
                <c:pt idx="14">
                  <c:v>1.2759999999999996</c:v>
                </c:pt>
                <c:pt idx="15">
                  <c:v>1.2739999999999985</c:v>
                </c:pt>
                <c:pt idx="16">
                  <c:v>1.2720000000000002</c:v>
                </c:pt>
                <c:pt idx="17">
                  <c:v>1.2700000000000038</c:v>
                </c:pt>
                <c:pt idx="18">
                  <c:v>1.268999999999999</c:v>
                </c:pt>
                <c:pt idx="19">
                  <c:v>1.2679999999999993</c:v>
                </c:pt>
                <c:pt idx="20">
                  <c:v>1.2670000000000012</c:v>
                </c:pt>
                <c:pt idx="21">
                  <c:v>1.2670000000000017</c:v>
                </c:pt>
                <c:pt idx="22">
                  <c:v>1.2660000000000056</c:v>
                </c:pt>
                <c:pt idx="23">
                  <c:v>1.2659999999999991</c:v>
                </c:pt>
                <c:pt idx="24" formatCode="#,##0.00">
                  <c:v>1.2660000000000036</c:v>
                </c:pt>
                <c:pt idx="25">
                  <c:v>1.2660000000000007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8CA4-40D6-BD1E-474194B8C77E}"/>
            </c:ext>
          </c:extLst>
        </c:ser>
        <c:ser>
          <c:idx val="0"/>
          <c:order val="3"/>
          <c:tx>
            <c:strRef>
              <c:f>'Ind F2'!$L$9</c:f>
              <c:strCache>
                <c:ptCount val="1"/>
                <c:pt idx="0">
                  <c:v>Water and sewerage</c:v>
                </c:pt>
              </c:strCache>
            </c:strRef>
          </c:tx>
          <c:spPr>
            <a:solidFill>
              <a:schemeClr val="bg1">
                <a:lumMod val="95000"/>
              </a:schemeClr>
            </a:solidFill>
            <a:ln>
              <a:solidFill>
                <a:schemeClr val="tx1"/>
              </a:solidFill>
            </a:ln>
          </c:spPr>
          <c:cat>
            <c:numRef>
              <c:f>'Ind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'Ind F2'!$M$9:$AL$9</c:f>
              <c:numCache>
                <c:formatCode>#,##0</c:formatCode>
                <c:ptCount val="26"/>
                <c:pt idx="0">
                  <c:v>4.0650000000000031</c:v>
                </c:pt>
                <c:pt idx="1">
                  <c:v>4.3990000000000009</c:v>
                </c:pt>
                <c:pt idx="2">
                  <c:v>4.5020000000000087</c:v>
                </c:pt>
                <c:pt idx="3">
                  <c:v>5.0220000000000038</c:v>
                </c:pt>
                <c:pt idx="4">
                  <c:v>5.6069999999999993</c:v>
                </c:pt>
                <c:pt idx="5">
                  <c:v>5.2409999999999943</c:v>
                </c:pt>
                <c:pt idx="6">
                  <c:v>4.8379999999999939</c:v>
                </c:pt>
                <c:pt idx="7">
                  <c:v>5.0180000000000025</c:v>
                </c:pt>
                <c:pt idx="8">
                  <c:v>5.0190000000000063</c:v>
                </c:pt>
                <c:pt idx="9">
                  <c:v>5.1000000000000014</c:v>
                </c:pt>
                <c:pt idx="10">
                  <c:v>4.7860000000000129</c:v>
                </c:pt>
                <c:pt idx="11">
                  <c:v>4.6589999999999945</c:v>
                </c:pt>
                <c:pt idx="12">
                  <c:v>4.6169999999999884</c:v>
                </c:pt>
                <c:pt idx="13">
                  <c:v>4.6730000000000116</c:v>
                </c:pt>
                <c:pt idx="14">
                  <c:v>4.8820000000000059</c:v>
                </c:pt>
                <c:pt idx="15">
                  <c:v>4.9970000000000159</c:v>
                </c:pt>
                <c:pt idx="16">
                  <c:v>5.0799999999999947</c:v>
                </c:pt>
                <c:pt idx="17">
                  <c:v>5.1359999999999983</c:v>
                </c:pt>
                <c:pt idx="18">
                  <c:v>5.1750000000000043</c:v>
                </c:pt>
                <c:pt idx="19">
                  <c:v>5.2039999999999891</c:v>
                </c:pt>
                <c:pt idx="20">
                  <c:v>5.2270000000000092</c:v>
                </c:pt>
                <c:pt idx="21">
                  <c:v>5.2460000000000058</c:v>
                </c:pt>
                <c:pt idx="22">
                  <c:v>5.2629999999999919</c:v>
                </c:pt>
                <c:pt idx="23">
                  <c:v>5.2770000000000019</c:v>
                </c:pt>
                <c:pt idx="24" formatCode="#,##0.00">
                  <c:v>5.2910000000000004</c:v>
                </c:pt>
                <c:pt idx="25">
                  <c:v>5.3039999999999985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CCBB-4C95-A899-B448F94DD78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54626528"/>
        <c:axId val="254626912"/>
      </c:areaChart>
      <c:catAx>
        <c:axId val="254626528"/>
        <c:scaling>
          <c:orientation val="minMax"/>
        </c:scaling>
        <c:delete val="0"/>
        <c:axPos val="b"/>
        <c:numFmt formatCode="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-540000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254626912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254626912"/>
        <c:scaling>
          <c:orientation val="minMax"/>
          <c:min val="0"/>
        </c:scaling>
        <c:delete val="0"/>
        <c:axPos val="l"/>
        <c:title>
          <c:tx>
            <c:rich>
              <a:bodyPr rot="0" vert="horz"/>
              <a:lstStyle/>
              <a:p>
                <a:pPr algn="l">
                  <a:defRPr sz="825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GB"/>
                  <a:t>thousands</a:t>
                </a:r>
              </a:p>
            </c:rich>
          </c:tx>
          <c:layout>
            <c:manualLayout>
              <c:xMode val="edge"/>
              <c:yMode val="edge"/>
              <c:x val="7.8864414050499442E-3"/>
              <c:y val="1.0482201753721488E-2"/>
            </c:manualLayout>
          </c:layout>
          <c:overlay val="0"/>
          <c:spPr>
            <a:noFill/>
            <a:ln w="25400">
              <a:noFill/>
            </a:ln>
          </c:spPr>
        </c:title>
        <c:numFmt formatCode="#,##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95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254626528"/>
        <c:crosses val="autoZero"/>
        <c:crossBetween val="midCat"/>
      </c:valAx>
      <c:spPr>
        <a:noFill/>
        <a:ln w="12700">
          <a:solidFill>
            <a:srgbClr val="808080"/>
          </a:solidFill>
          <a:prstDash val="solid"/>
        </a:ln>
      </c:spPr>
    </c:plotArea>
    <c:legend>
      <c:legendPos val="b"/>
      <c:layout>
        <c:manualLayout>
          <c:xMode val="edge"/>
          <c:yMode val="edge"/>
          <c:x val="0.18815128382492435"/>
          <c:y val="0.95968676636462247"/>
          <c:w val="0.67507859518612257"/>
          <c:h val="4.0103619672626593E-2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780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legend>
    <c:plotVisOnly val="1"/>
    <c:dispBlanksAs val="zero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85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000000000001465" r="0.75000000000001465" t="1" header="0.5" footer="0.5"/>
    <c:pageSetup paperSize="9" orientation="landscape"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8.9905432017565845E-2"/>
          <c:y val="7.3221832118928271E-2"/>
          <c:w val="0.87539499596050963"/>
          <c:h val="0.76569115872938642"/>
        </c:manualLayout>
      </c:layout>
      <c:areaChart>
        <c:grouping val="stacked"/>
        <c:varyColors val="0"/>
        <c:ser>
          <c:idx val="1"/>
          <c:order val="0"/>
          <c:tx>
            <c:strRef>
              <c:f>'Ind F2'!$L$12</c:f>
              <c:strCache>
                <c:ptCount val="1"/>
                <c:pt idx="0">
                  <c:v>Food drink and tobacco</c:v>
                </c:pt>
              </c:strCache>
            </c:strRef>
          </c:tx>
          <c:spPr>
            <a:solidFill>
              <a:srgbClr val="808080"/>
            </a:solidFill>
            <a:ln w="12700">
              <a:solidFill>
                <a:srgbClr val="000000"/>
              </a:solidFill>
              <a:prstDash val="solid"/>
            </a:ln>
          </c:spPr>
          <c:cat>
            <c:numRef>
              <c:f>'Ind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'Ind F2'!$M$12:$AL$12</c:f>
              <c:numCache>
                <c:formatCode>#,##0</c:formatCode>
                <c:ptCount val="26"/>
                <c:pt idx="0">
                  <c:v>20.941000000000003</c:v>
                </c:pt>
                <c:pt idx="1">
                  <c:v>19.639999999999972</c:v>
                </c:pt>
                <c:pt idx="2">
                  <c:v>20.678000000000061</c:v>
                </c:pt>
                <c:pt idx="3">
                  <c:v>21.252000000000017</c:v>
                </c:pt>
                <c:pt idx="4">
                  <c:v>21.216999999999935</c:v>
                </c:pt>
                <c:pt idx="5">
                  <c:v>22.367999999999988</c:v>
                </c:pt>
                <c:pt idx="6">
                  <c:v>24.907000000000011</c:v>
                </c:pt>
                <c:pt idx="7">
                  <c:v>25.79999999999994</c:v>
                </c:pt>
                <c:pt idx="8">
                  <c:v>26.809999999999974</c:v>
                </c:pt>
                <c:pt idx="9">
                  <c:v>24.064000000000018</c:v>
                </c:pt>
                <c:pt idx="10">
                  <c:v>24.152000000000037</c:v>
                </c:pt>
                <c:pt idx="11">
                  <c:v>24.376999999999949</c:v>
                </c:pt>
                <c:pt idx="12">
                  <c:v>24.668999999999958</c:v>
                </c:pt>
                <c:pt idx="13">
                  <c:v>24.884999999999973</c:v>
                </c:pt>
                <c:pt idx="14">
                  <c:v>24.971999999999987</c:v>
                </c:pt>
                <c:pt idx="15">
                  <c:v>24.98199999999995</c:v>
                </c:pt>
                <c:pt idx="16">
                  <c:v>24.993000000000034</c:v>
                </c:pt>
                <c:pt idx="17">
                  <c:v>24.998999999999985</c:v>
                </c:pt>
                <c:pt idx="18">
                  <c:v>25.005000000000038</c:v>
                </c:pt>
                <c:pt idx="19">
                  <c:v>25.011000000000013</c:v>
                </c:pt>
                <c:pt idx="20">
                  <c:v>25.040000000000024</c:v>
                </c:pt>
                <c:pt idx="21">
                  <c:v>25.07200000000001</c:v>
                </c:pt>
                <c:pt idx="22">
                  <c:v>25.104000000000013</c:v>
                </c:pt>
                <c:pt idx="23">
                  <c:v>25.134999999999994</c:v>
                </c:pt>
                <c:pt idx="24" formatCode="#,##0.00">
                  <c:v>25.164000000000058</c:v>
                </c:pt>
                <c:pt idx="25">
                  <c:v>25.192000000000025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5EA0-41D5-BF7E-8A4B7EBE3C25}"/>
            </c:ext>
          </c:extLst>
        </c:ser>
        <c:ser>
          <c:idx val="2"/>
          <c:order val="1"/>
          <c:tx>
            <c:strRef>
              <c:f>'Ind F2'!$L$13</c:f>
              <c:strCache>
                <c:ptCount val="1"/>
                <c:pt idx="0">
                  <c:v>Engineering</c:v>
                </c:pt>
              </c:strCache>
            </c:strRef>
          </c:tx>
          <c:spPr>
            <a:solidFill>
              <a:srgbClr val="969696"/>
            </a:solidFill>
            <a:ln w="12700">
              <a:solidFill>
                <a:srgbClr val="000000"/>
              </a:solidFill>
              <a:prstDash val="solid"/>
            </a:ln>
          </c:spPr>
          <c:cat>
            <c:numRef>
              <c:f>'Ind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'Ind F2'!$M$13:$AL$13</c:f>
              <c:numCache>
                <c:formatCode>#,##0</c:formatCode>
                <c:ptCount val="26"/>
                <c:pt idx="0">
                  <c:v>5.4530000000000118</c:v>
                </c:pt>
                <c:pt idx="1">
                  <c:v>5.7210000000000303</c:v>
                </c:pt>
                <c:pt idx="2">
                  <c:v>6.8670000000000053</c:v>
                </c:pt>
                <c:pt idx="3">
                  <c:v>6.7619999999999951</c:v>
                </c:pt>
                <c:pt idx="4">
                  <c:v>7.687000000000018</c:v>
                </c:pt>
                <c:pt idx="5">
                  <c:v>7.5750000000000162</c:v>
                </c:pt>
                <c:pt idx="6">
                  <c:v>5.8700000000000099</c:v>
                </c:pt>
                <c:pt idx="7">
                  <c:v>6.2859999999999996</c:v>
                </c:pt>
                <c:pt idx="8">
                  <c:v>7.3489999999999887</c:v>
                </c:pt>
                <c:pt idx="9">
                  <c:v>5.5139999999999878</c:v>
                </c:pt>
                <c:pt idx="10">
                  <c:v>5.2779999999999863</c:v>
                </c:pt>
                <c:pt idx="11">
                  <c:v>5.3669999999999938</c:v>
                </c:pt>
                <c:pt idx="12">
                  <c:v>5.3150000000000031</c:v>
                </c:pt>
                <c:pt idx="13">
                  <c:v>5.3039999999999967</c:v>
                </c:pt>
                <c:pt idx="14">
                  <c:v>5.2749999999999879</c:v>
                </c:pt>
                <c:pt idx="15">
                  <c:v>5.2490000000000068</c:v>
                </c:pt>
                <c:pt idx="16">
                  <c:v>5.1930000000000032</c:v>
                </c:pt>
                <c:pt idx="17">
                  <c:v>5.1369999999999889</c:v>
                </c:pt>
                <c:pt idx="18">
                  <c:v>5.0820000000000025</c:v>
                </c:pt>
                <c:pt idx="19">
                  <c:v>5.0270000000000143</c:v>
                </c:pt>
                <c:pt idx="20">
                  <c:v>4.9759999999999938</c:v>
                </c:pt>
                <c:pt idx="21">
                  <c:v>4.9240000000000004</c:v>
                </c:pt>
                <c:pt idx="22">
                  <c:v>4.8709999999999969</c:v>
                </c:pt>
                <c:pt idx="23">
                  <c:v>4.8179999999999952</c:v>
                </c:pt>
                <c:pt idx="24" formatCode="#,##0.00">
                  <c:v>4.7650000000000077</c:v>
                </c:pt>
                <c:pt idx="25">
                  <c:v>4.7119999999999918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5EA0-41D5-BF7E-8A4B7EBE3C25}"/>
            </c:ext>
          </c:extLst>
        </c:ser>
        <c:ser>
          <c:idx val="3"/>
          <c:order val="2"/>
          <c:tx>
            <c:strRef>
              <c:f>'Ind F2'!$L$14</c:f>
              <c:strCache>
                <c:ptCount val="1"/>
                <c:pt idx="0">
                  <c:v>Rest of manufacturing</c:v>
                </c:pt>
              </c:strCache>
            </c:strRef>
          </c:tx>
          <c:spPr>
            <a:solidFill>
              <a:srgbClr val="C0C0C0"/>
            </a:solidFill>
            <a:ln w="12700">
              <a:solidFill>
                <a:srgbClr val="000000"/>
              </a:solidFill>
              <a:prstDash val="solid"/>
            </a:ln>
          </c:spPr>
          <c:cat>
            <c:numRef>
              <c:f>'Ind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'Ind F2'!$M$14:$AL$14</c:f>
              <c:numCache>
                <c:formatCode>#,##0</c:formatCode>
                <c:ptCount val="26"/>
                <c:pt idx="0">
                  <c:v>35.941000000000116</c:v>
                </c:pt>
                <c:pt idx="1">
                  <c:v>37.678999999999988</c:v>
                </c:pt>
                <c:pt idx="2">
                  <c:v>34.981999999999985</c:v>
                </c:pt>
                <c:pt idx="3">
                  <c:v>33.833000000000027</c:v>
                </c:pt>
                <c:pt idx="4">
                  <c:v>34.804999999999957</c:v>
                </c:pt>
                <c:pt idx="5">
                  <c:v>39.046000000000149</c:v>
                </c:pt>
                <c:pt idx="6">
                  <c:v>34.610999999999883</c:v>
                </c:pt>
                <c:pt idx="7">
                  <c:v>39.314999999999976</c:v>
                </c:pt>
                <c:pt idx="8">
                  <c:v>40.211000000000084</c:v>
                </c:pt>
                <c:pt idx="9">
                  <c:v>38.372999999999969</c:v>
                </c:pt>
                <c:pt idx="10">
                  <c:v>38.603999999999992</c:v>
                </c:pt>
                <c:pt idx="11">
                  <c:v>38.187000000000054</c:v>
                </c:pt>
                <c:pt idx="12">
                  <c:v>37.507000000000026</c:v>
                </c:pt>
                <c:pt idx="13">
                  <c:v>36.706000000000046</c:v>
                </c:pt>
                <c:pt idx="14">
                  <c:v>36.205000000000133</c:v>
                </c:pt>
                <c:pt idx="15">
                  <c:v>35.712999999999994</c:v>
                </c:pt>
                <c:pt idx="16">
                  <c:v>35.305000000000128</c:v>
                </c:pt>
                <c:pt idx="17">
                  <c:v>34.892999999999923</c:v>
                </c:pt>
                <c:pt idx="18">
                  <c:v>34.50500000000001</c:v>
                </c:pt>
                <c:pt idx="19">
                  <c:v>34.135999999999989</c:v>
                </c:pt>
                <c:pt idx="20">
                  <c:v>33.80300000000009</c:v>
                </c:pt>
                <c:pt idx="21">
                  <c:v>33.46799999999994</c:v>
                </c:pt>
                <c:pt idx="22">
                  <c:v>33.145000000000024</c:v>
                </c:pt>
                <c:pt idx="23">
                  <c:v>32.835000000000015</c:v>
                </c:pt>
                <c:pt idx="24" formatCode="#,##0.00">
                  <c:v>32.537000000000035</c:v>
                </c:pt>
                <c:pt idx="25">
                  <c:v>32.256999999999962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5EA0-41D5-BF7E-8A4B7EBE3C2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51989464"/>
        <c:axId val="253597832"/>
      </c:areaChart>
      <c:catAx>
        <c:axId val="251989464"/>
        <c:scaling>
          <c:orientation val="minMax"/>
        </c:scaling>
        <c:delete val="0"/>
        <c:axPos val="b"/>
        <c:numFmt formatCode="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-540000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253597832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253597832"/>
        <c:scaling>
          <c:orientation val="minMax"/>
          <c:min val="0"/>
        </c:scaling>
        <c:delete val="0"/>
        <c:axPos val="l"/>
        <c:title>
          <c:tx>
            <c:rich>
              <a:bodyPr rot="0" vert="horz"/>
              <a:lstStyle/>
              <a:p>
                <a:pPr algn="l">
                  <a:defRPr sz="8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GB"/>
                  <a:t>thousands</a:t>
                </a:r>
              </a:p>
            </c:rich>
          </c:tx>
          <c:layout>
            <c:manualLayout>
              <c:xMode val="edge"/>
              <c:yMode val="edge"/>
              <c:x val="9.4637296860595726E-3"/>
              <c:y val="1.2552314077530559E-2"/>
            </c:manualLayout>
          </c:layout>
          <c:overlay val="0"/>
          <c:spPr>
            <a:noFill/>
            <a:ln w="25400">
              <a:noFill/>
            </a:ln>
          </c:spPr>
        </c:title>
        <c:numFmt formatCode="#,##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95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251989464"/>
        <c:crosses val="autoZero"/>
        <c:crossBetween val="midCat"/>
      </c:valAx>
      <c:spPr>
        <a:noFill/>
        <a:ln w="12700">
          <a:solidFill>
            <a:srgbClr val="808080"/>
          </a:solidFill>
          <a:prstDash val="solid"/>
        </a:ln>
      </c:spPr>
    </c:plotArea>
    <c:legend>
      <c:legendPos val="b"/>
      <c:layout>
        <c:manualLayout>
          <c:xMode val="edge"/>
          <c:yMode val="edge"/>
          <c:x val="0.33123053901208482"/>
          <c:y val="0.93514739877602659"/>
          <c:w val="0.50157767336115666"/>
          <c:h val="4.6025151617612045E-2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780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legend>
    <c:plotVisOnly val="1"/>
    <c:dispBlanksAs val="zero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85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000000000001465" r="0.75000000000001465" t="1" header="0.5" footer="0.5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8.9905432017565845E-2"/>
          <c:y val="7.3221832118928271E-2"/>
          <c:w val="0.87539499596050963"/>
          <c:h val="0.76987526342190526"/>
        </c:manualLayout>
      </c:layout>
      <c:areaChart>
        <c:grouping val="stacked"/>
        <c:varyColors val="0"/>
        <c:ser>
          <c:idx val="1"/>
          <c:order val="0"/>
          <c:tx>
            <c:strRef>
              <c:f>'Ind F2'!$L$16</c:f>
              <c:strCache>
                <c:ptCount val="1"/>
                <c:pt idx="0">
                  <c:v>Construction</c:v>
                </c:pt>
              </c:strCache>
            </c:strRef>
          </c:tx>
          <c:spPr>
            <a:solidFill>
              <a:srgbClr val="C0C0C0"/>
            </a:solidFill>
            <a:ln w="12700">
              <a:solidFill>
                <a:srgbClr val="000000"/>
              </a:solidFill>
              <a:prstDash val="solid"/>
            </a:ln>
          </c:spPr>
          <c:cat>
            <c:numRef>
              <c:f>'Ind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'Ind F2'!$M$16:$AL$16</c:f>
              <c:numCache>
                <c:formatCode>#,##0</c:formatCode>
                <c:ptCount val="26"/>
                <c:pt idx="0">
                  <c:v>35.047000000000125</c:v>
                </c:pt>
                <c:pt idx="1">
                  <c:v>36.080999999999882</c:v>
                </c:pt>
                <c:pt idx="2">
                  <c:v>34.770999999999972</c:v>
                </c:pt>
                <c:pt idx="3">
                  <c:v>29.696999999999981</c:v>
                </c:pt>
                <c:pt idx="4">
                  <c:v>35.275999999999861</c:v>
                </c:pt>
                <c:pt idx="5">
                  <c:v>35.251000000000047</c:v>
                </c:pt>
                <c:pt idx="6">
                  <c:v>38.302999999999955</c:v>
                </c:pt>
                <c:pt idx="7">
                  <c:v>37.257999999999917</c:v>
                </c:pt>
                <c:pt idx="8">
                  <c:v>35.737000000000023</c:v>
                </c:pt>
                <c:pt idx="9">
                  <c:v>34.611999999999952</c:v>
                </c:pt>
                <c:pt idx="10">
                  <c:v>34.021000000000058</c:v>
                </c:pt>
                <c:pt idx="11">
                  <c:v>33.403999999999989</c:v>
                </c:pt>
                <c:pt idx="12">
                  <c:v>33.548000000000052</c:v>
                </c:pt>
                <c:pt idx="13">
                  <c:v>33.878000000000007</c:v>
                </c:pt>
                <c:pt idx="14">
                  <c:v>34.182000000000059</c:v>
                </c:pt>
                <c:pt idx="15">
                  <c:v>34.368999999999993</c:v>
                </c:pt>
                <c:pt idx="16">
                  <c:v>34.518999999999977</c:v>
                </c:pt>
                <c:pt idx="17">
                  <c:v>34.587999999999937</c:v>
                </c:pt>
                <c:pt idx="18">
                  <c:v>34.695000000000057</c:v>
                </c:pt>
                <c:pt idx="19">
                  <c:v>34.781999999999975</c:v>
                </c:pt>
                <c:pt idx="20">
                  <c:v>34.909999999999989</c:v>
                </c:pt>
                <c:pt idx="21">
                  <c:v>35.042999999999942</c:v>
                </c:pt>
                <c:pt idx="22">
                  <c:v>35.18400000000009</c:v>
                </c:pt>
                <c:pt idx="23">
                  <c:v>35.328999999999972</c:v>
                </c:pt>
                <c:pt idx="24" formatCode="#,##0.00">
                  <c:v>35.476999999999997</c:v>
                </c:pt>
                <c:pt idx="25">
                  <c:v>35.626999999999988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9091-4833-92D7-C94527035F1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53598616"/>
        <c:axId val="253599008"/>
      </c:areaChart>
      <c:catAx>
        <c:axId val="253598616"/>
        <c:scaling>
          <c:orientation val="minMax"/>
        </c:scaling>
        <c:delete val="0"/>
        <c:axPos val="b"/>
        <c:numFmt formatCode="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-540000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253599008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253599008"/>
        <c:scaling>
          <c:orientation val="minMax"/>
          <c:min val="0"/>
        </c:scaling>
        <c:delete val="0"/>
        <c:axPos val="l"/>
        <c:title>
          <c:tx>
            <c:rich>
              <a:bodyPr rot="0" vert="horz"/>
              <a:lstStyle/>
              <a:p>
                <a:pPr algn="l">
                  <a:defRPr sz="8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GB"/>
                  <a:t>thousands</a:t>
                </a:r>
              </a:p>
            </c:rich>
          </c:tx>
          <c:layout>
            <c:manualLayout>
              <c:xMode val="edge"/>
              <c:yMode val="edge"/>
              <c:x val="7.8864414050499442E-3"/>
              <c:y val="1.2552314077530559E-2"/>
            </c:manualLayout>
          </c:layout>
          <c:overlay val="0"/>
          <c:spPr>
            <a:noFill/>
            <a:ln w="25400">
              <a:noFill/>
            </a:ln>
          </c:spPr>
        </c:title>
        <c:numFmt formatCode="#,##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95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253598616"/>
        <c:crosses val="autoZero"/>
        <c:crossBetween val="midCat"/>
      </c:valAx>
      <c:spPr>
        <a:noFill/>
        <a:ln w="12700">
          <a:solidFill>
            <a:srgbClr val="808080"/>
          </a:solidFill>
          <a:prstDash val="solid"/>
        </a:ln>
      </c:spPr>
    </c:plotArea>
    <c:legend>
      <c:legendPos val="b"/>
      <c:layout>
        <c:manualLayout>
          <c:xMode val="edge"/>
          <c:yMode val="edge"/>
          <c:x val="0.51577326789024558"/>
          <c:y val="0.93514739877602659"/>
          <c:w val="0.12776035076180794"/>
          <c:h val="4.6025151617612045E-2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780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legend>
    <c:plotVisOnly val="1"/>
    <c:dispBlanksAs val="zero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85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000000000001465" r="0.75000000000001465" t="1" header="0.5" footer="0.5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9.0332874972819527E-2"/>
          <c:y val="7.3221832118928271E-2"/>
          <c:w val="0.8795569405248217"/>
          <c:h val="0.7719673157681296"/>
        </c:manualLayout>
      </c:layout>
      <c:areaChart>
        <c:grouping val="stacked"/>
        <c:varyColors val="0"/>
        <c:ser>
          <c:idx val="1"/>
          <c:order val="0"/>
          <c:tx>
            <c:strRef>
              <c:f>'Ind F2'!$L$19</c:f>
              <c:strCache>
                <c:ptCount val="1"/>
                <c:pt idx="0">
                  <c:v>Wholesale and retail trade</c:v>
                </c:pt>
              </c:strCache>
            </c:strRef>
          </c:tx>
          <c:spPr>
            <a:solidFill>
              <a:srgbClr val="808080"/>
            </a:solidFill>
            <a:ln w="12700">
              <a:solidFill>
                <a:srgbClr val="000000"/>
              </a:solidFill>
              <a:prstDash val="solid"/>
            </a:ln>
          </c:spPr>
          <c:cat>
            <c:numRef>
              <c:f>'Ind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'Ind F2'!$M$19:$AL$19</c:f>
              <c:numCache>
                <c:formatCode>#,##0</c:formatCode>
                <c:ptCount val="26"/>
                <c:pt idx="0">
                  <c:v>81.83700000000006</c:v>
                </c:pt>
                <c:pt idx="1">
                  <c:v>85.753000000000213</c:v>
                </c:pt>
                <c:pt idx="2">
                  <c:v>84.185000000000002</c:v>
                </c:pt>
                <c:pt idx="3">
                  <c:v>79.614999999999981</c:v>
                </c:pt>
                <c:pt idx="4">
                  <c:v>82.407000000000082</c:v>
                </c:pt>
                <c:pt idx="5">
                  <c:v>82.774000000000072</c:v>
                </c:pt>
                <c:pt idx="6">
                  <c:v>88.075999999999937</c:v>
                </c:pt>
                <c:pt idx="7">
                  <c:v>85.369000000000113</c:v>
                </c:pt>
                <c:pt idx="8">
                  <c:v>77.589999999999975</c:v>
                </c:pt>
                <c:pt idx="9">
                  <c:v>84.95299999999996</c:v>
                </c:pt>
                <c:pt idx="10">
                  <c:v>81.490000000000094</c:v>
                </c:pt>
                <c:pt idx="11">
                  <c:v>81.985000000000042</c:v>
                </c:pt>
                <c:pt idx="12">
                  <c:v>82.153000000000134</c:v>
                </c:pt>
                <c:pt idx="13">
                  <c:v>82.163000000000025</c:v>
                </c:pt>
                <c:pt idx="14">
                  <c:v>82.317000000000078</c:v>
                </c:pt>
                <c:pt idx="15">
                  <c:v>82.538000000000139</c:v>
                </c:pt>
                <c:pt idx="16">
                  <c:v>82.686000000000007</c:v>
                </c:pt>
                <c:pt idx="17">
                  <c:v>82.816999999999851</c:v>
                </c:pt>
                <c:pt idx="18">
                  <c:v>82.939000000000235</c:v>
                </c:pt>
                <c:pt idx="19">
                  <c:v>83.058999999999841</c:v>
                </c:pt>
                <c:pt idx="20">
                  <c:v>83.199000000000083</c:v>
                </c:pt>
                <c:pt idx="21">
                  <c:v>83.349000000000132</c:v>
                </c:pt>
                <c:pt idx="22">
                  <c:v>83.495999999999896</c:v>
                </c:pt>
                <c:pt idx="23">
                  <c:v>83.683999999999799</c:v>
                </c:pt>
                <c:pt idx="24" formatCode="#,##0.00">
                  <c:v>83.859999999999843</c:v>
                </c:pt>
                <c:pt idx="25">
                  <c:v>84.032000000000039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582F-44B2-8BA6-32F17547BDD2}"/>
            </c:ext>
          </c:extLst>
        </c:ser>
        <c:ser>
          <c:idx val="2"/>
          <c:order val="1"/>
          <c:tx>
            <c:strRef>
              <c:f>'Ind F2'!$L$20</c:f>
              <c:strCache>
                <c:ptCount val="1"/>
                <c:pt idx="0">
                  <c:v>Transport and storage</c:v>
                </c:pt>
              </c:strCache>
            </c:strRef>
          </c:tx>
          <c:spPr>
            <a:solidFill>
              <a:srgbClr val="969696"/>
            </a:solidFill>
            <a:ln w="12700">
              <a:solidFill>
                <a:srgbClr val="000000"/>
              </a:solidFill>
              <a:prstDash val="solid"/>
            </a:ln>
          </c:spPr>
          <c:cat>
            <c:numRef>
              <c:f>'Ind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'Ind F2'!$M$20:$AL$20</c:f>
              <c:numCache>
                <c:formatCode>#,##0</c:formatCode>
                <c:ptCount val="26"/>
                <c:pt idx="0">
                  <c:v>26.057000000000055</c:v>
                </c:pt>
                <c:pt idx="1">
                  <c:v>25.710000000000029</c:v>
                </c:pt>
                <c:pt idx="2">
                  <c:v>25.547000000000008</c:v>
                </c:pt>
                <c:pt idx="3">
                  <c:v>26.365000000000013</c:v>
                </c:pt>
                <c:pt idx="4">
                  <c:v>24.041999999999902</c:v>
                </c:pt>
                <c:pt idx="5">
                  <c:v>26.086000000000016</c:v>
                </c:pt>
                <c:pt idx="6">
                  <c:v>27.757000000000009</c:v>
                </c:pt>
                <c:pt idx="7">
                  <c:v>29.551000000000027</c:v>
                </c:pt>
                <c:pt idx="8">
                  <c:v>28.911999999999978</c:v>
                </c:pt>
                <c:pt idx="9">
                  <c:v>25.812999999999953</c:v>
                </c:pt>
                <c:pt idx="10">
                  <c:v>28.585000000000058</c:v>
                </c:pt>
                <c:pt idx="11">
                  <c:v>29.529000000000028</c:v>
                </c:pt>
                <c:pt idx="12">
                  <c:v>29.426000000000037</c:v>
                </c:pt>
                <c:pt idx="13">
                  <c:v>29.450999999999983</c:v>
                </c:pt>
                <c:pt idx="14">
                  <c:v>29.563999999999961</c:v>
                </c:pt>
                <c:pt idx="15">
                  <c:v>29.634999999999998</c:v>
                </c:pt>
                <c:pt idx="16">
                  <c:v>29.675000000000004</c:v>
                </c:pt>
                <c:pt idx="17">
                  <c:v>29.712</c:v>
                </c:pt>
                <c:pt idx="18">
                  <c:v>29.747000000000032</c:v>
                </c:pt>
                <c:pt idx="19">
                  <c:v>29.782999999999937</c:v>
                </c:pt>
                <c:pt idx="20">
                  <c:v>29.823999999999934</c:v>
                </c:pt>
                <c:pt idx="21">
                  <c:v>29.858999999999977</c:v>
                </c:pt>
                <c:pt idx="22">
                  <c:v>29.89199999999995</c:v>
                </c:pt>
                <c:pt idx="23">
                  <c:v>29.924000000000042</c:v>
                </c:pt>
                <c:pt idx="24" formatCode="#,##0.00">
                  <c:v>29.954000000000033</c:v>
                </c:pt>
                <c:pt idx="25">
                  <c:v>29.983999999999959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582F-44B2-8BA6-32F17547BDD2}"/>
            </c:ext>
          </c:extLst>
        </c:ser>
        <c:ser>
          <c:idx val="3"/>
          <c:order val="2"/>
          <c:tx>
            <c:strRef>
              <c:f>'Ind F2'!$L$21</c:f>
              <c:strCache>
                <c:ptCount val="1"/>
                <c:pt idx="0">
                  <c:v>Accommodation and food</c:v>
                </c:pt>
              </c:strCache>
            </c:strRef>
          </c:tx>
          <c:spPr>
            <a:solidFill>
              <a:srgbClr val="C0C0C0"/>
            </a:solidFill>
            <a:ln w="12700">
              <a:solidFill>
                <a:srgbClr val="000000"/>
              </a:solidFill>
              <a:prstDash val="solid"/>
            </a:ln>
          </c:spPr>
          <c:cat>
            <c:numRef>
              <c:f>'Ind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'Ind F2'!$M$21:$AL$21</c:f>
              <c:numCache>
                <c:formatCode>#,##0</c:formatCode>
                <c:ptCount val="26"/>
                <c:pt idx="0">
                  <c:v>30.378</c:v>
                </c:pt>
                <c:pt idx="1">
                  <c:v>30.033000000000001</c:v>
                </c:pt>
                <c:pt idx="2">
                  <c:v>30.156000000000013</c:v>
                </c:pt>
                <c:pt idx="3">
                  <c:v>32.835999999999956</c:v>
                </c:pt>
                <c:pt idx="4">
                  <c:v>31.104000000000056</c:v>
                </c:pt>
                <c:pt idx="5">
                  <c:v>34.146999999999935</c:v>
                </c:pt>
                <c:pt idx="6">
                  <c:v>37.771000000000036</c:v>
                </c:pt>
                <c:pt idx="7">
                  <c:v>39.007000000000033</c:v>
                </c:pt>
                <c:pt idx="8">
                  <c:v>37.133999999999958</c:v>
                </c:pt>
                <c:pt idx="9">
                  <c:v>35.470000000000006</c:v>
                </c:pt>
                <c:pt idx="10">
                  <c:v>34.063000000000066</c:v>
                </c:pt>
                <c:pt idx="11">
                  <c:v>32.068999999999974</c:v>
                </c:pt>
                <c:pt idx="12">
                  <c:v>32.768999999999991</c:v>
                </c:pt>
                <c:pt idx="13">
                  <c:v>33.316999999999965</c:v>
                </c:pt>
                <c:pt idx="14">
                  <c:v>34.005000000000045</c:v>
                </c:pt>
                <c:pt idx="15">
                  <c:v>34.481999999999942</c:v>
                </c:pt>
                <c:pt idx="16">
                  <c:v>34.873000000000083</c:v>
                </c:pt>
                <c:pt idx="17">
                  <c:v>35.22100000000011</c:v>
                </c:pt>
                <c:pt idx="18">
                  <c:v>35.546000000000063</c:v>
                </c:pt>
                <c:pt idx="19">
                  <c:v>35.854999999999968</c:v>
                </c:pt>
                <c:pt idx="20">
                  <c:v>36.155000000000015</c:v>
                </c:pt>
                <c:pt idx="21">
                  <c:v>36.437000000000005</c:v>
                </c:pt>
                <c:pt idx="22">
                  <c:v>36.707999999999963</c:v>
                </c:pt>
                <c:pt idx="23">
                  <c:v>36.967000000000027</c:v>
                </c:pt>
                <c:pt idx="24" formatCode="#,##0.00">
                  <c:v>37.211999999999954</c:v>
                </c:pt>
                <c:pt idx="25">
                  <c:v>37.443999999999896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582F-44B2-8BA6-32F17547BDD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53599792"/>
        <c:axId val="253600184"/>
      </c:areaChart>
      <c:catAx>
        <c:axId val="253599792"/>
        <c:scaling>
          <c:orientation val="minMax"/>
        </c:scaling>
        <c:delete val="0"/>
        <c:axPos val="b"/>
        <c:numFmt formatCode="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-540000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253600184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253600184"/>
        <c:scaling>
          <c:orientation val="minMax"/>
          <c:min val="0"/>
        </c:scaling>
        <c:delete val="0"/>
        <c:axPos val="l"/>
        <c:title>
          <c:tx>
            <c:rich>
              <a:bodyPr rot="0" vert="horz"/>
              <a:lstStyle/>
              <a:p>
                <a:pPr algn="l">
                  <a:defRPr sz="8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GB"/>
                  <a:t>thousands</a:t>
                </a:r>
              </a:p>
            </c:rich>
          </c:tx>
          <c:layout>
            <c:manualLayout>
              <c:xMode val="edge"/>
              <c:yMode val="edge"/>
              <c:x val="7.9239364011245532E-3"/>
              <c:y val="1.0460261731275467E-2"/>
            </c:manualLayout>
          </c:layout>
          <c:overlay val="0"/>
          <c:spPr>
            <a:noFill/>
            <a:ln w="25400">
              <a:noFill/>
            </a:ln>
          </c:spPr>
        </c:title>
        <c:numFmt formatCode="#,##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975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253599792"/>
        <c:crosses val="autoZero"/>
        <c:crossBetween val="midCat"/>
      </c:valAx>
      <c:spPr>
        <a:noFill/>
        <a:ln w="12700">
          <a:solidFill>
            <a:srgbClr val="808080"/>
          </a:solidFill>
          <a:prstDash val="solid"/>
        </a:ln>
      </c:spPr>
    </c:plotArea>
    <c:legend>
      <c:legendPos val="b"/>
      <c:layout>
        <c:manualLayout>
          <c:xMode val="edge"/>
          <c:yMode val="edge"/>
          <c:x val="0.30427915780318149"/>
          <c:y val="0.93514739877602659"/>
          <c:w val="0.55467554807872665"/>
          <c:h val="4.6025151617612045E-2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780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legend>
    <c:plotVisOnly val="1"/>
    <c:dispBlanksAs val="zero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85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000000000001465" r="0.75000000000001465" t="1" header="0.5" footer="0.5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8.9905432017565845E-2"/>
          <c:y val="7.337541227605042E-2"/>
          <c:w val="0.87381770767952038"/>
          <c:h val="0.7777793701261565"/>
        </c:manualLayout>
      </c:layout>
      <c:areaChart>
        <c:grouping val="stacked"/>
        <c:varyColors val="0"/>
        <c:ser>
          <c:idx val="1"/>
          <c:order val="0"/>
          <c:tx>
            <c:strRef>
              <c:f>'Ind F2'!$L$24</c:f>
              <c:strCache>
                <c:ptCount val="1"/>
                <c:pt idx="0">
                  <c:v>Media</c:v>
                </c:pt>
              </c:strCache>
            </c:strRef>
          </c:tx>
          <c:spPr>
            <a:solidFill>
              <a:schemeClr val="tx1">
                <a:lumMod val="95000"/>
                <a:lumOff val="5000"/>
              </a:schemeClr>
            </a:solidFill>
            <a:ln w="12700">
              <a:solidFill>
                <a:srgbClr val="000000"/>
              </a:solidFill>
              <a:prstDash val="solid"/>
            </a:ln>
          </c:spPr>
          <c:cat>
            <c:numRef>
              <c:f>'Ind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'Ind F2'!$M$24:$AL$24</c:f>
              <c:numCache>
                <c:formatCode>#,##0</c:formatCode>
                <c:ptCount val="26"/>
                <c:pt idx="0">
                  <c:v>2.5820000000000034</c:v>
                </c:pt>
                <c:pt idx="1">
                  <c:v>2.6650000000000023</c:v>
                </c:pt>
                <c:pt idx="2">
                  <c:v>2.6590000000000025</c:v>
                </c:pt>
                <c:pt idx="3">
                  <c:v>2.8100000000000049</c:v>
                </c:pt>
                <c:pt idx="4">
                  <c:v>2.9310000000000072</c:v>
                </c:pt>
                <c:pt idx="5">
                  <c:v>2.0880000000000023</c:v>
                </c:pt>
                <c:pt idx="6">
                  <c:v>2.5330000000000101</c:v>
                </c:pt>
                <c:pt idx="7">
                  <c:v>2.9090000000000065</c:v>
                </c:pt>
                <c:pt idx="8">
                  <c:v>1.605999999999999</c:v>
                </c:pt>
                <c:pt idx="9">
                  <c:v>2.9180000000000046</c:v>
                </c:pt>
                <c:pt idx="10">
                  <c:v>2.2020000000000048</c:v>
                </c:pt>
                <c:pt idx="11">
                  <c:v>2.1789999999999963</c:v>
                </c:pt>
                <c:pt idx="12">
                  <c:v>2.1729999999999992</c:v>
                </c:pt>
                <c:pt idx="13">
                  <c:v>2.1649999999999956</c:v>
                </c:pt>
                <c:pt idx="14">
                  <c:v>2.1610000000000031</c:v>
                </c:pt>
                <c:pt idx="15">
                  <c:v>2.1680000000000015</c:v>
                </c:pt>
                <c:pt idx="16">
                  <c:v>2.1720000000000006</c:v>
                </c:pt>
                <c:pt idx="17">
                  <c:v>2.1759999999999997</c:v>
                </c:pt>
                <c:pt idx="18">
                  <c:v>2.1800000000000033</c:v>
                </c:pt>
                <c:pt idx="19">
                  <c:v>2.1839999999999971</c:v>
                </c:pt>
                <c:pt idx="20">
                  <c:v>2.1880000000000002</c:v>
                </c:pt>
                <c:pt idx="21">
                  <c:v>2.1909999999999998</c:v>
                </c:pt>
                <c:pt idx="22">
                  <c:v>2.1939999999999991</c:v>
                </c:pt>
                <c:pt idx="23">
                  <c:v>2.1979999999999968</c:v>
                </c:pt>
                <c:pt idx="24" formatCode="#,##0.00">
                  <c:v>2.2009999999999974</c:v>
                </c:pt>
                <c:pt idx="25">
                  <c:v>2.2050000000000014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3F7B-4588-829A-546C63534D57}"/>
            </c:ext>
          </c:extLst>
        </c:ser>
        <c:ser>
          <c:idx val="2"/>
          <c:order val="1"/>
          <c:tx>
            <c:strRef>
              <c:f>'Ind F2'!$L$25</c:f>
              <c:strCache>
                <c:ptCount val="1"/>
                <c:pt idx="0">
                  <c:v>Information technology</c:v>
                </c:pt>
              </c:strCache>
            </c:strRef>
          </c:tx>
          <c:spPr>
            <a:solidFill>
              <a:schemeClr val="tx1">
                <a:lumMod val="65000"/>
                <a:lumOff val="35000"/>
              </a:schemeClr>
            </a:solidFill>
            <a:ln w="12700">
              <a:solidFill>
                <a:srgbClr val="000000"/>
              </a:solidFill>
              <a:prstDash val="solid"/>
            </a:ln>
          </c:spPr>
          <c:cat>
            <c:numRef>
              <c:f>'Ind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'Ind F2'!$M$25:$AL$25</c:f>
              <c:numCache>
                <c:formatCode>#,##0</c:formatCode>
                <c:ptCount val="26"/>
                <c:pt idx="0">
                  <c:v>5.8370000000000095</c:v>
                </c:pt>
                <c:pt idx="1">
                  <c:v>4.6249999999999929</c:v>
                </c:pt>
                <c:pt idx="2">
                  <c:v>3.9830000000000028</c:v>
                </c:pt>
                <c:pt idx="3">
                  <c:v>5.665000000000008</c:v>
                </c:pt>
                <c:pt idx="4">
                  <c:v>6.0129999999999963</c:v>
                </c:pt>
                <c:pt idx="5">
                  <c:v>5.3660000000000121</c:v>
                </c:pt>
                <c:pt idx="6">
                  <c:v>5.6760000000000215</c:v>
                </c:pt>
                <c:pt idx="7">
                  <c:v>7.8099999999999952</c:v>
                </c:pt>
                <c:pt idx="8">
                  <c:v>7.4890000000000025</c:v>
                </c:pt>
                <c:pt idx="9">
                  <c:v>6.0439999999999996</c:v>
                </c:pt>
                <c:pt idx="10">
                  <c:v>5.4690000000000101</c:v>
                </c:pt>
                <c:pt idx="11">
                  <c:v>5.6219999999999928</c:v>
                </c:pt>
                <c:pt idx="12">
                  <c:v>5.6680000000000081</c:v>
                </c:pt>
                <c:pt idx="13">
                  <c:v>5.7720000000000091</c:v>
                </c:pt>
                <c:pt idx="14">
                  <c:v>5.8500000000000121</c:v>
                </c:pt>
                <c:pt idx="15">
                  <c:v>5.9120000000000088</c:v>
                </c:pt>
                <c:pt idx="16">
                  <c:v>5.9700000000000024</c:v>
                </c:pt>
                <c:pt idx="17">
                  <c:v>6.018000000000006</c:v>
                </c:pt>
                <c:pt idx="18">
                  <c:v>6.0640000000000072</c:v>
                </c:pt>
                <c:pt idx="19">
                  <c:v>6.1080000000000139</c:v>
                </c:pt>
                <c:pt idx="20">
                  <c:v>6.1560000000000077</c:v>
                </c:pt>
                <c:pt idx="21">
                  <c:v>6.2019999999999937</c:v>
                </c:pt>
                <c:pt idx="22">
                  <c:v>6.2469999999999883</c:v>
                </c:pt>
                <c:pt idx="23">
                  <c:v>6.2899999999999894</c:v>
                </c:pt>
                <c:pt idx="24" formatCode="#,##0.00">
                  <c:v>6.3289999999999962</c:v>
                </c:pt>
                <c:pt idx="25">
                  <c:v>6.3659999999999899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3F7B-4588-829A-546C63534D57}"/>
            </c:ext>
          </c:extLst>
        </c:ser>
        <c:ser>
          <c:idx val="3"/>
          <c:order val="2"/>
          <c:tx>
            <c:strRef>
              <c:f>'Ind F2'!$L$26</c:f>
              <c:strCache>
                <c:ptCount val="1"/>
                <c:pt idx="0">
                  <c:v>Finance and insurance</c:v>
                </c:pt>
              </c:strCache>
            </c:strRef>
          </c:tx>
          <c:spPr>
            <a:solidFill>
              <a:schemeClr val="tx1">
                <a:lumMod val="50000"/>
                <a:lumOff val="50000"/>
              </a:schemeClr>
            </a:solidFill>
            <a:ln w="12700">
              <a:solidFill>
                <a:srgbClr val="000000"/>
              </a:solidFill>
              <a:prstDash val="solid"/>
            </a:ln>
          </c:spPr>
          <c:cat>
            <c:numRef>
              <c:f>'Ind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'Ind F2'!$M$26:$AL$26</c:f>
              <c:numCache>
                <c:formatCode>#,##0</c:formatCode>
                <c:ptCount val="26"/>
                <c:pt idx="0">
                  <c:v>4.4620000000000015</c:v>
                </c:pt>
                <c:pt idx="1">
                  <c:v>5.2870000000000186</c:v>
                </c:pt>
                <c:pt idx="2">
                  <c:v>5.4279999999999937</c:v>
                </c:pt>
                <c:pt idx="3">
                  <c:v>4.561000000000007</c:v>
                </c:pt>
                <c:pt idx="4">
                  <c:v>5.9789999999999868</c:v>
                </c:pt>
                <c:pt idx="5">
                  <c:v>6.1699999999999884</c:v>
                </c:pt>
                <c:pt idx="6">
                  <c:v>4.0210000000000008</c:v>
                </c:pt>
                <c:pt idx="7">
                  <c:v>5.1860000000000044</c:v>
                </c:pt>
                <c:pt idx="8">
                  <c:v>4.7229999999999919</c:v>
                </c:pt>
                <c:pt idx="9">
                  <c:v>4.4890000000000008</c:v>
                </c:pt>
                <c:pt idx="10">
                  <c:v>4.9529999999999879</c:v>
                </c:pt>
                <c:pt idx="11">
                  <c:v>5.0419999999999998</c:v>
                </c:pt>
                <c:pt idx="12">
                  <c:v>5.0120000000000013</c:v>
                </c:pt>
                <c:pt idx="13">
                  <c:v>4.9779999999999971</c:v>
                </c:pt>
                <c:pt idx="14">
                  <c:v>4.9349999999999854</c:v>
                </c:pt>
                <c:pt idx="15">
                  <c:v>4.9029999999999951</c:v>
                </c:pt>
                <c:pt idx="16">
                  <c:v>4.8769999999999936</c:v>
                </c:pt>
                <c:pt idx="17">
                  <c:v>4.8499999999999988</c:v>
                </c:pt>
                <c:pt idx="18">
                  <c:v>4.8230000000000084</c:v>
                </c:pt>
                <c:pt idx="19">
                  <c:v>4.7960000000000038</c:v>
                </c:pt>
                <c:pt idx="20">
                  <c:v>4.771999999999994</c:v>
                </c:pt>
                <c:pt idx="21">
                  <c:v>4.7440000000000078</c:v>
                </c:pt>
                <c:pt idx="22">
                  <c:v>4.7169999999999952</c:v>
                </c:pt>
                <c:pt idx="23">
                  <c:v>4.6900000000000031</c:v>
                </c:pt>
                <c:pt idx="24" formatCode="#,##0.00">
                  <c:v>4.6629999999999985</c:v>
                </c:pt>
                <c:pt idx="25">
                  <c:v>4.6359999999999904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3F7B-4588-829A-546C63534D57}"/>
            </c:ext>
          </c:extLst>
        </c:ser>
        <c:ser>
          <c:idx val="0"/>
          <c:order val="3"/>
          <c:tx>
            <c:strRef>
              <c:f>'Ind F2'!$L$27</c:f>
              <c:strCache>
                <c:ptCount val="1"/>
                <c:pt idx="0">
                  <c:v>Real estate</c:v>
                </c:pt>
              </c:strCache>
            </c:strRef>
          </c:tx>
          <c:spPr>
            <a:solidFill>
              <a:schemeClr val="bg1">
                <a:lumMod val="65000"/>
              </a:schemeClr>
            </a:solidFill>
            <a:ln>
              <a:solidFill>
                <a:srgbClr val="000000"/>
              </a:solidFill>
            </a:ln>
          </c:spPr>
          <c:cat>
            <c:numRef>
              <c:f>'Ind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'Ind F2'!$M$27:$AL$27</c:f>
              <c:numCache>
                <c:formatCode>#,##0</c:formatCode>
                <c:ptCount val="26"/>
                <c:pt idx="0">
                  <c:v>5.8159999999999927</c:v>
                </c:pt>
                <c:pt idx="1">
                  <c:v>5.1690000000000218</c:v>
                </c:pt>
                <c:pt idx="2">
                  <c:v>4.9770000000000119</c:v>
                </c:pt>
                <c:pt idx="3">
                  <c:v>5.5400000000000134</c:v>
                </c:pt>
                <c:pt idx="4">
                  <c:v>6.0889999999999791</c:v>
                </c:pt>
                <c:pt idx="5">
                  <c:v>5.752000000000014</c:v>
                </c:pt>
                <c:pt idx="6">
                  <c:v>5.6969999999999894</c:v>
                </c:pt>
                <c:pt idx="7">
                  <c:v>5.665999999999995</c:v>
                </c:pt>
                <c:pt idx="8">
                  <c:v>6.0519999999999925</c:v>
                </c:pt>
                <c:pt idx="9">
                  <c:v>7.1069999999999958</c:v>
                </c:pt>
                <c:pt idx="10">
                  <c:v>7.6729999999999938</c:v>
                </c:pt>
                <c:pt idx="11">
                  <c:v>7.4890000000000159</c:v>
                </c:pt>
                <c:pt idx="12">
                  <c:v>7.3100000000000005</c:v>
                </c:pt>
                <c:pt idx="13">
                  <c:v>7.19</c:v>
                </c:pt>
                <c:pt idx="14">
                  <c:v>7.1239999999999934</c:v>
                </c:pt>
                <c:pt idx="15">
                  <c:v>7.152000000000009</c:v>
                </c:pt>
                <c:pt idx="16">
                  <c:v>7.199999999999994</c:v>
                </c:pt>
                <c:pt idx="17">
                  <c:v>7.2560000000000082</c:v>
                </c:pt>
                <c:pt idx="18">
                  <c:v>7.3170000000000091</c:v>
                </c:pt>
                <c:pt idx="19">
                  <c:v>7.3810000000000136</c:v>
                </c:pt>
                <c:pt idx="20">
                  <c:v>7.445999999999998</c:v>
                </c:pt>
                <c:pt idx="21">
                  <c:v>7.5109999999999912</c:v>
                </c:pt>
                <c:pt idx="22">
                  <c:v>7.5760000000000156</c:v>
                </c:pt>
                <c:pt idx="23">
                  <c:v>7.641000000000008</c:v>
                </c:pt>
                <c:pt idx="24" formatCode="#,##0.00">
                  <c:v>7.704999999999993</c:v>
                </c:pt>
                <c:pt idx="25">
                  <c:v>7.7679999999999945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97F6-40CB-8490-F63AF969C3B0}"/>
            </c:ext>
          </c:extLst>
        </c:ser>
        <c:ser>
          <c:idx val="4"/>
          <c:order val="4"/>
          <c:tx>
            <c:strRef>
              <c:f>'Ind F2'!$L$28</c:f>
              <c:strCache>
                <c:ptCount val="1"/>
                <c:pt idx="0">
                  <c:v>Professional services</c:v>
                </c:pt>
              </c:strCache>
            </c:strRef>
          </c:tx>
          <c:spPr>
            <a:solidFill>
              <a:schemeClr val="bg1">
                <a:lumMod val="75000"/>
              </a:schemeClr>
            </a:solidFill>
            <a:ln>
              <a:solidFill>
                <a:srgbClr val="000000"/>
              </a:solidFill>
            </a:ln>
          </c:spPr>
          <c:cat>
            <c:numRef>
              <c:f>'Ind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'Ind F2'!$M$28:$AL$28</c:f>
              <c:numCache>
                <c:formatCode>#,##0</c:formatCode>
                <c:ptCount val="26"/>
                <c:pt idx="0">
                  <c:v>23.692</c:v>
                </c:pt>
                <c:pt idx="1">
                  <c:v>23.740999999999939</c:v>
                </c:pt>
                <c:pt idx="2">
                  <c:v>21.451000000000025</c:v>
                </c:pt>
                <c:pt idx="3">
                  <c:v>24.456000000000017</c:v>
                </c:pt>
                <c:pt idx="4">
                  <c:v>27.597999999999999</c:v>
                </c:pt>
                <c:pt idx="5">
                  <c:v>26.284000000000049</c:v>
                </c:pt>
                <c:pt idx="6">
                  <c:v>27.185999999999996</c:v>
                </c:pt>
                <c:pt idx="7">
                  <c:v>27.045999999999967</c:v>
                </c:pt>
                <c:pt idx="8">
                  <c:v>24.833000000000037</c:v>
                </c:pt>
                <c:pt idx="9">
                  <c:v>29.22300000000007</c:v>
                </c:pt>
                <c:pt idx="10">
                  <c:v>31.242000000000051</c:v>
                </c:pt>
                <c:pt idx="11">
                  <c:v>31.676000000000062</c:v>
                </c:pt>
                <c:pt idx="12">
                  <c:v>31.810000000000048</c:v>
                </c:pt>
                <c:pt idx="13">
                  <c:v>32.009000000000022</c:v>
                </c:pt>
                <c:pt idx="14">
                  <c:v>32.233999999999959</c:v>
                </c:pt>
                <c:pt idx="15">
                  <c:v>32.414999999999978</c:v>
                </c:pt>
                <c:pt idx="16">
                  <c:v>32.581999999999958</c:v>
                </c:pt>
                <c:pt idx="17">
                  <c:v>32.757000000000033</c:v>
                </c:pt>
                <c:pt idx="18">
                  <c:v>32.938000000000073</c:v>
                </c:pt>
                <c:pt idx="19">
                  <c:v>33.127000000000045</c:v>
                </c:pt>
                <c:pt idx="20">
                  <c:v>33.329000000000065</c:v>
                </c:pt>
                <c:pt idx="21">
                  <c:v>33.527000000000015</c:v>
                </c:pt>
                <c:pt idx="22">
                  <c:v>33.724999999999937</c:v>
                </c:pt>
                <c:pt idx="23">
                  <c:v>33.923000000000066</c:v>
                </c:pt>
                <c:pt idx="24" formatCode="#,##0.00">
                  <c:v>34.120999999999995</c:v>
                </c:pt>
                <c:pt idx="25">
                  <c:v>34.318999999999946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97F6-40CB-8490-F63AF969C3B0}"/>
            </c:ext>
          </c:extLst>
        </c:ser>
        <c:ser>
          <c:idx val="5"/>
          <c:order val="5"/>
          <c:tx>
            <c:strRef>
              <c:f>'Ind F2'!$L$29</c:f>
              <c:strCache>
                <c:ptCount val="1"/>
                <c:pt idx="0">
                  <c:v>Support services</c:v>
                </c:pt>
              </c:strCache>
            </c:strRef>
          </c:tx>
          <c:spPr>
            <a:solidFill>
              <a:schemeClr val="bg1">
                <a:lumMod val="85000"/>
              </a:schemeClr>
            </a:solidFill>
            <a:ln>
              <a:solidFill>
                <a:srgbClr val="000000"/>
              </a:solidFill>
            </a:ln>
          </c:spPr>
          <c:cat>
            <c:numRef>
              <c:f>'Ind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'Ind F2'!$M$29:$AL$29</c:f>
              <c:numCache>
                <c:formatCode>#,##0</c:formatCode>
                <c:ptCount val="26"/>
                <c:pt idx="0">
                  <c:v>35.768999999999942</c:v>
                </c:pt>
                <c:pt idx="1">
                  <c:v>37.960000000000015</c:v>
                </c:pt>
                <c:pt idx="2">
                  <c:v>36.518000000000058</c:v>
                </c:pt>
                <c:pt idx="3">
                  <c:v>36.007999999999882</c:v>
                </c:pt>
                <c:pt idx="4">
                  <c:v>40.694999999999965</c:v>
                </c:pt>
                <c:pt idx="5">
                  <c:v>39.827999999999939</c:v>
                </c:pt>
                <c:pt idx="6">
                  <c:v>37.149000000000015</c:v>
                </c:pt>
                <c:pt idx="7">
                  <c:v>42.204000000000001</c:v>
                </c:pt>
                <c:pt idx="8">
                  <c:v>41.711000000000212</c:v>
                </c:pt>
                <c:pt idx="9">
                  <c:v>41.087999999999973</c:v>
                </c:pt>
                <c:pt idx="10">
                  <c:v>41.575000000000088</c:v>
                </c:pt>
                <c:pt idx="11">
                  <c:v>42.341000000000022</c:v>
                </c:pt>
                <c:pt idx="12">
                  <c:v>43.226999999999919</c:v>
                </c:pt>
                <c:pt idx="13">
                  <c:v>43.781999999999869</c:v>
                </c:pt>
                <c:pt idx="14">
                  <c:v>44.143000000000029</c:v>
                </c:pt>
                <c:pt idx="15">
                  <c:v>44.417000000000137</c:v>
                </c:pt>
                <c:pt idx="16">
                  <c:v>44.727999999999973</c:v>
                </c:pt>
                <c:pt idx="17">
                  <c:v>45.034000000000006</c:v>
                </c:pt>
                <c:pt idx="18">
                  <c:v>45.336999999999961</c:v>
                </c:pt>
                <c:pt idx="19">
                  <c:v>45.639000000000003</c:v>
                </c:pt>
                <c:pt idx="20">
                  <c:v>45.950000000000045</c:v>
                </c:pt>
                <c:pt idx="21">
                  <c:v>46.249000000000024</c:v>
                </c:pt>
                <c:pt idx="22">
                  <c:v>46.54699999999999</c:v>
                </c:pt>
                <c:pt idx="23">
                  <c:v>46.845000000000056</c:v>
                </c:pt>
                <c:pt idx="24" formatCode="#,##0.00">
                  <c:v>47.143000000000107</c:v>
                </c:pt>
                <c:pt idx="25">
                  <c:v>47.441999999999965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97F6-40CB-8490-F63AF969C3B0}"/>
            </c:ext>
          </c:extLst>
        </c:ser>
        <c:ser>
          <c:idx val="6"/>
          <c:order val="6"/>
          <c:tx>
            <c:strRef>
              <c:f>'Ind F2'!$L$30</c:f>
              <c:strCache>
                <c:ptCount val="1"/>
                <c:pt idx="0">
                  <c:v>Arts and entertainment</c:v>
                </c:pt>
              </c:strCache>
            </c:strRef>
          </c:tx>
          <c:spPr>
            <a:solidFill>
              <a:schemeClr val="bg1">
                <a:lumMod val="95000"/>
              </a:schemeClr>
            </a:solidFill>
            <a:ln>
              <a:solidFill>
                <a:srgbClr val="000000"/>
              </a:solidFill>
            </a:ln>
          </c:spPr>
          <c:cat>
            <c:numRef>
              <c:f>'Ind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'Ind F2'!$M$30:$AL$30</c:f>
              <c:numCache>
                <c:formatCode>#,##0</c:formatCode>
                <c:ptCount val="26"/>
                <c:pt idx="0">
                  <c:v>11.130000000000015</c:v>
                </c:pt>
                <c:pt idx="1">
                  <c:v>13.367999999999979</c:v>
                </c:pt>
                <c:pt idx="2">
                  <c:v>10.833999999999985</c:v>
                </c:pt>
                <c:pt idx="3">
                  <c:v>10.137999999999977</c:v>
                </c:pt>
                <c:pt idx="4">
                  <c:v>10.483000000000004</c:v>
                </c:pt>
                <c:pt idx="5">
                  <c:v>11.292000000000003</c:v>
                </c:pt>
                <c:pt idx="6">
                  <c:v>11.200000000000001</c:v>
                </c:pt>
                <c:pt idx="7">
                  <c:v>12.081000000000005</c:v>
                </c:pt>
                <c:pt idx="8">
                  <c:v>12.895000000000008</c:v>
                </c:pt>
                <c:pt idx="9">
                  <c:v>12.757000000000005</c:v>
                </c:pt>
                <c:pt idx="10">
                  <c:v>11.482000000000003</c:v>
                </c:pt>
                <c:pt idx="11">
                  <c:v>11.284999999999989</c:v>
                </c:pt>
                <c:pt idx="12">
                  <c:v>10.641999999999989</c:v>
                </c:pt>
                <c:pt idx="13">
                  <c:v>10.436999999999989</c:v>
                </c:pt>
                <c:pt idx="14">
                  <c:v>10.535</c:v>
                </c:pt>
                <c:pt idx="15">
                  <c:v>10.555000000000017</c:v>
                </c:pt>
                <c:pt idx="16">
                  <c:v>10.596999999999989</c:v>
                </c:pt>
                <c:pt idx="17">
                  <c:v>10.623000000000012</c:v>
                </c:pt>
                <c:pt idx="18">
                  <c:v>10.643000000000024</c:v>
                </c:pt>
                <c:pt idx="19">
                  <c:v>10.65800000000003</c:v>
                </c:pt>
                <c:pt idx="20">
                  <c:v>10.674999999999962</c:v>
                </c:pt>
                <c:pt idx="21">
                  <c:v>10.694000000000001</c:v>
                </c:pt>
                <c:pt idx="22">
                  <c:v>10.712999999999992</c:v>
                </c:pt>
                <c:pt idx="23">
                  <c:v>10.732000000000001</c:v>
                </c:pt>
                <c:pt idx="24" formatCode="#,##0.00">
                  <c:v>10.747999999999999</c:v>
                </c:pt>
                <c:pt idx="25">
                  <c:v>10.762999999999987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97F6-40CB-8490-F63AF969C3B0}"/>
            </c:ext>
          </c:extLst>
        </c:ser>
        <c:ser>
          <c:idx val="7"/>
          <c:order val="7"/>
          <c:tx>
            <c:strRef>
              <c:f>'Ind F2'!$L$31</c:f>
              <c:strCache>
                <c:ptCount val="1"/>
                <c:pt idx="0">
                  <c:v>Other services</c:v>
                </c:pt>
              </c:strCache>
            </c:strRef>
          </c:tx>
          <c:spPr>
            <a:solidFill>
              <a:schemeClr val="bg1"/>
            </a:solidFill>
            <a:ln>
              <a:solidFill>
                <a:srgbClr val="000000"/>
              </a:solidFill>
            </a:ln>
          </c:spPr>
          <c:cat>
            <c:numRef>
              <c:f>'Ind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'Ind F2'!$M$31:$AL$31</c:f>
              <c:numCache>
                <c:formatCode>#,##0</c:formatCode>
                <c:ptCount val="26"/>
                <c:pt idx="0">
                  <c:v>13.466000000000005</c:v>
                </c:pt>
                <c:pt idx="1">
                  <c:v>14.073000000000009</c:v>
                </c:pt>
                <c:pt idx="2">
                  <c:v>13.96000000000002</c:v>
                </c:pt>
                <c:pt idx="3">
                  <c:v>13.893000000000017</c:v>
                </c:pt>
                <c:pt idx="4">
                  <c:v>16.027999999999995</c:v>
                </c:pt>
                <c:pt idx="5">
                  <c:v>12.136999999999986</c:v>
                </c:pt>
                <c:pt idx="6">
                  <c:v>15.265000000000013</c:v>
                </c:pt>
                <c:pt idx="7">
                  <c:v>13.577000000000002</c:v>
                </c:pt>
                <c:pt idx="8">
                  <c:v>15.067000000000004</c:v>
                </c:pt>
                <c:pt idx="9">
                  <c:v>15.345999999999977</c:v>
                </c:pt>
                <c:pt idx="10">
                  <c:v>16.147999999999978</c:v>
                </c:pt>
                <c:pt idx="11">
                  <c:v>15.419999999999996</c:v>
                </c:pt>
                <c:pt idx="12">
                  <c:v>14.986000000000004</c:v>
                </c:pt>
                <c:pt idx="13">
                  <c:v>14.941999999999977</c:v>
                </c:pt>
                <c:pt idx="14">
                  <c:v>14.923999999999998</c:v>
                </c:pt>
                <c:pt idx="15">
                  <c:v>14.876000000000003</c:v>
                </c:pt>
                <c:pt idx="16">
                  <c:v>14.82199999999999</c:v>
                </c:pt>
                <c:pt idx="17">
                  <c:v>14.769000000000018</c:v>
                </c:pt>
                <c:pt idx="18">
                  <c:v>14.720999999999981</c:v>
                </c:pt>
                <c:pt idx="19">
                  <c:v>14.680000000000016</c:v>
                </c:pt>
                <c:pt idx="20">
                  <c:v>14.646999999999988</c:v>
                </c:pt>
                <c:pt idx="21">
                  <c:v>14.618000000000023</c:v>
                </c:pt>
                <c:pt idx="22">
                  <c:v>14.593000000000021</c:v>
                </c:pt>
                <c:pt idx="23">
                  <c:v>14.571000000000023</c:v>
                </c:pt>
                <c:pt idx="24" formatCode="#,##0.00">
                  <c:v>14.551000000000021</c:v>
                </c:pt>
                <c:pt idx="25">
                  <c:v>14.535000000000004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97F6-40CB-8490-F63AF969C3B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53600968"/>
        <c:axId val="313462488"/>
      </c:areaChart>
      <c:catAx>
        <c:axId val="253600968"/>
        <c:scaling>
          <c:orientation val="minMax"/>
        </c:scaling>
        <c:delete val="0"/>
        <c:axPos val="b"/>
        <c:numFmt formatCode="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-540000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13462488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313462488"/>
        <c:scaling>
          <c:orientation val="minMax"/>
          <c:min val="0"/>
        </c:scaling>
        <c:delete val="0"/>
        <c:axPos val="l"/>
        <c:title>
          <c:tx>
            <c:rich>
              <a:bodyPr rot="0" vert="horz"/>
              <a:lstStyle/>
              <a:p>
                <a:pPr algn="l">
                  <a:defRPr sz="8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GB"/>
                  <a:t>thousands</a:t>
                </a:r>
              </a:p>
            </c:rich>
          </c:tx>
          <c:layout>
            <c:manualLayout>
              <c:xMode val="edge"/>
              <c:yMode val="edge"/>
              <c:x val="7.8864414050499442E-3"/>
              <c:y val="1.0482201753721488E-2"/>
            </c:manualLayout>
          </c:layout>
          <c:overlay val="0"/>
          <c:spPr>
            <a:noFill/>
            <a:ln w="25400">
              <a:noFill/>
            </a:ln>
          </c:spPr>
        </c:title>
        <c:numFmt formatCode="#,##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95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253600968"/>
        <c:crosses val="autoZero"/>
        <c:crossBetween val="midCat"/>
      </c:valAx>
      <c:spPr>
        <a:noFill/>
        <a:ln w="12700">
          <a:solidFill>
            <a:srgbClr val="808080"/>
          </a:solidFill>
          <a:prstDash val="solid"/>
        </a:ln>
      </c:spPr>
    </c:plotArea>
    <c:legend>
      <c:legendPos val="b"/>
      <c:layout>
        <c:manualLayout>
          <c:xMode val="edge"/>
          <c:yMode val="edge"/>
          <c:x val="0.28075731401976695"/>
          <c:y val="0.93501239643194956"/>
          <c:w val="0.71924266962684369"/>
          <c:h val="6.4987668179585845E-2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780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legend>
    <c:plotVisOnly val="1"/>
    <c:dispBlanksAs val="zero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85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000000000001465" r="0.75000000000001465" t="1" header="0.5" footer="0.5"/>
    <c:pageSetup paperSize="9" orientation="landscape"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8.9905432017565845E-2"/>
          <c:y val="7.3068893528183729E-2"/>
          <c:w val="0.87539499596050963"/>
          <c:h val="0.78079331941544883"/>
        </c:manualLayout>
      </c:layout>
      <c:areaChart>
        <c:grouping val="stacked"/>
        <c:varyColors val="0"/>
        <c:ser>
          <c:idx val="1"/>
          <c:order val="0"/>
          <c:tx>
            <c:strRef>
              <c:f>'Ind F2'!$L$34</c:f>
              <c:strCache>
                <c:ptCount val="1"/>
                <c:pt idx="0">
                  <c:v>Public admin. and defence</c:v>
                </c:pt>
              </c:strCache>
            </c:strRef>
          </c:tx>
          <c:spPr>
            <a:solidFill>
              <a:srgbClr val="808080"/>
            </a:solidFill>
            <a:ln w="12700">
              <a:solidFill>
                <a:srgbClr val="000000"/>
              </a:solidFill>
              <a:prstDash val="solid"/>
            </a:ln>
          </c:spPr>
          <c:cat>
            <c:numRef>
              <c:f>'Ind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'Ind F2'!$M$34:$AL$34</c:f>
              <c:numCache>
                <c:formatCode>#,##0</c:formatCode>
                <c:ptCount val="26"/>
                <c:pt idx="0">
                  <c:v>22.933000000000007</c:v>
                </c:pt>
                <c:pt idx="1">
                  <c:v>20.163999999999994</c:v>
                </c:pt>
                <c:pt idx="2">
                  <c:v>18.02199999999997</c:v>
                </c:pt>
                <c:pt idx="3">
                  <c:v>18.190000000000023</c:v>
                </c:pt>
                <c:pt idx="4">
                  <c:v>19.456999999999994</c:v>
                </c:pt>
                <c:pt idx="5">
                  <c:v>17.710000000000008</c:v>
                </c:pt>
                <c:pt idx="6">
                  <c:v>18.040000000000045</c:v>
                </c:pt>
                <c:pt idx="7">
                  <c:v>16.850000000000012</c:v>
                </c:pt>
                <c:pt idx="8">
                  <c:v>17.230000000000018</c:v>
                </c:pt>
                <c:pt idx="9">
                  <c:v>17.408999999999953</c:v>
                </c:pt>
                <c:pt idx="10">
                  <c:v>18.051000000000062</c:v>
                </c:pt>
                <c:pt idx="11">
                  <c:v>17.792000000000023</c:v>
                </c:pt>
                <c:pt idx="12">
                  <c:v>17.990999999999961</c:v>
                </c:pt>
                <c:pt idx="13">
                  <c:v>18.131000000000014</c:v>
                </c:pt>
                <c:pt idx="14">
                  <c:v>18.311000000000028</c:v>
                </c:pt>
                <c:pt idx="15">
                  <c:v>18.392000000000017</c:v>
                </c:pt>
                <c:pt idx="16">
                  <c:v>18.461000000000027</c:v>
                </c:pt>
                <c:pt idx="17">
                  <c:v>18.530999999999999</c:v>
                </c:pt>
                <c:pt idx="18">
                  <c:v>18.602000000000032</c:v>
                </c:pt>
                <c:pt idx="19">
                  <c:v>18.672999999999931</c:v>
                </c:pt>
                <c:pt idx="20">
                  <c:v>18.744000000000014</c:v>
                </c:pt>
                <c:pt idx="21">
                  <c:v>18.814000000000007</c:v>
                </c:pt>
                <c:pt idx="22">
                  <c:v>18.883999999999983</c:v>
                </c:pt>
                <c:pt idx="23">
                  <c:v>18.953999999999994</c:v>
                </c:pt>
                <c:pt idx="24" formatCode="#,##0.00">
                  <c:v>19.024000000000008</c:v>
                </c:pt>
                <c:pt idx="25">
                  <c:v>19.091000000000012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B392-44C2-845B-192CC1F663B9}"/>
            </c:ext>
          </c:extLst>
        </c:ser>
        <c:ser>
          <c:idx val="2"/>
          <c:order val="1"/>
          <c:tx>
            <c:strRef>
              <c:f>'Ind F2'!$L$35</c:f>
              <c:strCache>
                <c:ptCount val="1"/>
                <c:pt idx="0">
                  <c:v>Education</c:v>
                </c:pt>
              </c:strCache>
            </c:strRef>
          </c:tx>
          <c:spPr>
            <a:solidFill>
              <a:srgbClr val="969696"/>
            </a:solidFill>
            <a:ln w="12700">
              <a:solidFill>
                <a:srgbClr val="000000"/>
              </a:solidFill>
              <a:prstDash val="solid"/>
            </a:ln>
          </c:spPr>
          <c:cat>
            <c:numRef>
              <c:f>'Ind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'Ind F2'!$M$35:$AL$35</c:f>
              <c:numCache>
                <c:formatCode>#,##0</c:formatCode>
                <c:ptCount val="26"/>
                <c:pt idx="0">
                  <c:v>42.290000000000099</c:v>
                </c:pt>
                <c:pt idx="1">
                  <c:v>41.51599999999992</c:v>
                </c:pt>
                <c:pt idx="2">
                  <c:v>43.635999999999953</c:v>
                </c:pt>
                <c:pt idx="3">
                  <c:v>43.668999999999969</c:v>
                </c:pt>
                <c:pt idx="4">
                  <c:v>43.559000000000076</c:v>
                </c:pt>
                <c:pt idx="5">
                  <c:v>45.402999999999956</c:v>
                </c:pt>
                <c:pt idx="6">
                  <c:v>42.14699999999992</c:v>
                </c:pt>
                <c:pt idx="7">
                  <c:v>41.554999999999978</c:v>
                </c:pt>
                <c:pt idx="8">
                  <c:v>43.153999999999854</c:v>
                </c:pt>
                <c:pt idx="9">
                  <c:v>43.415000000000063</c:v>
                </c:pt>
                <c:pt idx="10">
                  <c:v>43.085000000000015</c:v>
                </c:pt>
                <c:pt idx="11">
                  <c:v>42.591000000000051</c:v>
                </c:pt>
                <c:pt idx="12">
                  <c:v>42.157000000000011</c:v>
                </c:pt>
                <c:pt idx="13">
                  <c:v>42.041999999999973</c:v>
                </c:pt>
                <c:pt idx="14">
                  <c:v>42.021999999999991</c:v>
                </c:pt>
                <c:pt idx="15">
                  <c:v>42.096000000000039</c:v>
                </c:pt>
                <c:pt idx="16">
                  <c:v>42.112000000000073</c:v>
                </c:pt>
                <c:pt idx="17">
                  <c:v>42.129999999999981</c:v>
                </c:pt>
                <c:pt idx="18">
                  <c:v>42.154000000000003</c:v>
                </c:pt>
                <c:pt idx="19">
                  <c:v>42.186999999999983</c:v>
                </c:pt>
                <c:pt idx="20">
                  <c:v>42.253999999999976</c:v>
                </c:pt>
                <c:pt idx="21">
                  <c:v>42.317999999999927</c:v>
                </c:pt>
                <c:pt idx="22">
                  <c:v>42.375999999999969</c:v>
                </c:pt>
                <c:pt idx="23">
                  <c:v>42.433</c:v>
                </c:pt>
                <c:pt idx="24" formatCode="#,##0.00">
                  <c:v>42.48300000000004</c:v>
                </c:pt>
                <c:pt idx="25">
                  <c:v>42.527000000000065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B392-44C2-845B-192CC1F663B9}"/>
            </c:ext>
          </c:extLst>
        </c:ser>
        <c:ser>
          <c:idx val="3"/>
          <c:order val="2"/>
          <c:tx>
            <c:strRef>
              <c:f>'Ind F2'!$L$36</c:f>
              <c:strCache>
                <c:ptCount val="1"/>
                <c:pt idx="0">
                  <c:v>Health and social work</c:v>
                </c:pt>
              </c:strCache>
            </c:strRef>
          </c:tx>
          <c:spPr>
            <a:solidFill>
              <a:srgbClr val="C0C0C0"/>
            </a:solidFill>
            <a:ln w="12700">
              <a:solidFill>
                <a:srgbClr val="000000"/>
              </a:solidFill>
              <a:prstDash val="solid"/>
            </a:ln>
          </c:spPr>
          <c:cat>
            <c:numRef>
              <c:f>'Ind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'Ind F2'!$M$36:$AL$36</c:f>
              <c:numCache>
                <c:formatCode>#,##0</c:formatCode>
                <c:ptCount val="26"/>
                <c:pt idx="0">
                  <c:v>65.32000000000005</c:v>
                </c:pt>
                <c:pt idx="1">
                  <c:v>65.266999999999953</c:v>
                </c:pt>
                <c:pt idx="2">
                  <c:v>61.980999999999938</c:v>
                </c:pt>
                <c:pt idx="3">
                  <c:v>59.690000000000097</c:v>
                </c:pt>
                <c:pt idx="4">
                  <c:v>63.155999999999935</c:v>
                </c:pt>
                <c:pt idx="5">
                  <c:v>62.687999999999903</c:v>
                </c:pt>
                <c:pt idx="6">
                  <c:v>64.697999999999851</c:v>
                </c:pt>
                <c:pt idx="7">
                  <c:v>68.26899999999992</c:v>
                </c:pt>
                <c:pt idx="8">
                  <c:v>66.531000000000034</c:v>
                </c:pt>
                <c:pt idx="9">
                  <c:v>66.518000000000001</c:v>
                </c:pt>
                <c:pt idx="10">
                  <c:v>65.410000000000139</c:v>
                </c:pt>
                <c:pt idx="11">
                  <c:v>66.425000000000054</c:v>
                </c:pt>
                <c:pt idx="12">
                  <c:v>67.206999999999923</c:v>
                </c:pt>
                <c:pt idx="13">
                  <c:v>67.898999999999958</c:v>
                </c:pt>
                <c:pt idx="14">
                  <c:v>68.680999999999926</c:v>
                </c:pt>
                <c:pt idx="15">
                  <c:v>69.248000000000133</c:v>
                </c:pt>
                <c:pt idx="16">
                  <c:v>69.690000000000026</c:v>
                </c:pt>
                <c:pt idx="17">
                  <c:v>70.094000000000023</c:v>
                </c:pt>
                <c:pt idx="18">
                  <c:v>70.481999999999957</c:v>
                </c:pt>
                <c:pt idx="19">
                  <c:v>70.864000000000019</c:v>
                </c:pt>
                <c:pt idx="20">
                  <c:v>71.237000000000023</c:v>
                </c:pt>
                <c:pt idx="21">
                  <c:v>71.600000000000051</c:v>
                </c:pt>
                <c:pt idx="22">
                  <c:v>71.956000000000103</c:v>
                </c:pt>
                <c:pt idx="23">
                  <c:v>72.310000000000088</c:v>
                </c:pt>
                <c:pt idx="24" formatCode="#,##0.00">
                  <c:v>72.664000000000115</c:v>
                </c:pt>
                <c:pt idx="25">
                  <c:v>73.017000000000039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B392-44C2-845B-192CC1F663B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13463272"/>
        <c:axId val="313463664"/>
      </c:areaChart>
      <c:catAx>
        <c:axId val="313463272"/>
        <c:scaling>
          <c:orientation val="minMax"/>
        </c:scaling>
        <c:delete val="0"/>
        <c:axPos val="b"/>
        <c:numFmt formatCode="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-540000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13463664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313463664"/>
        <c:scaling>
          <c:orientation val="minMax"/>
          <c:min val="0"/>
        </c:scaling>
        <c:delete val="0"/>
        <c:axPos val="l"/>
        <c:title>
          <c:tx>
            <c:rich>
              <a:bodyPr rot="0" vert="horz"/>
              <a:lstStyle/>
              <a:p>
                <a:pPr algn="l">
                  <a:defRPr sz="825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GB"/>
                  <a:t>thousands</a:t>
                </a:r>
              </a:p>
            </c:rich>
          </c:tx>
          <c:layout>
            <c:manualLayout>
              <c:xMode val="edge"/>
              <c:yMode val="edge"/>
              <c:x val="9.4637296860595726E-3"/>
              <c:y val="1.2526096033402922E-2"/>
            </c:manualLayout>
          </c:layout>
          <c:overlay val="0"/>
          <c:spPr>
            <a:noFill/>
            <a:ln w="25400">
              <a:noFill/>
            </a:ln>
          </c:spPr>
        </c:title>
        <c:numFmt formatCode="#,##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95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13463272"/>
        <c:crosses val="autoZero"/>
        <c:crossBetween val="midCat"/>
      </c:valAx>
      <c:spPr>
        <a:noFill/>
        <a:ln w="12700">
          <a:solidFill>
            <a:srgbClr val="808080"/>
          </a:solidFill>
          <a:prstDash val="solid"/>
        </a:ln>
      </c:spPr>
    </c:plotArea>
    <c:legend>
      <c:legendPos val="b"/>
      <c:layout>
        <c:manualLayout>
          <c:xMode val="edge"/>
          <c:yMode val="edge"/>
          <c:x val="0.19716103512624344"/>
          <c:y val="0.93528183716075164"/>
          <c:w val="0.68769769052034602"/>
          <c:h val="4.5929018789143947E-2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780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legend>
    <c:plotVisOnly val="1"/>
    <c:dispBlanksAs val="zero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85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000000000001465" r="0.75000000000001465" t="1" header="0.5" footer="0.5"/>
    <c:pageSetup paperSize="9" orientation="landscape"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9.8234248861974835E-2"/>
          <c:y val="5.2464228934819425E-2"/>
          <c:w val="0.87959010384091241"/>
          <c:h val="0.77705763910488324"/>
        </c:manualLayout>
      </c:layout>
      <c:lineChart>
        <c:grouping val="standard"/>
        <c:varyColors val="0"/>
        <c:ser>
          <c:idx val="0"/>
          <c:order val="0"/>
          <c:tx>
            <c:strRef>
              <c:f>'Ind F2'!$L$5</c:f>
              <c:strCache>
                <c:ptCount val="1"/>
                <c:pt idx="0">
                  <c:v>Primary sector and utilities</c:v>
                </c:pt>
              </c:strCache>
            </c:strRef>
          </c:tx>
          <c:spPr>
            <a:ln w="12700">
              <a:solidFill>
                <a:srgbClr val="000000"/>
              </a:solidFill>
              <a:prstDash val="solid"/>
            </a:ln>
          </c:spPr>
          <c:marker>
            <c:symbol val="none"/>
          </c:marker>
          <c:cat>
            <c:numRef>
              <c:f>'Ind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'Ind F2'!$M$5:$AL$5</c:f>
              <c:numCache>
                <c:formatCode>#,##0</c:formatCode>
                <c:ptCount val="26"/>
                <c:pt idx="0">
                  <c:v>17.247999999999983</c:v>
                </c:pt>
                <c:pt idx="1">
                  <c:v>20.988000000000035</c:v>
                </c:pt>
                <c:pt idx="2">
                  <c:v>23.626000000000001</c:v>
                </c:pt>
                <c:pt idx="3">
                  <c:v>21.20600000000001</c:v>
                </c:pt>
                <c:pt idx="4">
                  <c:v>18.76600000000002</c:v>
                </c:pt>
                <c:pt idx="5">
                  <c:v>19.640000000000022</c:v>
                </c:pt>
                <c:pt idx="6">
                  <c:v>19.928000000000029</c:v>
                </c:pt>
                <c:pt idx="7">
                  <c:v>21.581000000000031</c:v>
                </c:pt>
                <c:pt idx="8">
                  <c:v>21.871000000000038</c:v>
                </c:pt>
                <c:pt idx="9">
                  <c:v>18.652999999999963</c:v>
                </c:pt>
                <c:pt idx="10">
                  <c:v>21.362000000000037</c:v>
                </c:pt>
                <c:pt idx="11">
                  <c:v>21.167999999999989</c:v>
                </c:pt>
                <c:pt idx="12">
                  <c:v>21.085000000000015</c:v>
                </c:pt>
                <c:pt idx="13">
                  <c:v>21.094000000000012</c:v>
                </c:pt>
                <c:pt idx="14">
                  <c:v>21.234999999999999</c:v>
                </c:pt>
                <c:pt idx="15">
                  <c:v>21.268000000000029</c:v>
                </c:pt>
                <c:pt idx="16">
                  <c:v>21.285</c:v>
                </c:pt>
                <c:pt idx="17">
                  <c:v>21.276000000000021</c:v>
                </c:pt>
                <c:pt idx="18">
                  <c:v>21.248000000000037</c:v>
                </c:pt>
                <c:pt idx="19">
                  <c:v>21.212999999999958</c:v>
                </c:pt>
                <c:pt idx="20">
                  <c:v>21.182999999999975</c:v>
                </c:pt>
                <c:pt idx="21">
                  <c:v>21.147000000000013</c:v>
                </c:pt>
                <c:pt idx="22">
                  <c:v>21.109999999999985</c:v>
                </c:pt>
                <c:pt idx="23">
                  <c:v>21.072000000000003</c:v>
                </c:pt>
                <c:pt idx="24">
                  <c:v>21.033000000000015</c:v>
                </c:pt>
                <c:pt idx="25">
                  <c:v>20.995000000000033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2805-44CD-8692-A81F93CACC92}"/>
            </c:ext>
          </c:extLst>
        </c:ser>
        <c:ser>
          <c:idx val="1"/>
          <c:order val="1"/>
          <c:tx>
            <c:strRef>
              <c:f>'Ind F2'!$L$11</c:f>
              <c:strCache>
                <c:ptCount val="1"/>
                <c:pt idx="0">
                  <c:v>Manufacturing</c:v>
                </c:pt>
              </c:strCache>
            </c:strRef>
          </c:tx>
          <c:spPr>
            <a:ln w="12700">
              <a:solidFill>
                <a:srgbClr val="000000"/>
              </a:solidFill>
              <a:prstDash val="sysDash"/>
            </a:ln>
          </c:spPr>
          <c:marker>
            <c:symbol val="none"/>
          </c:marker>
          <c:cat>
            <c:numRef>
              <c:f>'Ind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'Ind F2'!$M$11:$AL$11</c:f>
              <c:numCache>
                <c:formatCode>#,##0</c:formatCode>
                <c:ptCount val="26"/>
                <c:pt idx="0">
                  <c:v>62.335000000000129</c:v>
                </c:pt>
                <c:pt idx="1">
                  <c:v>63.039999999999992</c:v>
                </c:pt>
                <c:pt idx="2">
                  <c:v>62.527000000000051</c:v>
                </c:pt>
                <c:pt idx="3">
                  <c:v>61.847000000000037</c:v>
                </c:pt>
                <c:pt idx="4">
                  <c:v>63.708999999999911</c:v>
                </c:pt>
                <c:pt idx="5">
                  <c:v>68.989000000000146</c:v>
                </c:pt>
                <c:pt idx="6">
                  <c:v>65.387999999999906</c:v>
                </c:pt>
                <c:pt idx="7">
                  <c:v>71.400999999999925</c:v>
                </c:pt>
                <c:pt idx="8">
                  <c:v>74.370000000000047</c:v>
                </c:pt>
                <c:pt idx="9">
                  <c:v>67.950999999999979</c:v>
                </c:pt>
                <c:pt idx="10">
                  <c:v>68.03400000000002</c:v>
                </c:pt>
                <c:pt idx="11">
                  <c:v>67.930999999999997</c:v>
                </c:pt>
                <c:pt idx="12">
                  <c:v>67.490999999999985</c:v>
                </c:pt>
                <c:pt idx="13">
                  <c:v>66.89500000000001</c:v>
                </c:pt>
                <c:pt idx="14">
                  <c:v>66.452000000000112</c:v>
                </c:pt>
                <c:pt idx="15">
                  <c:v>65.943999999999946</c:v>
                </c:pt>
                <c:pt idx="16">
                  <c:v>65.491000000000156</c:v>
                </c:pt>
                <c:pt idx="17">
                  <c:v>65.028999999999897</c:v>
                </c:pt>
                <c:pt idx="18">
                  <c:v>64.592000000000041</c:v>
                </c:pt>
                <c:pt idx="19">
                  <c:v>64.174000000000021</c:v>
                </c:pt>
                <c:pt idx="20">
                  <c:v>63.819000000000109</c:v>
                </c:pt>
                <c:pt idx="21">
                  <c:v>63.463999999999949</c:v>
                </c:pt>
                <c:pt idx="22">
                  <c:v>63.120000000000033</c:v>
                </c:pt>
                <c:pt idx="23">
                  <c:v>62.788000000000004</c:v>
                </c:pt>
                <c:pt idx="24">
                  <c:v>62.466000000000101</c:v>
                </c:pt>
                <c:pt idx="25">
                  <c:v>62.16099999999998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2805-44CD-8692-A81F93CACC92}"/>
            </c:ext>
          </c:extLst>
        </c:ser>
        <c:ser>
          <c:idx val="2"/>
          <c:order val="2"/>
          <c:tx>
            <c:strRef>
              <c:f>'Ind F2'!$L$16</c:f>
              <c:strCache>
                <c:ptCount val="1"/>
                <c:pt idx="0">
                  <c:v>Construction</c:v>
                </c:pt>
              </c:strCache>
            </c:strRef>
          </c:tx>
          <c:spPr>
            <a:ln w="12700">
              <a:solidFill>
                <a:srgbClr val="000000"/>
              </a:solidFill>
              <a:prstDash val="lgDash"/>
            </a:ln>
          </c:spPr>
          <c:marker>
            <c:symbol val="none"/>
          </c:marker>
          <c:cat>
            <c:numRef>
              <c:f>'Ind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'Ind F2'!$M$16:$AL$16</c:f>
              <c:numCache>
                <c:formatCode>#,##0</c:formatCode>
                <c:ptCount val="26"/>
                <c:pt idx="0">
                  <c:v>35.047000000000125</c:v>
                </c:pt>
                <c:pt idx="1">
                  <c:v>36.080999999999882</c:v>
                </c:pt>
                <c:pt idx="2">
                  <c:v>34.770999999999972</c:v>
                </c:pt>
                <c:pt idx="3">
                  <c:v>29.696999999999981</c:v>
                </c:pt>
                <c:pt idx="4">
                  <c:v>35.275999999999861</c:v>
                </c:pt>
                <c:pt idx="5">
                  <c:v>35.251000000000047</c:v>
                </c:pt>
                <c:pt idx="6">
                  <c:v>38.302999999999955</c:v>
                </c:pt>
                <c:pt idx="7">
                  <c:v>37.257999999999917</c:v>
                </c:pt>
                <c:pt idx="8">
                  <c:v>35.737000000000023</c:v>
                </c:pt>
                <c:pt idx="9">
                  <c:v>34.611999999999952</c:v>
                </c:pt>
                <c:pt idx="10">
                  <c:v>34.021000000000058</c:v>
                </c:pt>
                <c:pt idx="11">
                  <c:v>33.403999999999989</c:v>
                </c:pt>
                <c:pt idx="12">
                  <c:v>33.548000000000052</c:v>
                </c:pt>
                <c:pt idx="13">
                  <c:v>33.878000000000007</c:v>
                </c:pt>
                <c:pt idx="14">
                  <c:v>34.182000000000059</c:v>
                </c:pt>
                <c:pt idx="15">
                  <c:v>34.368999999999993</c:v>
                </c:pt>
                <c:pt idx="16">
                  <c:v>34.518999999999977</c:v>
                </c:pt>
                <c:pt idx="17">
                  <c:v>34.587999999999937</c:v>
                </c:pt>
                <c:pt idx="18">
                  <c:v>34.695000000000057</c:v>
                </c:pt>
                <c:pt idx="19">
                  <c:v>34.781999999999975</c:v>
                </c:pt>
                <c:pt idx="20">
                  <c:v>34.909999999999989</c:v>
                </c:pt>
                <c:pt idx="21">
                  <c:v>35.042999999999942</c:v>
                </c:pt>
                <c:pt idx="22">
                  <c:v>35.18400000000009</c:v>
                </c:pt>
                <c:pt idx="23">
                  <c:v>35.328999999999972</c:v>
                </c:pt>
                <c:pt idx="24" formatCode="#,##0.00">
                  <c:v>35.476999999999997</c:v>
                </c:pt>
                <c:pt idx="25">
                  <c:v>35.626999999999988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2805-44CD-8692-A81F93CACC92}"/>
            </c:ext>
          </c:extLst>
        </c:ser>
        <c:ser>
          <c:idx val="3"/>
          <c:order val="3"/>
          <c:tx>
            <c:strRef>
              <c:f>'Ind F2'!$L$18</c:f>
              <c:strCache>
                <c:ptCount val="1"/>
                <c:pt idx="0">
                  <c:v>Trade, accomod. and transport</c:v>
                </c:pt>
              </c:strCache>
            </c:strRef>
          </c:tx>
          <c:spPr>
            <a:ln w="12700">
              <a:solidFill>
                <a:srgbClr val="000000"/>
              </a:solidFill>
              <a:prstDash val="solid"/>
            </a:ln>
          </c:spPr>
          <c:marker>
            <c:symbol val="diamond"/>
            <c:size val="6"/>
            <c:spPr>
              <a:solidFill>
                <a:srgbClr val="000000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cat>
            <c:numRef>
              <c:f>'Ind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'Ind F2'!$M$18:$AL$18</c:f>
              <c:numCache>
                <c:formatCode>#,##0</c:formatCode>
                <c:ptCount val="26"/>
                <c:pt idx="0">
                  <c:v>138.27200000000011</c:v>
                </c:pt>
                <c:pt idx="1">
                  <c:v>141.49600000000027</c:v>
                </c:pt>
                <c:pt idx="2">
                  <c:v>139.88800000000003</c:v>
                </c:pt>
                <c:pt idx="3">
                  <c:v>138.81599999999995</c:v>
                </c:pt>
                <c:pt idx="4">
                  <c:v>137.55300000000005</c:v>
                </c:pt>
                <c:pt idx="5">
                  <c:v>143.00700000000001</c:v>
                </c:pt>
                <c:pt idx="6">
                  <c:v>153.60399999999998</c:v>
                </c:pt>
                <c:pt idx="7">
                  <c:v>153.92700000000019</c:v>
                </c:pt>
                <c:pt idx="8">
                  <c:v>143.63599999999991</c:v>
                </c:pt>
                <c:pt idx="9">
                  <c:v>146.2359999999999</c:v>
                </c:pt>
                <c:pt idx="10">
                  <c:v>144.13800000000023</c:v>
                </c:pt>
                <c:pt idx="11">
                  <c:v>143.58300000000003</c:v>
                </c:pt>
                <c:pt idx="12">
                  <c:v>144.34800000000018</c:v>
                </c:pt>
                <c:pt idx="13">
                  <c:v>144.93099999999998</c:v>
                </c:pt>
                <c:pt idx="14">
                  <c:v>145.88600000000008</c:v>
                </c:pt>
                <c:pt idx="15">
                  <c:v>146.65500000000009</c:v>
                </c:pt>
                <c:pt idx="16">
                  <c:v>147.23400000000009</c:v>
                </c:pt>
                <c:pt idx="17">
                  <c:v>147.74999999999997</c:v>
                </c:pt>
                <c:pt idx="18">
                  <c:v>148.23200000000031</c:v>
                </c:pt>
                <c:pt idx="19">
                  <c:v>148.69699999999975</c:v>
                </c:pt>
                <c:pt idx="20">
                  <c:v>149.17800000000005</c:v>
                </c:pt>
                <c:pt idx="21">
                  <c:v>149.64500000000012</c:v>
                </c:pt>
                <c:pt idx="22">
                  <c:v>150.0959999999998</c:v>
                </c:pt>
                <c:pt idx="23">
                  <c:v>150.57499999999987</c:v>
                </c:pt>
                <c:pt idx="24">
                  <c:v>151.02599999999984</c:v>
                </c:pt>
                <c:pt idx="25">
                  <c:v>151.45999999999989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2805-44CD-8692-A81F93CACC92}"/>
            </c:ext>
          </c:extLst>
        </c:ser>
        <c:ser>
          <c:idx val="4"/>
          <c:order val="4"/>
          <c:tx>
            <c:strRef>
              <c:f>'Ind F2'!$L$23</c:f>
              <c:strCache>
                <c:ptCount val="1"/>
                <c:pt idx="0">
                  <c:v>Business and other services</c:v>
                </c:pt>
              </c:strCache>
            </c:strRef>
          </c:tx>
          <c:spPr>
            <a:ln w="12700">
              <a:solidFill>
                <a:srgbClr val="000000"/>
              </a:solidFill>
              <a:prstDash val="solid"/>
            </a:ln>
          </c:spPr>
          <c:marker>
            <c:symbol val="square"/>
            <c:size val="6"/>
            <c:spPr>
              <a:solidFill>
                <a:srgbClr val="000000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cat>
            <c:numRef>
              <c:f>'Ind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'Ind F2'!$M$23:$AL$23</c:f>
              <c:numCache>
                <c:formatCode>#,##0</c:formatCode>
                <c:ptCount val="26"/>
                <c:pt idx="0">
                  <c:v>102.75399999999998</c:v>
                </c:pt>
                <c:pt idx="1">
                  <c:v>106.88799999999999</c:v>
                </c:pt>
                <c:pt idx="2">
                  <c:v>99.810000000000102</c:v>
                </c:pt>
                <c:pt idx="3">
                  <c:v>103.07099999999993</c:v>
                </c:pt>
                <c:pt idx="4">
                  <c:v>115.81599999999993</c:v>
                </c:pt>
                <c:pt idx="5">
                  <c:v>108.91699999999999</c:v>
                </c:pt>
                <c:pt idx="6">
                  <c:v>108.72700000000005</c:v>
                </c:pt>
                <c:pt idx="7">
                  <c:v>116.47899999999997</c:v>
                </c:pt>
                <c:pt idx="8">
                  <c:v>114.37600000000026</c:v>
                </c:pt>
                <c:pt idx="9">
                  <c:v>118.97200000000002</c:v>
                </c:pt>
                <c:pt idx="10">
                  <c:v>120.74400000000011</c:v>
                </c:pt>
                <c:pt idx="11">
                  <c:v>121.05400000000007</c:v>
                </c:pt>
                <c:pt idx="12">
                  <c:v>120.82799999999996</c:v>
                </c:pt>
                <c:pt idx="13">
                  <c:v>121.27499999999986</c:v>
                </c:pt>
                <c:pt idx="14">
                  <c:v>121.90599999999996</c:v>
                </c:pt>
                <c:pt idx="15">
                  <c:v>122.39800000000015</c:v>
                </c:pt>
                <c:pt idx="16">
                  <c:v>122.94799999999989</c:v>
                </c:pt>
                <c:pt idx="17">
                  <c:v>123.48300000000008</c:v>
                </c:pt>
                <c:pt idx="18">
                  <c:v>124.02300000000007</c:v>
                </c:pt>
                <c:pt idx="19">
                  <c:v>124.57300000000012</c:v>
                </c:pt>
                <c:pt idx="20">
                  <c:v>125.16300000000007</c:v>
                </c:pt>
                <c:pt idx="21">
                  <c:v>125.73600000000006</c:v>
                </c:pt>
                <c:pt idx="22">
                  <c:v>126.31199999999993</c:v>
                </c:pt>
                <c:pt idx="23">
                  <c:v>126.89000000000014</c:v>
                </c:pt>
                <c:pt idx="24">
                  <c:v>127.46100000000011</c:v>
                </c:pt>
                <c:pt idx="25">
                  <c:v>128.03399999999988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4-2805-44CD-8692-A81F93CACC92}"/>
            </c:ext>
          </c:extLst>
        </c:ser>
        <c:ser>
          <c:idx val="5"/>
          <c:order val="5"/>
          <c:tx>
            <c:strRef>
              <c:f>'Ind F2'!$L$33</c:f>
              <c:strCache>
                <c:ptCount val="1"/>
                <c:pt idx="0">
                  <c:v>Non-marketed services</c:v>
                </c:pt>
              </c:strCache>
            </c:strRef>
          </c:tx>
          <c:spPr>
            <a:ln w="12700">
              <a:solidFill>
                <a:srgbClr val="000000"/>
              </a:solidFill>
              <a:prstDash val="solid"/>
            </a:ln>
          </c:spPr>
          <c:marker>
            <c:symbol val="triangle"/>
            <c:size val="6"/>
            <c:spPr>
              <a:solidFill>
                <a:srgbClr val="000000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cat>
            <c:numRef>
              <c:f>'Ind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'Ind F2'!$M$33:$AL$33</c:f>
              <c:numCache>
                <c:formatCode>#,##0</c:formatCode>
                <c:ptCount val="26"/>
                <c:pt idx="0">
                  <c:v>130.54300000000015</c:v>
                </c:pt>
                <c:pt idx="1">
                  <c:v>126.94699999999986</c:v>
                </c:pt>
                <c:pt idx="2">
                  <c:v>123.63899999999987</c:v>
                </c:pt>
                <c:pt idx="3">
                  <c:v>121.54900000000009</c:v>
                </c:pt>
                <c:pt idx="4">
                  <c:v>126.172</c:v>
                </c:pt>
                <c:pt idx="5">
                  <c:v>125.80099999999987</c:v>
                </c:pt>
                <c:pt idx="6">
                  <c:v>124.88499999999982</c:v>
                </c:pt>
                <c:pt idx="7">
                  <c:v>126.67399999999991</c:v>
                </c:pt>
                <c:pt idx="8">
                  <c:v>126.91499999999991</c:v>
                </c:pt>
                <c:pt idx="9">
                  <c:v>127.34200000000001</c:v>
                </c:pt>
                <c:pt idx="10">
                  <c:v>126.54600000000022</c:v>
                </c:pt>
                <c:pt idx="11">
                  <c:v>126.80800000000013</c:v>
                </c:pt>
                <c:pt idx="12">
                  <c:v>127.35499999999989</c:v>
                </c:pt>
                <c:pt idx="13">
                  <c:v>128.07199999999995</c:v>
                </c:pt>
                <c:pt idx="14">
                  <c:v>129.01399999999995</c:v>
                </c:pt>
                <c:pt idx="15">
                  <c:v>129.73600000000019</c:v>
                </c:pt>
                <c:pt idx="16">
                  <c:v>130.26300000000012</c:v>
                </c:pt>
                <c:pt idx="17">
                  <c:v>130.755</c:v>
                </c:pt>
                <c:pt idx="18">
                  <c:v>131.238</c:v>
                </c:pt>
                <c:pt idx="19">
                  <c:v>131.72399999999993</c:v>
                </c:pt>
                <c:pt idx="20">
                  <c:v>132.23500000000001</c:v>
                </c:pt>
                <c:pt idx="21">
                  <c:v>132.73199999999997</c:v>
                </c:pt>
                <c:pt idx="22">
                  <c:v>133.21600000000007</c:v>
                </c:pt>
                <c:pt idx="23">
                  <c:v>133.69700000000009</c:v>
                </c:pt>
                <c:pt idx="24">
                  <c:v>134.17100000000016</c:v>
                </c:pt>
                <c:pt idx="25">
                  <c:v>134.6350000000001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5-2805-44CD-8692-A81F93CACC9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313464448"/>
        <c:axId val="313464840"/>
      </c:lineChart>
      <c:catAx>
        <c:axId val="313464448"/>
        <c:scaling>
          <c:orientation val="minMax"/>
        </c:scaling>
        <c:delete val="0"/>
        <c:axPos val="b"/>
        <c:numFmt formatCode="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-540000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13464840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313464840"/>
        <c:scaling>
          <c:orientation val="minMax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title>
          <c:tx>
            <c:rich>
              <a:bodyPr rot="0" vert="horz"/>
              <a:lstStyle/>
              <a:p>
                <a:pPr algn="ctr"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GB" sz="1000"/>
                  <a:t>thousands</a:t>
                </a:r>
              </a:p>
            </c:rich>
          </c:tx>
          <c:layout>
            <c:manualLayout>
              <c:xMode val="edge"/>
              <c:yMode val="edge"/>
              <c:x val="7.8864414050499442E-3"/>
              <c:y val="7.9491255961844434E-3"/>
            </c:manualLayout>
          </c:layout>
          <c:overlay val="0"/>
          <c:spPr>
            <a:noFill/>
            <a:ln w="25400">
              <a:noFill/>
            </a:ln>
          </c:spPr>
        </c:title>
        <c:numFmt formatCode="#,##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13464448"/>
        <c:crosses val="autoZero"/>
        <c:crossBetween val="between"/>
      </c:valAx>
      <c:spPr>
        <a:noFill/>
        <a:ln w="12700">
          <a:solidFill>
            <a:srgbClr val="808080"/>
          </a:solidFill>
          <a:prstDash val="solid"/>
        </a:ln>
      </c:spPr>
    </c:plotArea>
    <c:legend>
      <c:legendPos val="b"/>
      <c:layout>
        <c:manualLayout>
          <c:xMode val="edge"/>
          <c:yMode val="edge"/>
          <c:x val="8.8855016216081883E-2"/>
          <c:y val="0.90754563164012003"/>
          <c:w val="0.88489191349766172"/>
          <c:h val="7.9735786664920538E-2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1000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8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000000000001465" r="0.75000000000001465" t="1" header="0.5" footer="0.5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0317476310572159"/>
          <c:y val="3.9501079600076011E-2"/>
          <c:w val="0.62857240292101169"/>
          <c:h val="0.89605080566489914"/>
        </c:manualLayout>
      </c:layout>
      <c:barChart>
        <c:barDir val="col"/>
        <c:grouping val="percentStacked"/>
        <c:varyColors val="0"/>
        <c:ser>
          <c:idx val="0"/>
          <c:order val="0"/>
          <c:tx>
            <c:strRef>
              <c:f>'Ind F2'!$L$231</c:f>
              <c:strCache>
                <c:ptCount val="1"/>
                <c:pt idx="0">
                  <c:v>Non-marketed services</c:v>
                </c:pt>
              </c:strCache>
            </c:strRef>
          </c:tx>
          <c:spPr>
            <a:solidFill>
              <a:srgbClr val="000000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975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Ref>
              <c:f>'Ind F2'!$M$230:$O$230</c:f>
              <c:numCache>
                <c:formatCode>0</c:formatCode>
                <c:ptCount val="3"/>
                <c:pt idx="0">
                  <c:v>2015</c:v>
                </c:pt>
                <c:pt idx="1">
                  <c:v>2020</c:v>
                </c:pt>
                <c:pt idx="2">
                  <c:v>2035</c:v>
                </c:pt>
              </c:numCache>
            </c:numRef>
          </c:cat>
          <c:val>
            <c:numRef>
              <c:f>'Ind F2'!$M$231:$O$231</c:f>
              <c:numCache>
                <c:formatCode>0.0</c:formatCode>
                <c:ptCount val="3"/>
                <c:pt idx="0">
                  <c:v>25.079694181676786</c:v>
                </c:pt>
                <c:pt idx="1">
                  <c:v>24.579436529440908</c:v>
                </c:pt>
                <c:pt idx="2">
                  <c:v>25.264021076650582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5D03-4130-A9FF-BEAED71CB078}"/>
            </c:ext>
          </c:extLst>
        </c:ser>
        <c:ser>
          <c:idx val="1"/>
          <c:order val="1"/>
          <c:tx>
            <c:strRef>
              <c:f>'Ind F2'!$L$232</c:f>
              <c:strCache>
                <c:ptCount val="1"/>
                <c:pt idx="0">
                  <c:v>Business and other services</c:v>
                </c:pt>
              </c:strCache>
            </c:strRef>
          </c:tx>
          <c:spPr>
            <a:solidFill>
              <a:srgbClr val="333333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975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Ref>
              <c:f>'Ind F2'!$M$230:$O$230</c:f>
              <c:numCache>
                <c:formatCode>0</c:formatCode>
                <c:ptCount val="3"/>
                <c:pt idx="0">
                  <c:v>2015</c:v>
                </c:pt>
                <c:pt idx="1">
                  <c:v>2020</c:v>
                </c:pt>
                <c:pt idx="2">
                  <c:v>2035</c:v>
                </c:pt>
              </c:numCache>
            </c:numRef>
          </c:cat>
          <c:val>
            <c:numRef>
              <c:f>'Ind F2'!$M$232:$O$232</c:f>
              <c:numCache>
                <c:formatCode>0.0</c:formatCode>
                <c:ptCount val="3"/>
                <c:pt idx="0">
                  <c:v>21.713699026126129</c:v>
                </c:pt>
                <c:pt idx="1">
                  <c:v>23.452495411240264</c:v>
                </c:pt>
                <c:pt idx="2">
                  <c:v>24.02535503047406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5D03-4130-A9FF-BEAED71CB078}"/>
            </c:ext>
          </c:extLst>
        </c:ser>
        <c:ser>
          <c:idx val="2"/>
          <c:order val="2"/>
          <c:tx>
            <c:strRef>
              <c:f>'Ind F2'!$L$233</c:f>
              <c:strCache>
                <c:ptCount val="1"/>
                <c:pt idx="0">
                  <c:v>Trade, accomod. and transport</c:v>
                </c:pt>
              </c:strCache>
            </c:strRef>
          </c:tx>
          <c:spPr>
            <a:solidFill>
              <a:srgbClr val="808080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975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Ref>
              <c:f>'Ind F2'!$M$230:$O$230</c:f>
              <c:numCache>
                <c:formatCode>0</c:formatCode>
                <c:ptCount val="3"/>
                <c:pt idx="0">
                  <c:v>2015</c:v>
                </c:pt>
                <c:pt idx="1">
                  <c:v>2020</c:v>
                </c:pt>
                <c:pt idx="2">
                  <c:v>2035</c:v>
                </c:pt>
              </c:numCache>
            </c:numRef>
          </c:cat>
          <c:val>
            <c:numRef>
              <c:f>'Ind F2'!$M$233:$O$233</c:f>
              <c:numCache>
                <c:formatCode>0.0</c:formatCode>
                <c:ptCount val="3"/>
                <c:pt idx="0">
                  <c:v>28.509883274688246</c:v>
                </c:pt>
                <c:pt idx="1">
                  <c:v>27.996387262185713</c:v>
                </c:pt>
                <c:pt idx="2">
                  <c:v>28.421202750172625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5D03-4130-A9FF-BEAED71CB078}"/>
            </c:ext>
          </c:extLst>
        </c:ser>
        <c:ser>
          <c:idx val="3"/>
          <c:order val="3"/>
          <c:tx>
            <c:strRef>
              <c:f>'Ind F2'!$L$234</c:f>
              <c:strCache>
                <c:ptCount val="1"/>
                <c:pt idx="0">
                  <c:v>Construction</c:v>
                </c:pt>
              </c:strCache>
            </c:strRef>
          </c:tx>
          <c:spPr>
            <a:solidFill>
              <a:srgbClr val="969696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975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Ref>
              <c:f>'Ind F2'!$M$230:$O$230</c:f>
              <c:numCache>
                <c:formatCode>0</c:formatCode>
                <c:ptCount val="3"/>
                <c:pt idx="0">
                  <c:v>2015</c:v>
                </c:pt>
                <c:pt idx="1">
                  <c:v>2020</c:v>
                </c:pt>
                <c:pt idx="2">
                  <c:v>2035</c:v>
                </c:pt>
              </c:numCache>
            </c:numRef>
          </c:cat>
          <c:val>
            <c:numRef>
              <c:f>'Ind F2'!$M$234:$O$234</c:f>
              <c:numCache>
                <c:formatCode>0.0</c:formatCode>
                <c:ptCount val="3"/>
                <c:pt idx="0">
                  <c:v>7.0276412715184335</c:v>
                </c:pt>
                <c:pt idx="1">
                  <c:v>6.6080082354883523</c:v>
                </c:pt>
                <c:pt idx="2">
                  <c:v>6.6853439216981423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5D03-4130-A9FF-BEAED71CB078}"/>
            </c:ext>
          </c:extLst>
        </c:ser>
        <c:ser>
          <c:idx val="4"/>
          <c:order val="4"/>
          <c:tx>
            <c:strRef>
              <c:f>'Ind F2'!$L$235</c:f>
              <c:strCache>
                <c:ptCount val="1"/>
                <c:pt idx="0">
                  <c:v>Manufacturing</c:v>
                </c:pt>
              </c:strCache>
            </c:strRef>
          </c:tx>
          <c:spPr>
            <a:solidFill>
              <a:srgbClr val="C0C0C0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975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Ref>
              <c:f>'Ind F2'!$M$230:$O$230</c:f>
              <c:numCache>
                <c:formatCode>0</c:formatCode>
                <c:ptCount val="3"/>
                <c:pt idx="0">
                  <c:v>2015</c:v>
                </c:pt>
                <c:pt idx="1">
                  <c:v>2020</c:v>
                </c:pt>
                <c:pt idx="2">
                  <c:v>2035</c:v>
                </c:pt>
              </c:numCache>
            </c:numRef>
          </c:cat>
          <c:val>
            <c:numRef>
              <c:f>'Ind F2'!$M$235:$O$235</c:f>
              <c:numCache>
                <c:formatCode>0.0</c:formatCode>
                <c:ptCount val="3"/>
                <c:pt idx="0">
                  <c:v>13.75365078099304</c:v>
                </c:pt>
                <c:pt idx="1">
                  <c:v>13.214462605250111</c:v>
                </c:pt>
                <c:pt idx="2">
                  <c:v>11.664402377878524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5D03-4130-A9FF-BEAED71CB078}"/>
            </c:ext>
          </c:extLst>
        </c:ser>
        <c:ser>
          <c:idx val="5"/>
          <c:order val="5"/>
          <c:tx>
            <c:strRef>
              <c:f>'Ind F2'!$L$236</c:f>
              <c:strCache>
                <c:ptCount val="1"/>
                <c:pt idx="0">
                  <c:v>Primary sector and utilities</c:v>
                </c:pt>
              </c:strCache>
            </c:strRef>
          </c:tx>
          <c:spPr>
            <a:solidFill>
              <a:srgbClr val="FFFF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975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Ref>
              <c:f>'Ind F2'!$M$230:$O$230</c:f>
              <c:numCache>
                <c:formatCode>0</c:formatCode>
                <c:ptCount val="3"/>
                <c:pt idx="0">
                  <c:v>2015</c:v>
                </c:pt>
                <c:pt idx="1">
                  <c:v>2020</c:v>
                </c:pt>
                <c:pt idx="2">
                  <c:v>2035</c:v>
                </c:pt>
              </c:numCache>
            </c:numRef>
          </c:cat>
          <c:val>
            <c:numRef>
              <c:f>'Ind F2'!$M$236:$O$236</c:f>
              <c:numCache>
                <c:formatCode>0.0</c:formatCode>
                <c:ptCount val="3"/>
                <c:pt idx="0">
                  <c:v>3.9154314649973618</c:v>
                </c:pt>
                <c:pt idx="1">
                  <c:v>4.1492099563946443</c:v>
                </c:pt>
                <c:pt idx="2">
                  <c:v>3.9396748431260771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5D03-4130-A9FF-BEAED71CB078}"/>
            </c:ext>
          </c:extLst>
        </c:ser>
        <c:dLbls>
          <c:showLegendKey val="0"/>
          <c:showVal val="1"/>
          <c:showCatName val="0"/>
          <c:showSerName val="0"/>
          <c:showPercent val="0"/>
          <c:showBubbleSize val="0"/>
        </c:dLbls>
        <c:gapWidth val="100"/>
        <c:overlap val="100"/>
        <c:axId val="313465624"/>
        <c:axId val="313466016"/>
      </c:barChart>
      <c:catAx>
        <c:axId val="313465624"/>
        <c:scaling>
          <c:orientation val="minMax"/>
        </c:scaling>
        <c:delete val="0"/>
        <c:axPos val="b"/>
        <c:numFmt formatCode="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13466016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313466016"/>
        <c:scaling>
          <c:orientation val="minMax"/>
          <c:min val="0"/>
        </c:scaling>
        <c:delete val="0"/>
        <c:axPos val="l"/>
        <c:numFmt formatCode="0%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95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13465624"/>
        <c:crosses val="autoZero"/>
        <c:crossBetween val="between"/>
      </c:valAx>
      <c:spPr>
        <a:noFill/>
        <a:ln w="12700">
          <a:solidFill>
            <a:srgbClr val="808080"/>
          </a:solidFill>
          <a:prstDash val="solid"/>
        </a:ln>
      </c:spPr>
    </c:plotArea>
    <c:legend>
      <c:legendPos val="r"/>
      <c:layout>
        <c:manualLayout>
          <c:xMode val="edge"/>
          <c:yMode val="edge"/>
          <c:x val="0.75238211864787763"/>
          <c:y val="0.34095668707435578"/>
          <c:w val="0.23174639097593544"/>
          <c:h val="0.23908548178993969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780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85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000000000001465" r="0.75000000000001465" t="1" header="0.5" footer="0.5"/>
    <c:pageSetup paperSize="9" orientation="landscape"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25555595169263345"/>
          <c:y val="1.6701461377870683E-2"/>
          <c:w val="0.70317569316670592"/>
          <c:h val="0.83507306889352861"/>
        </c:manualLayout>
      </c:layout>
      <c:barChart>
        <c:barDir val="bar"/>
        <c:grouping val="clustered"/>
        <c:varyColors val="0"/>
        <c:ser>
          <c:idx val="1"/>
          <c:order val="0"/>
          <c:tx>
            <c:strRef>
              <c:f>'Ind F2'!$N$260</c:f>
              <c:strCache>
                <c:ptCount val="1"/>
                <c:pt idx="0">
                  <c:v>2015-2020</c:v>
                </c:pt>
              </c:strCache>
            </c:strRef>
          </c:tx>
          <c:spPr>
            <a:solidFill>
              <a:srgbClr val="000000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cat>
            <c:strRef>
              <c:f>'Ind F2'!$L$261:$L$268</c:f>
              <c:strCache>
                <c:ptCount val="8"/>
                <c:pt idx="0">
                  <c:v>Non-marketed services</c:v>
                </c:pt>
                <c:pt idx="1">
                  <c:v>Business and other services</c:v>
                </c:pt>
                <c:pt idx="2">
                  <c:v>Trade, accomod. and transport</c:v>
                </c:pt>
                <c:pt idx="3">
                  <c:v>Construction</c:v>
                </c:pt>
                <c:pt idx="4">
                  <c:v>Manufacturing</c:v>
                </c:pt>
                <c:pt idx="5">
                  <c:v>Primary sector and utilities</c:v>
                </c:pt>
                <c:pt idx="7">
                  <c:v>All industries</c:v>
                </c:pt>
              </c:strCache>
            </c:strRef>
          </c:cat>
          <c:val>
            <c:numRef>
              <c:f>'Ind F2'!$N$261:$N$268</c:f>
              <c:numCache>
                <c:formatCode>#,##0</c:formatCode>
                <c:ptCount val="8"/>
                <c:pt idx="0">
                  <c:v>0.74500000000034561</c:v>
                </c:pt>
                <c:pt idx="1">
                  <c:v>11.827000000000126</c:v>
                </c:pt>
                <c:pt idx="2">
                  <c:v>1.1310000000002276</c:v>
                </c:pt>
                <c:pt idx="3">
                  <c:v>-1.2299999999999898</c:v>
                </c:pt>
                <c:pt idx="4">
                  <c:v>-0.95500000000012619</c:v>
                </c:pt>
                <c:pt idx="5">
                  <c:v>1.7220000000000155</c:v>
                </c:pt>
                <c:pt idx="7">
                  <c:v>13.240000000000634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C6B3-45E8-A7D6-A7274F9997D3}"/>
            </c:ext>
          </c:extLst>
        </c:ser>
        <c:ser>
          <c:idx val="2"/>
          <c:order val="1"/>
          <c:tx>
            <c:strRef>
              <c:f>'Ind F2'!$O$260</c:f>
              <c:strCache>
                <c:ptCount val="1"/>
                <c:pt idx="0">
                  <c:v>2020-2035</c:v>
                </c:pt>
              </c:strCache>
            </c:strRef>
          </c:tx>
          <c:spPr>
            <a:solidFill>
              <a:srgbClr val="FFFF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cat>
            <c:strRef>
              <c:f>'Ind F2'!$L$261:$L$268</c:f>
              <c:strCache>
                <c:ptCount val="8"/>
                <c:pt idx="0">
                  <c:v>Non-marketed services</c:v>
                </c:pt>
                <c:pt idx="1">
                  <c:v>Business and other services</c:v>
                </c:pt>
                <c:pt idx="2">
                  <c:v>Trade, accomod. and transport</c:v>
                </c:pt>
                <c:pt idx="3">
                  <c:v>Construction</c:v>
                </c:pt>
                <c:pt idx="4">
                  <c:v>Manufacturing</c:v>
                </c:pt>
                <c:pt idx="5">
                  <c:v>Primary sector and utilities</c:v>
                </c:pt>
                <c:pt idx="7">
                  <c:v>All industries</c:v>
                </c:pt>
              </c:strCache>
            </c:strRef>
          </c:cat>
          <c:val>
            <c:numRef>
              <c:f>'Ind F2'!$O$261:$O$268</c:f>
              <c:numCache>
                <c:formatCode>#,##0</c:formatCode>
                <c:ptCount val="8"/>
                <c:pt idx="0">
                  <c:v>8.0889999999998849</c:v>
                </c:pt>
                <c:pt idx="1">
                  <c:v>7.2899999999997647</c:v>
                </c:pt>
                <c:pt idx="2">
                  <c:v>7.3219999999996617</c:v>
                </c:pt>
                <c:pt idx="3">
                  <c:v>1.6059999999999306</c:v>
                </c:pt>
                <c:pt idx="4">
                  <c:v>-5.8730000000000402</c:v>
                </c:pt>
                <c:pt idx="5">
                  <c:v>-0.36700000000000443</c:v>
                </c:pt>
                <c:pt idx="7">
                  <c:v>18.066999999999197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C6B3-45E8-A7D6-A7274F9997D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313552992"/>
        <c:axId val="313553384"/>
      </c:barChart>
      <c:catAx>
        <c:axId val="313552992"/>
        <c:scaling>
          <c:orientation val="minMax"/>
        </c:scaling>
        <c:delete val="0"/>
        <c:axPos val="l"/>
        <c:numFmt formatCode="General" sourceLinked="1"/>
        <c:majorTickMark val="out"/>
        <c:minorTickMark val="none"/>
        <c:tickLblPos val="low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95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13553384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313553384"/>
        <c:scaling>
          <c:orientation val="minMax"/>
        </c:scaling>
        <c:delete val="0"/>
        <c:axPos val="b"/>
        <c:majorGridlines>
          <c:spPr>
            <a:ln w="3175">
              <a:solidFill>
                <a:srgbClr val="000000"/>
              </a:solidFill>
              <a:prstDash val="sysDash"/>
            </a:ln>
          </c:spPr>
        </c:majorGridlines>
        <c:numFmt formatCode="#,##0" sourceLinked="1"/>
        <c:majorTickMark val="out"/>
        <c:minorTickMark val="none"/>
        <c:tickLblPos val="low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13552992"/>
        <c:crosses val="autoZero"/>
        <c:crossBetween val="between"/>
      </c:valAx>
      <c:spPr>
        <a:noFill/>
        <a:ln w="12700">
          <a:solidFill>
            <a:srgbClr val="808080"/>
          </a:solidFill>
          <a:prstDash val="solid"/>
        </a:ln>
      </c:spPr>
    </c:plotArea>
    <c:legend>
      <c:legendPos val="b"/>
      <c:layout>
        <c:manualLayout>
          <c:xMode val="edge"/>
          <c:yMode val="edge"/>
          <c:x val="0.34444497836833232"/>
          <c:y val="0.93528183716075164"/>
          <c:w val="0.29841316098271448"/>
          <c:h val="4.5929018789143947E-2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755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85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000000000001465" r="0.75000000000001465" t="1" header="0.5" footer="0.5"/>
    <c:pageSetup/>
  </c:printSettings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48571462452191999"/>
          <c:y val="1.2452118927463975E-2"/>
          <c:w val="0.48285747967179132"/>
          <c:h val="0.91379395821543363"/>
        </c:manualLayout>
      </c:layout>
      <c:barChart>
        <c:barDir val="bar"/>
        <c:grouping val="clustered"/>
        <c:varyColors val="0"/>
        <c:ser>
          <c:idx val="0"/>
          <c:order val="0"/>
          <c:tx>
            <c:strRef>
              <c:f>'Occ F1'!$N$6</c:f>
              <c:strCache>
                <c:ptCount val="1"/>
                <c:pt idx="0">
                  <c:v>2020-2035</c:v>
                </c:pt>
              </c:strCache>
            </c:strRef>
          </c:tx>
          <c:spPr>
            <a:solidFill>
              <a:schemeClr val="tx1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cat>
            <c:strRef>
              <c:f>'Occ F1'!$L$7:$L$51</c:f>
              <c:strCache>
                <c:ptCount val="45"/>
                <c:pt idx="0">
                  <c:v>All occupations</c:v>
                </c:pt>
                <c:pt idx="2">
                  <c:v>92 Elementary administration and service occupations</c:v>
                </c:pt>
                <c:pt idx="3">
                  <c:v>91 Elementary trades and related occupations</c:v>
                </c:pt>
                <c:pt idx="4">
                  <c:v>[Elementary occupations]</c:v>
                </c:pt>
                <c:pt idx="6">
                  <c:v>82 Transport and mobile machine drivers and operatives</c:v>
                </c:pt>
                <c:pt idx="7">
                  <c:v>81 Process, plant and machine operatives</c:v>
                </c:pt>
                <c:pt idx="8">
                  <c:v>[Process, plant and machine operatives]</c:v>
                </c:pt>
                <c:pt idx="10">
                  <c:v>72 Customer service occupations</c:v>
                </c:pt>
                <c:pt idx="11">
                  <c:v>71 Sales occupations</c:v>
                </c:pt>
                <c:pt idx="12">
                  <c:v>[Sales and customer service occupations]</c:v>
                </c:pt>
                <c:pt idx="14">
                  <c:v>63 Community and civil enforcement occupations</c:v>
                </c:pt>
                <c:pt idx="15">
                  <c:v>62 Leisure, travel and related personal service occupations</c:v>
                </c:pt>
                <c:pt idx="16">
                  <c:v>61 Caring personal service occupations</c:v>
                </c:pt>
                <c:pt idx="17">
                  <c:v>[Caring, leisure and other service occupations]</c:v>
                </c:pt>
                <c:pt idx="19">
                  <c:v>54 Textiles, printing and other skilled trades</c:v>
                </c:pt>
                <c:pt idx="20">
                  <c:v>53 Skilled construction and building trades</c:v>
                </c:pt>
                <c:pt idx="21">
                  <c:v>52 Skilled metal, electrical and electronic trades</c:v>
                </c:pt>
                <c:pt idx="22">
                  <c:v>51 Skilled agricultural and related trades</c:v>
                </c:pt>
                <c:pt idx="23">
                  <c:v>[Skilled trades occupations]</c:v>
                </c:pt>
                <c:pt idx="25">
                  <c:v>42 Secretarial and related occupations</c:v>
                </c:pt>
                <c:pt idx="26">
                  <c:v>41 Administrative occupations</c:v>
                </c:pt>
                <c:pt idx="27">
                  <c:v>[Administrative and secretarial occupations]</c:v>
                </c:pt>
                <c:pt idx="29">
                  <c:v>35 Business and public service associate professionals</c:v>
                </c:pt>
                <c:pt idx="30">
                  <c:v>34 Culture, media and sports occupations</c:v>
                </c:pt>
                <c:pt idx="31">
                  <c:v>33 Protective service occupations</c:v>
                </c:pt>
                <c:pt idx="32">
                  <c:v>32 Health and social care associate professionals</c:v>
                </c:pt>
                <c:pt idx="33">
                  <c:v>31 Science, engineering and technology associate professionals</c:v>
                </c:pt>
                <c:pt idx="34">
                  <c:v>[Associate professional occupations]</c:v>
                </c:pt>
                <c:pt idx="36">
                  <c:v>24 Business, media and public service professionals</c:v>
                </c:pt>
                <c:pt idx="37">
                  <c:v>23 Teaching and other educational professionals</c:v>
                </c:pt>
                <c:pt idx="38">
                  <c:v>22 Health professionals</c:v>
                </c:pt>
                <c:pt idx="39">
                  <c:v>21 Science, research, engineering and technology professionals</c:v>
                </c:pt>
                <c:pt idx="40">
                  <c:v>[Professional occupations]</c:v>
                </c:pt>
                <c:pt idx="42">
                  <c:v>12 Other managers and proprietors</c:v>
                </c:pt>
                <c:pt idx="43">
                  <c:v>11 Corporate managers and directors</c:v>
                </c:pt>
                <c:pt idx="44">
                  <c:v>[Managers, directors and senior officials]</c:v>
                </c:pt>
              </c:strCache>
            </c:strRef>
          </c:cat>
          <c:val>
            <c:numRef>
              <c:f>'Occ F1'!$N$7:$N$51</c:f>
              <c:numCache>
                <c:formatCode>General</c:formatCode>
                <c:ptCount val="45"/>
                <c:pt idx="0">
                  <c:v>0.23020070827648453</c:v>
                </c:pt>
                <c:pt idx="2">
                  <c:v>-1.4832785420224925</c:v>
                </c:pt>
                <c:pt idx="3">
                  <c:v>4.0733207095563051</c:v>
                </c:pt>
                <c:pt idx="4">
                  <c:v>-6.8367726321361122E-2</c:v>
                </c:pt>
                <c:pt idx="6">
                  <c:v>-0.36341294700982241</c:v>
                </c:pt>
                <c:pt idx="7">
                  <c:v>-0.38485807210871803</c:v>
                </c:pt>
                <c:pt idx="8">
                  <c:v>-0.37379395565542151</c:v>
                </c:pt>
                <c:pt idx="10">
                  <c:v>1.2904033636425893</c:v>
                </c:pt>
                <c:pt idx="11">
                  <c:v>-0.39800448581286396</c:v>
                </c:pt>
                <c:pt idx="12">
                  <c:v>-4.7788725599950954E-2</c:v>
                </c:pt>
                <c:pt idx="14">
                  <c:v>-1.0369852633635102</c:v>
                </c:pt>
                <c:pt idx="15">
                  <c:v>-0.50589225225016188</c:v>
                </c:pt>
                <c:pt idx="16">
                  <c:v>0.67727316714287777</c:v>
                </c:pt>
                <c:pt idx="17">
                  <c:v>0.40811118875707653</c:v>
                </c:pt>
                <c:pt idx="19">
                  <c:v>-0.51178783423651009</c:v>
                </c:pt>
                <c:pt idx="20">
                  <c:v>-1.2747230980522328</c:v>
                </c:pt>
                <c:pt idx="21">
                  <c:v>-0.71745943929563127</c:v>
                </c:pt>
                <c:pt idx="22">
                  <c:v>-0.55377716898685758</c:v>
                </c:pt>
                <c:pt idx="23">
                  <c:v>-0.76767119895284619</c:v>
                </c:pt>
                <c:pt idx="25">
                  <c:v>-2.3579790711757642</c:v>
                </c:pt>
                <c:pt idx="26">
                  <c:v>-3.6025625880720114E-2</c:v>
                </c:pt>
                <c:pt idx="27">
                  <c:v>-0.39873868858705253</c:v>
                </c:pt>
                <c:pt idx="29">
                  <c:v>0.28478195746237667</c:v>
                </c:pt>
                <c:pt idx="30">
                  <c:v>-0.72565251059176772</c:v>
                </c:pt>
                <c:pt idx="31">
                  <c:v>-0.6060276737569148</c:v>
                </c:pt>
                <c:pt idx="32">
                  <c:v>4.1773881525108081</c:v>
                </c:pt>
                <c:pt idx="33">
                  <c:v>-3.4129669856530764E-2</c:v>
                </c:pt>
                <c:pt idx="34">
                  <c:v>0.85429515401460598</c:v>
                </c:pt>
                <c:pt idx="36">
                  <c:v>0.97877453193280228</c:v>
                </c:pt>
                <c:pt idx="37">
                  <c:v>-0.30432640784666676</c:v>
                </c:pt>
                <c:pt idx="38">
                  <c:v>0.29370944541005084</c:v>
                </c:pt>
                <c:pt idx="39">
                  <c:v>2.3151079070570457</c:v>
                </c:pt>
                <c:pt idx="40">
                  <c:v>1.0172111429947783</c:v>
                </c:pt>
                <c:pt idx="42">
                  <c:v>0.90415009162645443</c:v>
                </c:pt>
                <c:pt idx="43">
                  <c:v>-0.27564721899374645</c:v>
                </c:pt>
                <c:pt idx="44">
                  <c:v>0.12459826275421637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60B3-408C-89EB-52C0D9681FCD}"/>
            </c:ext>
          </c:extLst>
        </c:ser>
        <c:ser>
          <c:idx val="1"/>
          <c:order val="1"/>
          <c:tx>
            <c:strRef>
              <c:f>'Occ F1'!$M$6</c:f>
              <c:strCache>
                <c:ptCount val="1"/>
                <c:pt idx="0">
                  <c:v>2015-2020</c:v>
                </c:pt>
              </c:strCache>
            </c:strRef>
          </c:tx>
          <c:spPr>
            <a:solidFill>
              <a:schemeClr val="bg1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cat>
            <c:strRef>
              <c:f>'Occ F1'!$L$7:$L$51</c:f>
              <c:strCache>
                <c:ptCount val="45"/>
                <c:pt idx="0">
                  <c:v>All occupations</c:v>
                </c:pt>
                <c:pt idx="2">
                  <c:v>92 Elementary administration and service occupations</c:v>
                </c:pt>
                <c:pt idx="3">
                  <c:v>91 Elementary trades and related occupations</c:v>
                </c:pt>
                <c:pt idx="4">
                  <c:v>[Elementary occupations]</c:v>
                </c:pt>
                <c:pt idx="6">
                  <c:v>82 Transport and mobile machine drivers and operatives</c:v>
                </c:pt>
                <c:pt idx="7">
                  <c:v>81 Process, plant and machine operatives</c:v>
                </c:pt>
                <c:pt idx="8">
                  <c:v>[Process, plant and machine operatives]</c:v>
                </c:pt>
                <c:pt idx="10">
                  <c:v>72 Customer service occupations</c:v>
                </c:pt>
                <c:pt idx="11">
                  <c:v>71 Sales occupations</c:v>
                </c:pt>
                <c:pt idx="12">
                  <c:v>[Sales and customer service occupations]</c:v>
                </c:pt>
                <c:pt idx="14">
                  <c:v>63 Community and civil enforcement occupations</c:v>
                </c:pt>
                <c:pt idx="15">
                  <c:v>62 Leisure, travel and related personal service occupations</c:v>
                </c:pt>
                <c:pt idx="16">
                  <c:v>61 Caring personal service occupations</c:v>
                </c:pt>
                <c:pt idx="17">
                  <c:v>[Caring, leisure and other service occupations]</c:v>
                </c:pt>
                <c:pt idx="19">
                  <c:v>54 Textiles, printing and other skilled trades</c:v>
                </c:pt>
                <c:pt idx="20">
                  <c:v>53 Skilled construction and building trades</c:v>
                </c:pt>
                <c:pt idx="21">
                  <c:v>52 Skilled metal, electrical and electronic trades</c:v>
                </c:pt>
                <c:pt idx="22">
                  <c:v>51 Skilled agricultural and related trades</c:v>
                </c:pt>
                <c:pt idx="23">
                  <c:v>[Skilled trades occupations]</c:v>
                </c:pt>
                <c:pt idx="25">
                  <c:v>42 Secretarial and related occupations</c:v>
                </c:pt>
                <c:pt idx="26">
                  <c:v>41 Administrative occupations</c:v>
                </c:pt>
                <c:pt idx="27">
                  <c:v>[Administrative and secretarial occupations]</c:v>
                </c:pt>
                <c:pt idx="29">
                  <c:v>35 Business and public service associate professionals</c:v>
                </c:pt>
                <c:pt idx="30">
                  <c:v>34 Culture, media and sports occupations</c:v>
                </c:pt>
                <c:pt idx="31">
                  <c:v>33 Protective service occupations</c:v>
                </c:pt>
                <c:pt idx="32">
                  <c:v>32 Health and social care associate professionals</c:v>
                </c:pt>
                <c:pt idx="33">
                  <c:v>31 Science, engineering and technology associate professionals</c:v>
                </c:pt>
                <c:pt idx="34">
                  <c:v>[Associate professional occupations]</c:v>
                </c:pt>
                <c:pt idx="36">
                  <c:v>24 Business, media and public service professionals</c:v>
                </c:pt>
                <c:pt idx="37">
                  <c:v>23 Teaching and other educational professionals</c:v>
                </c:pt>
                <c:pt idx="38">
                  <c:v>22 Health professionals</c:v>
                </c:pt>
                <c:pt idx="39">
                  <c:v>21 Science, research, engineering and technology professionals</c:v>
                </c:pt>
                <c:pt idx="40">
                  <c:v>[Professional occupations]</c:v>
                </c:pt>
                <c:pt idx="42">
                  <c:v>12 Other managers and proprietors</c:v>
                </c:pt>
                <c:pt idx="43">
                  <c:v>11 Corporate managers and directors</c:v>
                </c:pt>
                <c:pt idx="44">
                  <c:v>[Managers, directors and senior officials]</c:v>
                </c:pt>
              </c:strCache>
            </c:strRef>
          </c:cat>
          <c:val>
            <c:numRef>
              <c:f>'Occ F1'!$M$7:$M$51</c:f>
              <c:numCache>
                <c:formatCode>General</c:formatCode>
                <c:ptCount val="45"/>
                <c:pt idx="0">
                  <c:v>0.52241841326519101</c:v>
                </c:pt>
                <c:pt idx="2">
                  <c:v>-2.1353288962586814</c:v>
                </c:pt>
                <c:pt idx="3">
                  <c:v>-4.0270258989486667</c:v>
                </c:pt>
                <c:pt idx="4">
                  <c:v>-2.5057155715052626</c:v>
                </c:pt>
                <c:pt idx="6">
                  <c:v>0.28881492085373051</c:v>
                </c:pt>
                <c:pt idx="7">
                  <c:v>-3.1562684905210081</c:v>
                </c:pt>
                <c:pt idx="8">
                  <c:v>-1.4704362294704287</c:v>
                </c:pt>
                <c:pt idx="10">
                  <c:v>1.7720764793354604</c:v>
                </c:pt>
                <c:pt idx="11">
                  <c:v>-2.2656371889221871</c:v>
                </c:pt>
                <c:pt idx="12">
                  <c:v>-1.5760741652843135</c:v>
                </c:pt>
                <c:pt idx="14">
                  <c:v>0.72981010636821164</c:v>
                </c:pt>
                <c:pt idx="15">
                  <c:v>4.1226804193178701</c:v>
                </c:pt>
                <c:pt idx="16">
                  <c:v>-0.35252486004240247</c:v>
                </c:pt>
                <c:pt idx="17">
                  <c:v>0.58184893647519331</c:v>
                </c:pt>
                <c:pt idx="19">
                  <c:v>-3.7651518734696188</c:v>
                </c:pt>
                <c:pt idx="20">
                  <c:v>-5.0577405135382447</c:v>
                </c:pt>
                <c:pt idx="21">
                  <c:v>-2.9197928323575928</c:v>
                </c:pt>
                <c:pt idx="22">
                  <c:v>2.3463485233949255</c:v>
                </c:pt>
                <c:pt idx="23">
                  <c:v>-2.6724009271615778</c:v>
                </c:pt>
                <c:pt idx="25">
                  <c:v>-1.7950375833312715</c:v>
                </c:pt>
                <c:pt idx="26">
                  <c:v>0.31320689803877588</c:v>
                </c:pt>
                <c:pt idx="27">
                  <c:v>-8.3567627689740132E-2</c:v>
                </c:pt>
                <c:pt idx="29">
                  <c:v>2.4235085007760837</c:v>
                </c:pt>
                <c:pt idx="30">
                  <c:v>0.86223860740157754</c:v>
                </c:pt>
                <c:pt idx="31">
                  <c:v>0.96975369409324497</c:v>
                </c:pt>
                <c:pt idx="32">
                  <c:v>3.0071343626423941</c:v>
                </c:pt>
                <c:pt idx="33">
                  <c:v>5.3226719309982462</c:v>
                </c:pt>
                <c:pt idx="34">
                  <c:v>2.6420837278857245</c:v>
                </c:pt>
                <c:pt idx="36">
                  <c:v>5.7371092945450286</c:v>
                </c:pt>
                <c:pt idx="37">
                  <c:v>1.2465473525053561</c:v>
                </c:pt>
                <c:pt idx="38">
                  <c:v>3.0055465035826234</c:v>
                </c:pt>
                <c:pt idx="39">
                  <c:v>3.8445963923345428</c:v>
                </c:pt>
                <c:pt idx="40">
                  <c:v>3.6675828025585666</c:v>
                </c:pt>
                <c:pt idx="42">
                  <c:v>2.6231971261082121</c:v>
                </c:pt>
                <c:pt idx="43">
                  <c:v>4.2723240701384002</c:v>
                </c:pt>
                <c:pt idx="44">
                  <c:v>3.725660303447631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60B3-408C-89EB-52C0D9681FC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313554168"/>
        <c:axId val="313554560"/>
      </c:barChart>
      <c:catAx>
        <c:axId val="313554168"/>
        <c:scaling>
          <c:orientation val="minMax"/>
        </c:scaling>
        <c:delete val="0"/>
        <c:axPos val="l"/>
        <c:numFmt formatCode="General" sourceLinked="1"/>
        <c:majorTickMark val="cross"/>
        <c:minorTickMark val="none"/>
        <c:tickLblPos val="low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 rtl="0"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13554560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313554560"/>
        <c:scaling>
          <c:orientation val="minMax"/>
        </c:scaling>
        <c:delete val="0"/>
        <c:axPos val="b"/>
        <c:majorGridlines>
          <c:spPr>
            <a:ln w="12700">
              <a:solidFill>
                <a:srgbClr val="000000"/>
              </a:solidFill>
              <a:prstDash val="sysDash"/>
            </a:ln>
          </c:spPr>
        </c:majorGridlines>
        <c:title>
          <c:tx>
            <c:rich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GB"/>
                  <a:t>% per annum</a:t>
                </a:r>
              </a:p>
            </c:rich>
          </c:tx>
          <c:layout>
            <c:manualLayout>
              <c:xMode val="edge"/>
              <c:yMode val="edge"/>
              <c:x val="0.87285769431129534"/>
              <c:y val="0.94582272861500161"/>
            </c:manualLayout>
          </c:layout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13554168"/>
        <c:crosses val="autoZero"/>
        <c:crossBetween val="between"/>
      </c:valAx>
      <c:spPr>
        <a:noFill/>
        <a:ln w="12700">
          <a:solidFill>
            <a:srgbClr val="808080"/>
          </a:solidFill>
          <a:prstDash val="solid"/>
        </a:ln>
      </c:spPr>
    </c:plotArea>
    <c:legend>
      <c:legendPos val="r"/>
      <c:layout>
        <c:manualLayout>
          <c:xMode val="edge"/>
          <c:yMode val="edge"/>
          <c:x val="0.57242033227521949"/>
          <c:y val="0.97204833412938918"/>
          <c:w val="0.29895970048008641"/>
          <c:h val="2.0045067988449593E-2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920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12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0.98425196850393659" l="0.748031496063017" r="0.748031496063017" t="0.98425196850393659" header="0.51181102362204722" footer="0.51181102362204722"/>
    <c:pageSetup paperSize="9" orientation="portrait"/>
  </c:printSettings>
</c:chartSpace>
</file>

<file path=xl/charts/chart1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48571462452191999"/>
          <c:y val="1.2452118927463975E-2"/>
          <c:w val="0.48285747967179132"/>
          <c:h val="0.91379395821543363"/>
        </c:manualLayout>
      </c:layout>
      <c:barChart>
        <c:barDir val="bar"/>
        <c:grouping val="clustered"/>
        <c:varyColors val="0"/>
        <c:ser>
          <c:idx val="1"/>
          <c:order val="0"/>
          <c:tx>
            <c:strRef>
              <c:f>'Occ F1'!$M$6</c:f>
              <c:strCache>
                <c:ptCount val="1"/>
                <c:pt idx="0">
                  <c:v>2015-2020</c:v>
                </c:pt>
              </c:strCache>
            </c:strRef>
          </c:tx>
          <c:spPr>
            <a:solidFill>
              <a:schemeClr val="bg1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cat>
            <c:strRef>
              <c:f>'Occ F1'!$L$82:$L$106</c:f>
              <c:strCache>
                <c:ptCount val="25"/>
                <c:pt idx="0">
                  <c:v>11 Corporate managers and directors</c:v>
                </c:pt>
                <c:pt idx="1">
                  <c:v>12 Other managers and proprietors</c:v>
                </c:pt>
                <c:pt idx="2">
                  <c:v>21 Science, research, engineering and technology professionals</c:v>
                </c:pt>
                <c:pt idx="3">
                  <c:v>22 Health professionals</c:v>
                </c:pt>
                <c:pt idx="4">
                  <c:v>23 Teaching and other educational professionals</c:v>
                </c:pt>
                <c:pt idx="5">
                  <c:v>24 Business, media and public service professionals</c:v>
                </c:pt>
                <c:pt idx="6">
                  <c:v>31 Science, engineering and technology associate professionals</c:v>
                </c:pt>
                <c:pt idx="7">
                  <c:v>32 Health and social care associate professionals</c:v>
                </c:pt>
                <c:pt idx="8">
                  <c:v>33 Protective service occupations</c:v>
                </c:pt>
                <c:pt idx="9">
                  <c:v>34 Culture, media and sports occupations</c:v>
                </c:pt>
                <c:pt idx="10">
                  <c:v>35 Business and public service associate professionals</c:v>
                </c:pt>
                <c:pt idx="11">
                  <c:v>41 Administrative occupations</c:v>
                </c:pt>
                <c:pt idx="12">
                  <c:v>42 Secretarial and related occupations</c:v>
                </c:pt>
                <c:pt idx="13">
                  <c:v>51 Skilled agricultural and related trades</c:v>
                </c:pt>
                <c:pt idx="14">
                  <c:v>52 Skilled metal, electrical and electronic trades</c:v>
                </c:pt>
                <c:pt idx="15">
                  <c:v>53 Skilled construction and building trades</c:v>
                </c:pt>
                <c:pt idx="16">
                  <c:v>54 Textiles, printing and other skilled trades</c:v>
                </c:pt>
                <c:pt idx="17">
                  <c:v>61 Caring personal service occupations</c:v>
                </c:pt>
                <c:pt idx="18">
                  <c:v>62 Leisure, travel and related personal service occupations</c:v>
                </c:pt>
                <c:pt idx="19">
                  <c:v>63 Community and civil enforcement occupations</c:v>
                </c:pt>
                <c:pt idx="20">
                  <c:v>71 Sales occupations</c:v>
                </c:pt>
                <c:pt idx="21">
                  <c:v>72 Customer service occupations</c:v>
                </c:pt>
                <c:pt idx="22">
                  <c:v>81 Process, plant and machine operatives</c:v>
                </c:pt>
                <c:pt idx="23">
                  <c:v>82 Transport and mobile machine drivers and operatives</c:v>
                </c:pt>
                <c:pt idx="24">
                  <c:v>91 Elementary trades and related occupations</c:v>
                </c:pt>
              </c:strCache>
            </c:strRef>
          </c:cat>
          <c:val>
            <c:numRef>
              <c:f>'Occ F1'!$M$82:$M$106</c:f>
              <c:numCache>
                <c:formatCode>#,##0</c:formatCode>
                <c:ptCount val="25"/>
                <c:pt idx="0">
                  <c:v>7.0375665505287088</c:v>
                </c:pt>
                <c:pt idx="1">
                  <c:v>2.1401252110444737</c:v>
                </c:pt>
                <c:pt idx="2">
                  <c:v>4.8283684069273249</c:v>
                </c:pt>
                <c:pt idx="3">
                  <c:v>3.0558873387521608</c:v>
                </c:pt>
                <c:pt idx="4">
                  <c:v>1.1667694349103073</c:v>
                </c:pt>
                <c:pt idx="5">
                  <c:v>7.55414293104851</c:v>
                </c:pt>
                <c:pt idx="6">
                  <c:v>2.3322301624823085</c:v>
                </c:pt>
                <c:pt idx="7">
                  <c:v>1.3539686152072044</c:v>
                </c:pt>
                <c:pt idx="8">
                  <c:v>0.269741205091659</c:v>
                </c:pt>
                <c:pt idx="9">
                  <c:v>0.27892387399426166</c:v>
                </c:pt>
                <c:pt idx="10">
                  <c:v>3.2756238398702813</c:v>
                </c:pt>
                <c:pt idx="11">
                  <c:v>0.65183945759230966</c:v>
                </c:pt>
                <c:pt idx="12">
                  <c:v>-0.86610949061900122</c:v>
                </c:pt>
                <c:pt idx="13">
                  <c:v>1.1007653322437214</c:v>
                </c:pt>
                <c:pt idx="14">
                  <c:v>-2.915452071265566</c:v>
                </c:pt>
                <c:pt idx="15">
                  <c:v>-3.3081611057947296</c:v>
                </c:pt>
                <c:pt idx="16">
                  <c:v>-1.916279210904694</c:v>
                </c:pt>
                <c:pt idx="17">
                  <c:v>-0.77130094255694814</c:v>
                </c:pt>
                <c:pt idx="18">
                  <c:v>2.3768233225480326</c:v>
                </c:pt>
                <c:pt idx="19">
                  <c:v>1.9800833773732873E-2</c:v>
                </c:pt>
                <c:pt idx="20">
                  <c:v>-4.2194193695712201</c:v>
                </c:pt>
                <c:pt idx="21">
                  <c:v>0.67882103968152041</c:v>
                </c:pt>
                <c:pt idx="22">
                  <c:v>-3.4992636191876443</c:v>
                </c:pt>
                <c:pt idx="23">
                  <c:v>0.3065202681803072</c:v>
                </c:pt>
                <c:pt idx="24">
                  <c:v>-2.4220689641209958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2A3B-487F-80E9-0567EF603948}"/>
            </c:ext>
          </c:extLst>
        </c:ser>
        <c:ser>
          <c:idx val="0"/>
          <c:order val="1"/>
          <c:tx>
            <c:strRef>
              <c:f>'Occ F1'!$N$6</c:f>
              <c:strCache>
                <c:ptCount val="1"/>
                <c:pt idx="0">
                  <c:v>2020-2035</c:v>
                </c:pt>
              </c:strCache>
            </c:strRef>
          </c:tx>
          <c:spPr>
            <a:solidFill>
              <a:schemeClr val="tx1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cat>
            <c:strRef>
              <c:f>'Occ F1'!$L$82:$L$106</c:f>
              <c:strCache>
                <c:ptCount val="25"/>
                <c:pt idx="0">
                  <c:v>11 Corporate managers and directors</c:v>
                </c:pt>
                <c:pt idx="1">
                  <c:v>12 Other managers and proprietors</c:v>
                </c:pt>
                <c:pt idx="2">
                  <c:v>21 Science, research, engineering and technology professionals</c:v>
                </c:pt>
                <c:pt idx="3">
                  <c:v>22 Health professionals</c:v>
                </c:pt>
                <c:pt idx="4">
                  <c:v>23 Teaching and other educational professionals</c:v>
                </c:pt>
                <c:pt idx="5">
                  <c:v>24 Business, media and public service professionals</c:v>
                </c:pt>
                <c:pt idx="6">
                  <c:v>31 Science, engineering and technology associate professionals</c:v>
                </c:pt>
                <c:pt idx="7">
                  <c:v>32 Health and social care associate professionals</c:v>
                </c:pt>
                <c:pt idx="8">
                  <c:v>33 Protective service occupations</c:v>
                </c:pt>
                <c:pt idx="9">
                  <c:v>34 Culture, media and sports occupations</c:v>
                </c:pt>
                <c:pt idx="10">
                  <c:v>35 Business and public service associate professionals</c:v>
                </c:pt>
                <c:pt idx="11">
                  <c:v>41 Administrative occupations</c:v>
                </c:pt>
                <c:pt idx="12">
                  <c:v>42 Secretarial and related occupations</c:v>
                </c:pt>
                <c:pt idx="13">
                  <c:v>51 Skilled agricultural and related trades</c:v>
                </c:pt>
                <c:pt idx="14">
                  <c:v>52 Skilled metal, electrical and electronic trades</c:v>
                </c:pt>
                <c:pt idx="15">
                  <c:v>53 Skilled construction and building trades</c:v>
                </c:pt>
                <c:pt idx="16">
                  <c:v>54 Textiles, printing and other skilled trades</c:v>
                </c:pt>
                <c:pt idx="17">
                  <c:v>61 Caring personal service occupations</c:v>
                </c:pt>
                <c:pt idx="18">
                  <c:v>62 Leisure, travel and related personal service occupations</c:v>
                </c:pt>
                <c:pt idx="19">
                  <c:v>63 Community and civil enforcement occupations</c:v>
                </c:pt>
                <c:pt idx="20">
                  <c:v>71 Sales occupations</c:v>
                </c:pt>
                <c:pt idx="21">
                  <c:v>72 Customer service occupations</c:v>
                </c:pt>
                <c:pt idx="22">
                  <c:v>81 Process, plant and machine operatives</c:v>
                </c:pt>
                <c:pt idx="23">
                  <c:v>82 Transport and mobile machine drivers and operatives</c:v>
                </c:pt>
                <c:pt idx="24">
                  <c:v>91 Elementary trades and related occupations</c:v>
                </c:pt>
              </c:strCache>
            </c:strRef>
          </c:cat>
          <c:val>
            <c:numRef>
              <c:f>'Occ F1'!$N$82:$N$106</c:f>
              <c:numCache>
                <c:formatCode>#,##0</c:formatCode>
                <c:ptCount val="25"/>
                <c:pt idx="0">
                  <c:v>-1.5122374746346736</c:v>
                </c:pt>
                <c:pt idx="1">
                  <c:v>2.54745813653415</c:v>
                </c:pt>
                <c:pt idx="2">
                  <c:v>11.504705147656846</c:v>
                </c:pt>
                <c:pt idx="3">
                  <c:v>0.99863054774898075</c:v>
                </c:pt>
                <c:pt idx="4">
                  <c:v>-0.86812649724724267</c:v>
                </c:pt>
                <c:pt idx="5">
                  <c:v>4.8822813920006674</c:v>
                </c:pt>
                <c:pt idx="6">
                  <c:v>-5.2150216649019754E-2</c:v>
                </c:pt>
                <c:pt idx="7">
                  <c:v>8.3345936317451699</c:v>
                </c:pt>
                <c:pt idx="8">
                  <c:v>-0.49900293981924815</c:v>
                </c:pt>
                <c:pt idx="9">
                  <c:v>-0.68696758629196086</c:v>
                </c:pt>
                <c:pt idx="10">
                  <c:v>1.2650601299508288</c:v>
                </c:pt>
                <c:pt idx="11">
                  <c:v>-0.22647347361322545</c:v>
                </c:pt>
                <c:pt idx="12">
                  <c:v>-2.7490406491188173</c:v>
                </c:pt>
                <c:pt idx="13">
                  <c:v>-0.80349844858393205</c:v>
                </c:pt>
                <c:pt idx="14">
                  <c:v>-1.8689754160394614</c:v>
                </c:pt>
                <c:pt idx="15">
                  <c:v>-1.9545292325523675</c:v>
                </c:pt>
                <c:pt idx="16">
                  <c:v>-0.67104742881584301</c:v>
                </c:pt>
                <c:pt idx="17">
                  <c:v>4.6133615373514871</c:v>
                </c:pt>
                <c:pt idx="18">
                  <c:v>-0.95194037749309146</c:v>
                </c:pt>
                <c:pt idx="19">
                  <c:v>-8.0272963567101896E-2</c:v>
                </c:pt>
                <c:pt idx="20">
                  <c:v>-2.0180228862945455</c:v>
                </c:pt>
                <c:pt idx="21">
                  <c:v>1.7120471848774823</c:v>
                </c:pt>
                <c:pt idx="22">
                  <c:v>-1.1306554681072321</c:v>
                </c:pt>
                <c:pt idx="23">
                  <c:v>-1.1378911865492469</c:v>
                </c:pt>
                <c:pt idx="24">
                  <c:v>8.7056909196960977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2A3B-487F-80E9-0567EF60394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313554168"/>
        <c:axId val="313554560"/>
      </c:barChart>
      <c:catAx>
        <c:axId val="313554168"/>
        <c:scaling>
          <c:orientation val="maxMin"/>
        </c:scaling>
        <c:delete val="0"/>
        <c:axPos val="l"/>
        <c:numFmt formatCode="General" sourceLinked="1"/>
        <c:majorTickMark val="cross"/>
        <c:minorTickMark val="none"/>
        <c:tickLblPos val="low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 rtl="0">
              <a:defRPr sz="9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13554560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313554560"/>
        <c:scaling>
          <c:orientation val="minMax"/>
        </c:scaling>
        <c:delete val="0"/>
        <c:axPos val="b"/>
        <c:majorGridlines>
          <c:spPr>
            <a:ln w="12700">
              <a:solidFill>
                <a:srgbClr val="000000"/>
              </a:solidFill>
              <a:prstDash val="sysDash"/>
            </a:ln>
          </c:spPr>
        </c:majorGridlines>
        <c:numFmt formatCode="#,##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13554168"/>
        <c:crosses val="max"/>
        <c:crossBetween val="between"/>
      </c:valAx>
      <c:spPr>
        <a:noFill/>
        <a:ln w="12700">
          <a:solidFill>
            <a:srgbClr val="808080"/>
          </a:solidFill>
          <a:prstDash val="solid"/>
        </a:ln>
      </c:spPr>
    </c:plotArea>
    <c:legend>
      <c:legendPos val="r"/>
      <c:layout>
        <c:manualLayout>
          <c:xMode val="edge"/>
          <c:yMode val="edge"/>
          <c:x val="0.56480491104723274"/>
          <c:y val="0.96198037540801984"/>
          <c:w val="0.28182500271711636"/>
          <c:h val="2.910623083768191E-2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920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12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0.98425196850393659" l="0.748031496063017" r="0.748031496063017" t="0.98425196850393659" header="0.51181102362204722" footer="0.51181102362204722"/>
    <c:pageSetup paperSize="9" orientation="portrait"/>
  </c:printSettings>
</c:chartSpace>
</file>

<file path=xl/charts/chart1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48571462452191999"/>
          <c:y val="1.2452118927463975E-2"/>
          <c:w val="0.48285747967179132"/>
          <c:h val="0.8893494313210849"/>
        </c:manualLayout>
      </c:layout>
      <c:barChart>
        <c:barDir val="bar"/>
        <c:grouping val="clustered"/>
        <c:varyColors val="0"/>
        <c:ser>
          <c:idx val="1"/>
          <c:order val="0"/>
          <c:tx>
            <c:strRef>
              <c:f>'Occ F1'!$M$6</c:f>
              <c:strCache>
                <c:ptCount val="1"/>
                <c:pt idx="0">
                  <c:v>2015-2020</c:v>
                </c:pt>
              </c:strCache>
            </c:strRef>
          </c:tx>
          <c:spPr>
            <a:solidFill>
              <a:schemeClr val="bg1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cat>
            <c:strRef>
              <c:f>'Occ F1'!$L$153:$L$161</c:f>
              <c:strCache>
                <c:ptCount val="9"/>
                <c:pt idx="0">
                  <c:v>Managers, directors and senior officials</c:v>
                </c:pt>
                <c:pt idx="1">
                  <c:v>Professional occupations</c:v>
                </c:pt>
                <c:pt idx="2">
                  <c:v>Associate professional occupations</c:v>
                </c:pt>
                <c:pt idx="3">
                  <c:v>Administrative and secretarial occupations</c:v>
                </c:pt>
                <c:pt idx="4">
                  <c:v>Skilled trades occupations</c:v>
                </c:pt>
                <c:pt idx="5">
                  <c:v>Caring, leisure and other service occupations</c:v>
                </c:pt>
                <c:pt idx="6">
                  <c:v>Sales and customer service occupations</c:v>
                </c:pt>
                <c:pt idx="7">
                  <c:v>Process, plant and machine operatives</c:v>
                </c:pt>
                <c:pt idx="8">
                  <c:v>Elementary occupations</c:v>
                </c:pt>
              </c:strCache>
            </c:strRef>
          </c:cat>
          <c:val>
            <c:numRef>
              <c:f>'Occ F1'!$M$153:$M$161</c:f>
              <c:numCache>
                <c:formatCode>#,##0</c:formatCode>
                <c:ptCount val="9"/>
                <c:pt idx="0">
                  <c:v>9.177691761573179</c:v>
                </c:pt>
                <c:pt idx="1">
                  <c:v>16.605168111638307</c:v>
                </c:pt>
                <c:pt idx="2">
                  <c:v>7.5104876966457113</c:v>
                </c:pt>
                <c:pt idx="3">
                  <c:v>-0.21427003302669334</c:v>
                </c:pt>
                <c:pt idx="4">
                  <c:v>-7.0391270557212664</c:v>
                </c:pt>
                <c:pt idx="5">
                  <c:v>1.6253232137648226</c:v>
                </c:pt>
                <c:pt idx="6">
                  <c:v>-3.5405983298897041</c:v>
                </c:pt>
                <c:pt idx="7">
                  <c:v>-3.1927433510073371</c:v>
                </c:pt>
                <c:pt idx="8">
                  <c:v>-7.6919320139771585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5E34-4989-9EE7-3CDF027722D3}"/>
            </c:ext>
          </c:extLst>
        </c:ser>
        <c:ser>
          <c:idx val="0"/>
          <c:order val="1"/>
          <c:tx>
            <c:strRef>
              <c:f>'Occ F1'!$N$6</c:f>
              <c:strCache>
                <c:ptCount val="1"/>
                <c:pt idx="0">
                  <c:v>2020-2035</c:v>
                </c:pt>
              </c:strCache>
            </c:strRef>
          </c:tx>
          <c:spPr>
            <a:solidFill>
              <a:schemeClr val="tx1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cat>
            <c:strRef>
              <c:f>'Occ F1'!$L$153:$L$161</c:f>
              <c:strCache>
                <c:ptCount val="9"/>
                <c:pt idx="0">
                  <c:v>Managers, directors and senior officials</c:v>
                </c:pt>
                <c:pt idx="1">
                  <c:v>Professional occupations</c:v>
                </c:pt>
                <c:pt idx="2">
                  <c:v>Associate professional occupations</c:v>
                </c:pt>
                <c:pt idx="3">
                  <c:v>Administrative and secretarial occupations</c:v>
                </c:pt>
                <c:pt idx="4">
                  <c:v>Skilled trades occupations</c:v>
                </c:pt>
                <c:pt idx="5">
                  <c:v>Caring, leisure and other service occupations</c:v>
                </c:pt>
                <c:pt idx="6">
                  <c:v>Sales and customer service occupations</c:v>
                </c:pt>
                <c:pt idx="7">
                  <c:v>Process, plant and machine operatives</c:v>
                </c:pt>
                <c:pt idx="8">
                  <c:v>Elementary occupations</c:v>
                </c:pt>
              </c:strCache>
            </c:strRef>
          </c:cat>
          <c:val>
            <c:numRef>
              <c:f>'Occ F1'!$N$153:$N$161</c:f>
              <c:numCache>
                <c:formatCode>#,##0</c:formatCode>
                <c:ptCount val="9"/>
                <c:pt idx="0">
                  <c:v>1.0352206618994799</c:v>
                </c:pt>
                <c:pt idx="1">
                  <c:v>16.517490590159241</c:v>
                </c:pt>
                <c:pt idx="2">
                  <c:v>8.3615330189357735</c:v>
                </c:pt>
                <c:pt idx="3">
                  <c:v>-2.9755141227320436</c:v>
                </c:pt>
                <c:pt idx="4">
                  <c:v>-5.2980505259916129</c:v>
                </c:pt>
                <c:pt idx="5">
                  <c:v>3.5811481962912879</c:v>
                </c:pt>
                <c:pt idx="6">
                  <c:v>-0.30597570141706143</c:v>
                </c:pt>
                <c:pt idx="7">
                  <c:v>-2.2685466546564825</c:v>
                </c:pt>
                <c:pt idx="8">
                  <c:v>-0.58030546248888726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5E34-4989-9EE7-3CDF027722D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313554168"/>
        <c:axId val="313554560"/>
      </c:barChart>
      <c:catAx>
        <c:axId val="313554168"/>
        <c:scaling>
          <c:orientation val="maxMin"/>
        </c:scaling>
        <c:delete val="0"/>
        <c:axPos val="l"/>
        <c:numFmt formatCode="General" sourceLinked="1"/>
        <c:majorTickMark val="cross"/>
        <c:minorTickMark val="none"/>
        <c:tickLblPos val="low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 rtl="0">
              <a:defRPr sz="9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13554560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313554560"/>
        <c:scaling>
          <c:orientation val="minMax"/>
        </c:scaling>
        <c:delete val="0"/>
        <c:axPos val="b"/>
        <c:majorGridlines>
          <c:spPr>
            <a:ln w="12700">
              <a:solidFill>
                <a:srgbClr val="000000"/>
              </a:solidFill>
              <a:prstDash val="sysDash"/>
            </a:ln>
          </c:spPr>
        </c:majorGridlines>
        <c:title>
          <c:tx>
            <c:rich>
              <a:bodyPr/>
              <a:lstStyle/>
              <a:p>
                <a:pPr>
                  <a:defRPr/>
                </a:pPr>
                <a:r>
                  <a:rPr lang="en-GB"/>
                  <a:t>thousands</a:t>
                </a:r>
              </a:p>
            </c:rich>
          </c:tx>
          <c:layout>
            <c:manualLayout>
              <c:xMode val="edge"/>
              <c:yMode val="edge"/>
              <c:x val="0.89275972821341165"/>
              <c:y val="0.94782764654418195"/>
            </c:manualLayout>
          </c:layout>
          <c:overlay val="0"/>
        </c:title>
        <c:numFmt formatCode="#,##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13554168"/>
        <c:crosses val="max"/>
        <c:crossBetween val="between"/>
      </c:valAx>
      <c:spPr>
        <a:noFill/>
        <a:ln w="12700">
          <a:solidFill>
            <a:srgbClr val="808080"/>
          </a:solidFill>
          <a:prstDash val="solid"/>
        </a:ln>
      </c:spPr>
    </c:plotArea>
    <c:legend>
      <c:legendPos val="r"/>
      <c:layout>
        <c:manualLayout>
          <c:xMode val="edge"/>
          <c:yMode val="edge"/>
          <c:x val="0.56480491104723274"/>
          <c:y val="0.96198037540801984"/>
          <c:w val="0.28182500271711636"/>
          <c:h val="2.910623083768191E-2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920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12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0.98425196850393659" l="0.748031496063017" r="0.748031496063017" t="0.98425196850393659" header="0.51181102362204722" footer="0.51181102362204722"/>
    <c:pageSetup paperSize="9" orientation="portrait"/>
  </c:printSettings>
</c:chartSpace>
</file>

<file path=xl/charts/chart1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6.3291178359361627E-2"/>
          <c:y val="6.1930893405078492E-2"/>
          <c:w val="0.90000055627012265"/>
          <c:h val="0.80874460799574588"/>
        </c:manualLayout>
      </c:layout>
      <c:areaChart>
        <c:grouping val="stacked"/>
        <c:varyColors val="0"/>
        <c:ser>
          <c:idx val="0"/>
          <c:order val="0"/>
          <c:tx>
            <c:strRef>
              <c:f>'Occ F2'!$L$6</c:f>
              <c:strCache>
                <c:ptCount val="1"/>
                <c:pt idx="0">
                  <c:v>11 Corporate managers and directors</c:v>
                </c:pt>
              </c:strCache>
            </c:strRef>
          </c:tx>
          <c:spPr>
            <a:solidFill>
              <a:srgbClr val="808080"/>
            </a:solidFill>
            <a:ln w="12700">
              <a:solidFill>
                <a:srgbClr val="000000"/>
              </a:solidFill>
              <a:prstDash val="solid"/>
            </a:ln>
          </c:spP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F2'!$M$6:$AL$6</c:f>
              <c:numCache>
                <c:formatCode>#,##0</c:formatCode>
                <c:ptCount val="26"/>
                <c:pt idx="0">
                  <c:v>26.039097768455182</c:v>
                </c:pt>
                <c:pt idx="1">
                  <c:v>28.686458448555751</c:v>
                </c:pt>
                <c:pt idx="2">
                  <c:v>28.841634666860351</c:v>
                </c:pt>
                <c:pt idx="3">
                  <c:v>28.163943847534632</c:v>
                </c:pt>
                <c:pt idx="4">
                  <c:v>28.72964474018681</c:v>
                </c:pt>
                <c:pt idx="5">
                  <c:v>30.247562792471243</c:v>
                </c:pt>
                <c:pt idx="6">
                  <c:v>32.318679479805681</c:v>
                </c:pt>
                <c:pt idx="7">
                  <c:v>34.188942838094682</c:v>
                </c:pt>
                <c:pt idx="8">
                  <c:v>33.950605193001813</c:v>
                </c:pt>
                <c:pt idx="9">
                  <c:v>35.435168332564437</c:v>
                </c:pt>
                <c:pt idx="10">
                  <c:v>37.285129342999952</c:v>
                </c:pt>
                <c:pt idx="11">
                  <c:v>32.176417225158715</c:v>
                </c:pt>
                <c:pt idx="12">
                  <c:v>32.414168539891385</c:v>
                </c:pt>
                <c:pt idx="13">
                  <c:v>32.666917879624755</c:v>
                </c:pt>
                <c:pt idx="14">
                  <c:v>32.984553193633303</c:v>
                </c:pt>
                <c:pt idx="15">
                  <c:v>33.254205149928133</c:v>
                </c:pt>
                <c:pt idx="16">
                  <c:v>33.503676555017854</c:v>
                </c:pt>
                <c:pt idx="17">
                  <c:v>33.740801875833668</c:v>
                </c:pt>
                <c:pt idx="18">
                  <c:v>33.979837544384878</c:v>
                </c:pt>
                <c:pt idx="19">
                  <c:v>34.219667452259088</c:v>
                </c:pt>
                <c:pt idx="20">
                  <c:v>34.47874856632361</c:v>
                </c:pt>
                <c:pt idx="21">
                  <c:v>34.735659292329487</c:v>
                </c:pt>
                <c:pt idx="22">
                  <c:v>34.983994879404229</c:v>
                </c:pt>
                <c:pt idx="23">
                  <c:v>35.234656543725301</c:v>
                </c:pt>
                <c:pt idx="24">
                  <c:v>35.501523678626612</c:v>
                </c:pt>
                <c:pt idx="25">
                  <c:v>35.772891868365278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7720-4568-BDF9-576543F0797E}"/>
            </c:ext>
          </c:extLst>
        </c:ser>
        <c:ser>
          <c:idx val="1"/>
          <c:order val="1"/>
          <c:tx>
            <c:strRef>
              <c:f>'Occ F2'!$L$7</c:f>
              <c:strCache>
                <c:ptCount val="1"/>
                <c:pt idx="0">
                  <c:v>12 Other managers and proprietors</c:v>
                </c:pt>
              </c:strCache>
            </c:strRef>
          </c:tx>
          <c:spPr>
            <a:solidFill>
              <a:schemeClr val="bg1">
                <a:lumMod val="75000"/>
              </a:schemeClr>
            </a:solidFill>
          </c:spP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F2'!$M$7:$AL$7</c:f>
              <c:numCache>
                <c:formatCode>#,##0</c:formatCode>
                <c:ptCount val="26"/>
                <c:pt idx="0">
                  <c:v>13.737953232613643</c:v>
                </c:pt>
                <c:pt idx="1">
                  <c:v>15.005074685248232</c:v>
                </c:pt>
                <c:pt idx="2">
                  <c:v>15.201762816822026</c:v>
                </c:pt>
                <c:pt idx="3">
                  <c:v>14.786053045161221</c:v>
                </c:pt>
                <c:pt idx="4">
                  <c:v>16.143069631073374</c:v>
                </c:pt>
                <c:pt idx="5">
                  <c:v>15.483032384061453</c:v>
                </c:pt>
                <c:pt idx="6">
                  <c:v>15.073903610276068</c:v>
                </c:pt>
                <c:pt idx="7">
                  <c:v>16.493367687909885</c:v>
                </c:pt>
                <c:pt idx="8">
                  <c:v>15.654208741768782</c:v>
                </c:pt>
                <c:pt idx="9">
                  <c:v>16.781545972413859</c:v>
                </c:pt>
                <c:pt idx="10">
                  <c:v>17.623157595105926</c:v>
                </c:pt>
                <c:pt idx="11">
                  <c:v>17.308595664392985</c:v>
                </c:pt>
                <c:pt idx="12">
                  <c:v>17.481804847166899</c:v>
                </c:pt>
                <c:pt idx="13">
                  <c:v>17.680645995190176</c:v>
                </c:pt>
                <c:pt idx="14">
                  <c:v>17.92686198495657</c:v>
                </c:pt>
                <c:pt idx="15">
                  <c:v>18.132214773438296</c:v>
                </c:pt>
                <c:pt idx="16">
                  <c:v>18.32891807401214</c:v>
                </c:pt>
                <c:pt idx="17">
                  <c:v>18.532899347780038</c:v>
                </c:pt>
                <c:pt idx="18">
                  <c:v>18.731687373022393</c:v>
                </c:pt>
                <c:pt idx="19">
                  <c:v>18.924151032199887</c:v>
                </c:pt>
                <c:pt idx="20">
                  <c:v>19.124595705099701</c:v>
                </c:pt>
                <c:pt idx="21">
                  <c:v>19.336299404686642</c:v>
                </c:pt>
                <c:pt idx="22">
                  <c:v>19.542230991355108</c:v>
                </c:pt>
                <c:pt idx="23">
                  <c:v>19.75380088141808</c:v>
                </c:pt>
                <c:pt idx="24">
                  <c:v>19.959358777841139</c:v>
                </c:pt>
                <c:pt idx="25">
                  <c:v>20.170615731640076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FDE7-4E1A-BA1B-1644D5E32C0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13970568"/>
        <c:axId val="313970960"/>
      </c:areaChart>
      <c:catAx>
        <c:axId val="313970568"/>
        <c:scaling>
          <c:orientation val="minMax"/>
        </c:scaling>
        <c:delete val="0"/>
        <c:axPos val="b"/>
        <c:numFmt formatCode="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-540000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13970960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313970960"/>
        <c:scaling>
          <c:orientation val="minMax"/>
          <c:min val="0"/>
        </c:scaling>
        <c:delete val="0"/>
        <c:axPos val="l"/>
        <c:title>
          <c:tx>
            <c:rich>
              <a:bodyPr rot="0" vert="horz"/>
              <a:lstStyle/>
              <a:p>
                <a:pPr algn="l"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GB"/>
                  <a:t>thousands</a:t>
                </a:r>
              </a:p>
            </c:rich>
          </c:tx>
          <c:layout>
            <c:manualLayout>
              <c:xMode val="edge"/>
              <c:yMode val="edge"/>
              <c:x val="6.3291178359361714E-3"/>
              <c:y val="9.1074843242764068E-3"/>
            </c:manualLayout>
          </c:layout>
          <c:overlay val="0"/>
          <c:spPr>
            <a:noFill/>
            <a:ln w="25400">
              <a:noFill/>
            </a:ln>
          </c:spPr>
        </c:title>
        <c:numFmt formatCode="#,##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13970568"/>
        <c:crosses val="autoZero"/>
        <c:crossBetween val="midCat"/>
      </c:valAx>
      <c:spPr>
        <a:noFill/>
        <a:ln w="12700">
          <a:solidFill>
            <a:srgbClr val="808080"/>
          </a:solidFill>
          <a:prstDash val="solid"/>
        </a:ln>
      </c:spPr>
    </c:plotArea>
    <c:legend>
      <c:legendPos val="b"/>
      <c:layout>
        <c:manualLayout>
          <c:xMode val="edge"/>
          <c:yMode val="edge"/>
          <c:x val="0.14190505958714619"/>
          <c:y val="0.94227478861151881"/>
          <c:w val="0.68071850393700783"/>
          <c:h val="3.9719368015269679E-2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965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legend>
    <c:plotVisOnly val="1"/>
    <c:dispBlanksAs val="zero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105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000000000001465" r="0.75000000000001465" t="1" header="0.5" footer="0.5"/>
    <c:pageSetup paperSize="9" orientation="landscape"/>
  </c:printSettings>
</c:chartSpace>
</file>

<file path=xl/charts/chart1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7.9108989445751968E-2"/>
          <c:y val="8.3510768667333396E-2"/>
          <c:w val="0.89593908629441665"/>
          <c:h val="0.73360490940421352"/>
        </c:manualLayout>
      </c:layout>
      <c:areaChart>
        <c:grouping val="stacked"/>
        <c:varyColors val="0"/>
        <c:ser>
          <c:idx val="1"/>
          <c:order val="0"/>
          <c:tx>
            <c:strRef>
              <c:f>'Occ F2'!$L$10</c:f>
              <c:strCache>
                <c:ptCount val="1"/>
                <c:pt idx="0">
                  <c:v>21 Science, research, engineering and technology professionals</c:v>
                </c:pt>
              </c:strCache>
            </c:strRef>
          </c:tx>
          <c:spPr>
            <a:solidFill>
              <a:schemeClr val="tx1"/>
            </a:solidFill>
            <a:ln w="12700">
              <a:solidFill>
                <a:srgbClr val="000000"/>
              </a:solidFill>
              <a:prstDash val="solid"/>
            </a:ln>
          </c:spP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F2'!$M$10:$AL$10</c:f>
              <c:numCache>
                <c:formatCode>#,##0</c:formatCode>
                <c:ptCount val="26"/>
                <c:pt idx="0">
                  <c:v>22.362488614189964</c:v>
                </c:pt>
                <c:pt idx="1">
                  <c:v>20.992223124475977</c:v>
                </c:pt>
                <c:pt idx="2">
                  <c:v>20.891016096397582</c:v>
                </c:pt>
                <c:pt idx="3">
                  <c:v>20.645086485960416</c:v>
                </c:pt>
                <c:pt idx="4">
                  <c:v>22.963654934878267</c:v>
                </c:pt>
                <c:pt idx="5">
                  <c:v>23.25915527928213</c:v>
                </c:pt>
                <c:pt idx="6">
                  <c:v>24.007174062997347</c:v>
                </c:pt>
                <c:pt idx="7">
                  <c:v>24.453552817073543</c:v>
                </c:pt>
                <c:pt idx="8">
                  <c:v>25.908613539988892</c:v>
                </c:pt>
                <c:pt idx="9">
                  <c:v>26.194759519288692</c:v>
                </c:pt>
                <c:pt idx="10">
                  <c:v>28.087523686209455</c:v>
                </c:pt>
                <c:pt idx="11">
                  <c:v>32.393808848084049</c:v>
                </c:pt>
                <c:pt idx="12">
                  <c:v>32.843391727494733</c:v>
                </c:pt>
                <c:pt idx="13">
                  <c:v>33.370694254027313</c:v>
                </c:pt>
                <c:pt idx="14">
                  <c:v>33.961528056285765</c:v>
                </c:pt>
                <c:pt idx="15">
                  <c:v>34.493218359218091</c:v>
                </c:pt>
                <c:pt idx="16">
                  <c:v>35.002235226858673</c:v>
                </c:pt>
                <c:pt idx="17">
                  <c:v>35.49084439283007</c:v>
                </c:pt>
                <c:pt idx="18">
                  <c:v>35.992463835961537</c:v>
                </c:pt>
                <c:pt idx="19">
                  <c:v>36.485091581465277</c:v>
                </c:pt>
                <c:pt idx="20">
                  <c:v>37.002042526811799</c:v>
                </c:pt>
                <c:pt idx="21">
                  <c:v>37.518003554211504</c:v>
                </c:pt>
                <c:pt idx="22">
                  <c:v>38.034113960919939</c:v>
                </c:pt>
                <c:pt idx="23">
                  <c:v>38.54549227563087</c:v>
                </c:pt>
                <c:pt idx="24">
                  <c:v>39.067959406492911</c:v>
                </c:pt>
                <c:pt idx="25">
                  <c:v>39.592228833866301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DE8B-4FD0-A846-3B80B7CA18B9}"/>
            </c:ext>
          </c:extLst>
        </c:ser>
        <c:ser>
          <c:idx val="2"/>
          <c:order val="1"/>
          <c:tx>
            <c:strRef>
              <c:f>'Occ F2'!$L$11</c:f>
              <c:strCache>
                <c:ptCount val="1"/>
                <c:pt idx="0">
                  <c:v>22 Health professionals</c:v>
                </c:pt>
              </c:strCache>
            </c:strRef>
          </c:tx>
          <c:spPr>
            <a:solidFill>
              <a:schemeClr val="tx1">
                <a:lumMod val="65000"/>
                <a:lumOff val="35000"/>
              </a:schemeClr>
            </a:solidFill>
            <a:ln w="12700">
              <a:solidFill>
                <a:srgbClr val="000000"/>
              </a:solidFill>
              <a:prstDash val="solid"/>
            </a:ln>
          </c:spP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F2'!$M$11:$AL$11</c:f>
              <c:numCache>
                <c:formatCode>#,##0</c:formatCode>
                <c:ptCount val="26"/>
                <c:pt idx="0">
                  <c:v>18.549962758864211</c:v>
                </c:pt>
                <c:pt idx="1">
                  <c:v>19.401912585812273</c:v>
                </c:pt>
                <c:pt idx="2">
                  <c:v>18.949625607496781</c:v>
                </c:pt>
                <c:pt idx="3">
                  <c:v>18.168646682755782</c:v>
                </c:pt>
                <c:pt idx="4">
                  <c:v>19.438109673456438</c:v>
                </c:pt>
                <c:pt idx="5">
                  <c:v>19.148814719960843</c:v>
                </c:pt>
                <c:pt idx="6">
                  <c:v>20.147145923280867</c:v>
                </c:pt>
                <c:pt idx="7">
                  <c:v>21.632074927423613</c:v>
                </c:pt>
                <c:pt idx="8">
                  <c:v>21.311057761619264</c:v>
                </c:pt>
                <c:pt idx="9">
                  <c:v>21.995438768546176</c:v>
                </c:pt>
                <c:pt idx="10">
                  <c:v>22.204702058713004</c:v>
                </c:pt>
                <c:pt idx="11">
                  <c:v>21.087691353864123</c:v>
                </c:pt>
                <c:pt idx="12">
                  <c:v>21.203581688754568</c:v>
                </c:pt>
                <c:pt idx="13">
                  <c:v>21.378532211688942</c:v>
                </c:pt>
                <c:pt idx="14">
                  <c:v>21.567042341521077</c:v>
                </c:pt>
                <c:pt idx="15">
                  <c:v>21.725810467444898</c:v>
                </c:pt>
                <c:pt idx="16">
                  <c:v>21.868762836384274</c:v>
                </c:pt>
                <c:pt idx="17">
                  <c:v>22.032630924734356</c:v>
                </c:pt>
                <c:pt idx="18">
                  <c:v>22.19324026490651</c:v>
                </c:pt>
                <c:pt idx="19">
                  <c:v>22.331218908538862</c:v>
                </c:pt>
                <c:pt idx="20">
                  <c:v>22.484005561072859</c:v>
                </c:pt>
                <c:pt idx="21">
                  <c:v>22.626976066011078</c:v>
                </c:pt>
                <c:pt idx="22">
                  <c:v>22.771652702525643</c:v>
                </c:pt>
                <c:pt idx="23">
                  <c:v>22.911955925474636</c:v>
                </c:pt>
                <c:pt idx="24">
                  <c:v>23.046509341054879</c:v>
                </c:pt>
                <c:pt idx="25">
                  <c:v>23.203332606461984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DE8B-4FD0-A846-3B80B7CA18B9}"/>
            </c:ext>
          </c:extLst>
        </c:ser>
        <c:ser>
          <c:idx val="3"/>
          <c:order val="2"/>
          <c:tx>
            <c:strRef>
              <c:f>'Occ F2'!$L$12</c:f>
              <c:strCache>
                <c:ptCount val="1"/>
                <c:pt idx="0">
                  <c:v>23 Teaching and other educational professionals</c:v>
                </c:pt>
              </c:strCache>
            </c:strRef>
          </c:tx>
          <c:spPr>
            <a:solidFill>
              <a:schemeClr val="bg1">
                <a:lumMod val="50000"/>
              </a:schemeClr>
            </a:solidFill>
            <a:ln w="12700">
              <a:solidFill>
                <a:srgbClr val="000000"/>
              </a:solidFill>
              <a:prstDash val="solid"/>
            </a:ln>
          </c:spP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F2'!$M$12:$AL$12</c:f>
              <c:numCache>
                <c:formatCode>#,##0</c:formatCode>
                <c:ptCount val="26"/>
                <c:pt idx="0">
                  <c:v>18.604224356237772</c:v>
                </c:pt>
                <c:pt idx="1">
                  <c:v>18.221285339489071</c:v>
                </c:pt>
                <c:pt idx="2">
                  <c:v>18.588603565604444</c:v>
                </c:pt>
                <c:pt idx="3">
                  <c:v>18.372631118720946</c:v>
                </c:pt>
                <c:pt idx="4">
                  <c:v>18.294657321842617</c:v>
                </c:pt>
                <c:pt idx="5">
                  <c:v>18.259091469867247</c:v>
                </c:pt>
                <c:pt idx="6">
                  <c:v>17.758110491050179</c:v>
                </c:pt>
                <c:pt idx="7">
                  <c:v>16.827601263370678</c:v>
                </c:pt>
                <c:pt idx="8">
                  <c:v>17.778468566175601</c:v>
                </c:pt>
                <c:pt idx="9">
                  <c:v>18.576127910613074</c:v>
                </c:pt>
                <c:pt idx="10">
                  <c:v>19.425860904777554</c:v>
                </c:pt>
                <c:pt idx="11">
                  <c:v>18.054362161395524</c:v>
                </c:pt>
                <c:pt idx="12">
                  <c:v>17.918079936845878</c:v>
                </c:pt>
                <c:pt idx="13">
                  <c:v>17.933189200673329</c:v>
                </c:pt>
                <c:pt idx="14">
                  <c:v>17.989424319359127</c:v>
                </c:pt>
                <c:pt idx="15">
                  <c:v>18.030334762119871</c:v>
                </c:pt>
                <c:pt idx="16">
                  <c:v>18.071798769268966</c:v>
                </c:pt>
                <c:pt idx="17">
                  <c:v>18.105599215967427</c:v>
                </c:pt>
                <c:pt idx="18">
                  <c:v>18.153532083489061</c:v>
                </c:pt>
                <c:pt idx="19">
                  <c:v>18.211585124020964</c:v>
                </c:pt>
                <c:pt idx="20">
                  <c:v>18.289141194736125</c:v>
                </c:pt>
                <c:pt idx="21">
                  <c:v>18.347936115132423</c:v>
                </c:pt>
                <c:pt idx="22">
                  <c:v>18.399074246418383</c:v>
                </c:pt>
                <c:pt idx="23">
                  <c:v>18.452237573840737</c:v>
                </c:pt>
                <c:pt idx="24">
                  <c:v>18.504201252724339</c:v>
                </c:pt>
                <c:pt idx="25">
                  <c:v>18.557734407530312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DE8B-4FD0-A846-3B80B7CA18B9}"/>
            </c:ext>
          </c:extLst>
        </c:ser>
        <c:ser>
          <c:idx val="0"/>
          <c:order val="3"/>
          <c:tx>
            <c:strRef>
              <c:f>'Occ F2'!$L$13</c:f>
              <c:strCache>
                <c:ptCount val="1"/>
                <c:pt idx="0">
                  <c:v>24 Business, media and public service professionals</c:v>
                </c:pt>
              </c:strCache>
            </c:strRef>
          </c:tx>
          <c:spPr>
            <a:solidFill>
              <a:schemeClr val="bg1">
                <a:lumMod val="75000"/>
              </a:schemeClr>
            </a:solidFill>
          </c:spP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F2'!$M$13:$AL$13</c:f>
              <c:numCache>
                <c:formatCode>#,##0</c:formatCode>
                <c:ptCount val="26"/>
                <c:pt idx="0">
                  <c:v>24.889418351813561</c:v>
                </c:pt>
                <c:pt idx="1">
                  <c:v>23.752202982608942</c:v>
                </c:pt>
                <c:pt idx="2">
                  <c:v>22.3441591387211</c:v>
                </c:pt>
                <c:pt idx="3">
                  <c:v>22.730525126986304</c:v>
                </c:pt>
                <c:pt idx="4">
                  <c:v>24.769976738138141</c:v>
                </c:pt>
                <c:pt idx="5">
                  <c:v>23.48099893135856</c:v>
                </c:pt>
                <c:pt idx="6">
                  <c:v>25.411701808052317</c:v>
                </c:pt>
                <c:pt idx="7">
                  <c:v>25.683227493773639</c:v>
                </c:pt>
                <c:pt idx="8">
                  <c:v>26.647413796100206</c:v>
                </c:pt>
                <c:pt idx="9">
                  <c:v>27.176276573598052</c:v>
                </c:pt>
                <c:pt idx="10">
                  <c:v>31.03514186240707</c:v>
                </c:pt>
                <c:pt idx="11">
                  <c:v>30.748791712267877</c:v>
                </c:pt>
                <c:pt idx="12">
                  <c:v>31.011965134910483</c:v>
                </c:pt>
                <c:pt idx="13">
                  <c:v>31.368260449998523</c:v>
                </c:pt>
                <c:pt idx="14">
                  <c:v>31.796019665982111</c:v>
                </c:pt>
                <c:pt idx="15">
                  <c:v>32.170245655310246</c:v>
                </c:pt>
                <c:pt idx="16">
                  <c:v>32.535973624985026</c:v>
                </c:pt>
                <c:pt idx="17">
                  <c:v>32.889880659878266</c:v>
                </c:pt>
                <c:pt idx="18">
                  <c:v>33.251015355113545</c:v>
                </c:pt>
                <c:pt idx="19">
                  <c:v>33.615916848749862</c:v>
                </c:pt>
                <c:pt idx="20">
                  <c:v>33.997634963424908</c:v>
                </c:pt>
                <c:pt idx="21">
                  <c:v>34.391863544034763</c:v>
                </c:pt>
                <c:pt idx="22">
                  <c:v>34.763263397499813</c:v>
                </c:pt>
                <c:pt idx="23">
                  <c:v>35.142060183112264</c:v>
                </c:pt>
                <c:pt idx="24">
                  <c:v>35.530343812986324</c:v>
                </c:pt>
                <c:pt idx="25">
                  <c:v>35.917423254407737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DE8B-4FD0-A846-3B80B7CA18B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13971744"/>
        <c:axId val="313972136"/>
      </c:areaChart>
      <c:catAx>
        <c:axId val="313971744"/>
        <c:scaling>
          <c:orientation val="minMax"/>
        </c:scaling>
        <c:delete val="0"/>
        <c:axPos val="b"/>
        <c:numFmt formatCode="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-540000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13972136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313972136"/>
        <c:scaling>
          <c:orientation val="minMax"/>
          <c:min val="0"/>
        </c:scaling>
        <c:delete val="0"/>
        <c:axPos val="l"/>
        <c:title>
          <c:tx>
            <c:rich>
              <a:bodyPr rot="0" vert="horz"/>
              <a:lstStyle/>
              <a:p>
                <a:pPr algn="l">
                  <a:defRPr sz="975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GB"/>
                  <a:t>thousands</a:t>
                </a:r>
              </a:p>
            </c:rich>
          </c:tx>
          <c:layout>
            <c:manualLayout>
              <c:xMode val="edge"/>
              <c:yMode val="edge"/>
              <c:x val="1.650609719509024E-2"/>
              <c:y val="3.059099723446913E-2"/>
            </c:manualLayout>
          </c:layout>
          <c:overlay val="0"/>
          <c:spPr>
            <a:noFill/>
            <a:ln w="25400">
              <a:noFill/>
            </a:ln>
          </c:spPr>
        </c:title>
        <c:numFmt formatCode="#,##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13971744"/>
        <c:crosses val="autoZero"/>
        <c:crossBetween val="midCat"/>
      </c:valAx>
      <c:spPr>
        <a:noFill/>
        <a:ln w="12700">
          <a:solidFill>
            <a:srgbClr val="808080"/>
          </a:solidFill>
          <a:prstDash val="solid"/>
        </a:ln>
      </c:spPr>
    </c:plotArea>
    <c:legend>
      <c:legendPos val="b"/>
      <c:layout>
        <c:manualLayout>
          <c:xMode val="edge"/>
          <c:yMode val="edge"/>
          <c:x val="0.10238887370238754"/>
          <c:y val="0.89684729480371306"/>
          <c:w val="0.8703594311506998"/>
          <c:h val="8.1685800008451534E-2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965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legend>
    <c:plotVisOnly val="1"/>
    <c:dispBlanksAs val="zero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105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000000000001465" r="0.75000000000001465" t="1" header="0.5" footer="0.5"/>
    <c:pageSetup/>
  </c:printSettings>
</c:chartSpace>
</file>

<file path=xl/charts/chart1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6.8525729671010754E-2"/>
          <c:y val="8.1573294356169543E-2"/>
          <c:w val="0.89593908629441665"/>
          <c:h val="0.7258418595879107"/>
        </c:manualLayout>
      </c:layout>
      <c:areaChart>
        <c:grouping val="stacked"/>
        <c:varyColors val="0"/>
        <c:ser>
          <c:idx val="0"/>
          <c:order val="0"/>
          <c:tx>
            <c:strRef>
              <c:f>'Occ F2'!$L$16</c:f>
              <c:strCache>
                <c:ptCount val="1"/>
                <c:pt idx="0">
                  <c:v>31 Science, engineering and technology associate professionals</c:v>
                </c:pt>
              </c:strCache>
            </c:strRef>
          </c:tx>
          <c:spPr>
            <a:solidFill>
              <a:schemeClr val="tx1"/>
            </a:solidFill>
            <a:ln w="12700">
              <a:solidFill>
                <a:srgbClr val="000000"/>
              </a:solidFill>
              <a:prstDash val="solid"/>
            </a:ln>
          </c:spP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F2'!$M$16:$AL$16</c:f>
              <c:numCache>
                <c:formatCode>#,##0</c:formatCode>
                <c:ptCount val="26"/>
                <c:pt idx="0">
                  <c:v>8.4139604562159871</c:v>
                </c:pt>
                <c:pt idx="1">
                  <c:v>8.0503194029323044</c:v>
                </c:pt>
                <c:pt idx="2">
                  <c:v>8.1822401368710871</c:v>
                </c:pt>
                <c:pt idx="3">
                  <c:v>8.1517213400390922</c:v>
                </c:pt>
                <c:pt idx="4">
                  <c:v>8.0265526419711222</c:v>
                </c:pt>
                <c:pt idx="5">
                  <c:v>7.8788112683670883</c:v>
                </c:pt>
                <c:pt idx="6">
                  <c:v>8.259426511266561</c:v>
                </c:pt>
                <c:pt idx="7">
                  <c:v>9.3580074829238864</c:v>
                </c:pt>
                <c:pt idx="8">
                  <c:v>9.5479753494650907</c:v>
                </c:pt>
                <c:pt idx="9">
                  <c:v>9.0640058563672952</c:v>
                </c:pt>
                <c:pt idx="10">
                  <c:v>10.211041430849397</c:v>
                </c:pt>
                <c:pt idx="11">
                  <c:v>9.1427230687541776</c:v>
                </c:pt>
                <c:pt idx="12">
                  <c:v>9.2182736342815605</c:v>
                </c:pt>
                <c:pt idx="13">
                  <c:v>9.2898380593806777</c:v>
                </c:pt>
                <c:pt idx="14">
                  <c:v>9.3776876884558877</c:v>
                </c:pt>
                <c:pt idx="15">
                  <c:v>9.4565333793712654</c:v>
                </c:pt>
                <c:pt idx="16">
                  <c:v>9.527780964473834</c:v>
                </c:pt>
                <c:pt idx="17">
                  <c:v>9.5883703860575604</c:v>
                </c:pt>
                <c:pt idx="18">
                  <c:v>9.6479541503681467</c:v>
                </c:pt>
                <c:pt idx="19">
                  <c:v>9.7045344698970339</c:v>
                </c:pt>
                <c:pt idx="20">
                  <c:v>9.775892084125525</c:v>
                </c:pt>
                <c:pt idx="21">
                  <c:v>9.8458266491644828</c:v>
                </c:pt>
                <c:pt idx="22">
                  <c:v>9.9193467988578377</c:v>
                </c:pt>
                <c:pt idx="23">
                  <c:v>9.9995744495142933</c:v>
                </c:pt>
                <c:pt idx="24">
                  <c:v>10.07740795408861</c:v>
                </c:pt>
                <c:pt idx="25">
                  <c:v>10.158891214200377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1009-4252-A8BB-3F6EBC820C2C}"/>
            </c:ext>
          </c:extLst>
        </c:ser>
        <c:ser>
          <c:idx val="1"/>
          <c:order val="1"/>
          <c:tx>
            <c:strRef>
              <c:f>'Occ F2'!$L$17</c:f>
              <c:strCache>
                <c:ptCount val="1"/>
                <c:pt idx="0">
                  <c:v>32 Health and social care associate professionals</c:v>
                </c:pt>
              </c:strCache>
            </c:strRef>
          </c:tx>
          <c:spPr>
            <a:solidFill>
              <a:schemeClr val="tx1">
                <a:lumMod val="75000"/>
                <a:lumOff val="25000"/>
              </a:schemeClr>
            </a:solidFill>
            <a:ln w="12700">
              <a:solidFill>
                <a:srgbClr val="000000"/>
              </a:solidFill>
              <a:prstDash val="solid"/>
            </a:ln>
          </c:spP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F2'!$M$17:$AL$17</c:f>
              <c:numCache>
                <c:formatCode>#,##0</c:formatCode>
                <c:ptCount val="26"/>
                <c:pt idx="0">
                  <c:v>7.0328000313434522</c:v>
                </c:pt>
                <c:pt idx="1">
                  <c:v>8.9567277951979758</c:v>
                </c:pt>
                <c:pt idx="2">
                  <c:v>8.5214861996522107</c:v>
                </c:pt>
                <c:pt idx="3">
                  <c:v>8.0166026815317135</c:v>
                </c:pt>
                <c:pt idx="4">
                  <c:v>8.5033026710342341</c:v>
                </c:pt>
                <c:pt idx="5">
                  <c:v>8.4794949970886488</c:v>
                </c:pt>
                <c:pt idx="6">
                  <c:v>8.6583732406822289</c:v>
                </c:pt>
                <c:pt idx="7">
                  <c:v>8.9383630478753666</c:v>
                </c:pt>
                <c:pt idx="8">
                  <c:v>9.669700290725272</c:v>
                </c:pt>
                <c:pt idx="9">
                  <c:v>9.6209059892435427</c:v>
                </c:pt>
                <c:pt idx="10">
                  <c:v>9.8334636122958532</c:v>
                </c:pt>
                <c:pt idx="11">
                  <c:v>14.385192407051289</c:v>
                </c:pt>
                <c:pt idx="12">
                  <c:v>14.627125118254314</c:v>
                </c:pt>
                <c:pt idx="13">
                  <c:v>14.90944646087069</c:v>
                </c:pt>
                <c:pt idx="14">
                  <c:v>15.202837560894331</c:v>
                </c:pt>
                <c:pt idx="15">
                  <c:v>15.479455893129849</c:v>
                </c:pt>
                <c:pt idx="16">
                  <c:v>15.741178170784529</c:v>
                </c:pt>
                <c:pt idx="17">
                  <c:v>16.004699435401676</c:v>
                </c:pt>
                <c:pt idx="18">
                  <c:v>16.255619432893528</c:v>
                </c:pt>
                <c:pt idx="19">
                  <c:v>16.515204861986192</c:v>
                </c:pt>
                <c:pt idx="20">
                  <c:v>16.800683541253576</c:v>
                </c:pt>
                <c:pt idx="21">
                  <c:v>17.096847596832372</c:v>
                </c:pt>
                <c:pt idx="22">
                  <c:v>17.369119939313173</c:v>
                </c:pt>
                <c:pt idx="23">
                  <c:v>17.633997439763053</c:v>
                </c:pt>
                <c:pt idx="24">
                  <c:v>17.9020850582618</c:v>
                </c:pt>
                <c:pt idx="25">
                  <c:v>18.168057244041023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1009-4252-A8BB-3F6EBC820C2C}"/>
            </c:ext>
          </c:extLst>
        </c:ser>
        <c:ser>
          <c:idx val="2"/>
          <c:order val="2"/>
          <c:tx>
            <c:strRef>
              <c:f>'Occ F2'!$L$18</c:f>
              <c:strCache>
                <c:ptCount val="1"/>
                <c:pt idx="0">
                  <c:v>33 Protective service occupations</c:v>
                </c:pt>
              </c:strCache>
            </c:strRef>
          </c:tx>
          <c:spPr>
            <a:solidFill>
              <a:schemeClr val="tx1">
                <a:lumMod val="50000"/>
                <a:lumOff val="50000"/>
              </a:schemeClr>
            </a:solidFill>
            <a:ln w="12700">
              <a:solidFill>
                <a:srgbClr val="000000"/>
              </a:solidFill>
              <a:prstDash val="solid"/>
            </a:ln>
          </c:spP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F2'!$M$18:$AL$18</c:f>
              <c:numCache>
                <c:formatCode>#,##0</c:formatCode>
                <c:ptCount val="26"/>
                <c:pt idx="0">
                  <c:v>5.4005664419396124</c:v>
                </c:pt>
                <c:pt idx="1">
                  <c:v>5.7496853493878808</c:v>
                </c:pt>
                <c:pt idx="2">
                  <c:v>5.5031327570420281</c:v>
                </c:pt>
                <c:pt idx="3">
                  <c:v>5.1883694028971821</c:v>
                </c:pt>
                <c:pt idx="4">
                  <c:v>5.6197702267841576</c:v>
                </c:pt>
                <c:pt idx="5">
                  <c:v>5.4562316961422113</c:v>
                </c:pt>
                <c:pt idx="6">
                  <c:v>5.7763741229156915</c:v>
                </c:pt>
                <c:pt idx="7">
                  <c:v>5.327020943131072</c:v>
                </c:pt>
                <c:pt idx="8">
                  <c:v>5.4987201052088981</c:v>
                </c:pt>
                <c:pt idx="9">
                  <c:v>5.4434429140666705</c:v>
                </c:pt>
                <c:pt idx="10">
                  <c:v>5.7259729012338703</c:v>
                </c:pt>
                <c:pt idx="11">
                  <c:v>4.746567075661126</c:v>
                </c:pt>
                <c:pt idx="12">
                  <c:v>4.7946000507767055</c:v>
                </c:pt>
                <c:pt idx="13">
                  <c:v>4.8431930870696629</c:v>
                </c:pt>
                <c:pt idx="14">
                  <c:v>4.9048172013794691</c:v>
                </c:pt>
                <c:pt idx="15">
                  <c:v>4.9464339165450673</c:v>
                </c:pt>
                <c:pt idx="16">
                  <c:v>4.9816840485060574</c:v>
                </c:pt>
                <c:pt idx="17">
                  <c:v>5.0157832860997287</c:v>
                </c:pt>
                <c:pt idx="18">
                  <c:v>5.0418581810068108</c:v>
                </c:pt>
                <c:pt idx="19">
                  <c:v>5.075494578870523</c:v>
                </c:pt>
                <c:pt idx="20">
                  <c:v>5.09953135738568</c:v>
                </c:pt>
                <c:pt idx="21">
                  <c:v>5.1193645028696197</c:v>
                </c:pt>
                <c:pt idx="22">
                  <c:v>5.1333589801330817</c:v>
                </c:pt>
                <c:pt idx="23">
                  <c:v>5.1670036315538761</c:v>
                </c:pt>
                <c:pt idx="24">
                  <c:v>5.1918063705100028</c:v>
                </c:pt>
                <c:pt idx="25">
                  <c:v>5.2269699614146221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1009-4252-A8BB-3F6EBC820C2C}"/>
            </c:ext>
          </c:extLst>
        </c:ser>
        <c:ser>
          <c:idx val="3"/>
          <c:order val="3"/>
          <c:tx>
            <c:strRef>
              <c:f>'Occ F2'!$L$19</c:f>
              <c:strCache>
                <c:ptCount val="1"/>
                <c:pt idx="0">
                  <c:v>34 Culture, media and sports occupations</c:v>
                </c:pt>
              </c:strCache>
            </c:strRef>
          </c:tx>
          <c:spPr>
            <a:solidFill>
              <a:schemeClr val="bg1">
                <a:lumMod val="65000"/>
              </a:schemeClr>
            </a:solidFill>
            <a:ln w="12700">
              <a:solidFill>
                <a:srgbClr val="000000"/>
              </a:solidFill>
              <a:prstDash val="solid"/>
            </a:ln>
          </c:spP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F2'!$M$19:$AL$19</c:f>
              <c:numCache>
                <c:formatCode>#,##0</c:formatCode>
                <c:ptCount val="26"/>
                <c:pt idx="0">
                  <c:v>4.646254740962191</c:v>
                </c:pt>
                <c:pt idx="1">
                  <c:v>5.9032291087832158</c:v>
                </c:pt>
                <c:pt idx="2">
                  <c:v>5.760524875108648</c:v>
                </c:pt>
                <c:pt idx="3">
                  <c:v>5.3708886314174871</c:v>
                </c:pt>
                <c:pt idx="4">
                  <c:v>5.6333456975662051</c:v>
                </c:pt>
                <c:pt idx="5">
                  <c:v>6.3591490193584974</c:v>
                </c:pt>
                <c:pt idx="6">
                  <c:v>6.3103650904246944</c:v>
                </c:pt>
                <c:pt idx="7">
                  <c:v>7.3883895473419647</c:v>
                </c:pt>
                <c:pt idx="8">
                  <c:v>6.489460463628526</c:v>
                </c:pt>
                <c:pt idx="9">
                  <c:v>6.4279469411592771</c:v>
                </c:pt>
                <c:pt idx="10">
                  <c:v>6.6380728933527591</c:v>
                </c:pt>
                <c:pt idx="11">
                  <c:v>5.624240050754759</c:v>
                </c:pt>
                <c:pt idx="12">
                  <c:v>5.542252309964586</c:v>
                </c:pt>
                <c:pt idx="13">
                  <c:v>5.5419956024828609</c:v>
                </c:pt>
                <c:pt idx="14">
                  <c:v>5.5904009755983903</c:v>
                </c:pt>
                <c:pt idx="15">
                  <c:v>5.6290627564795095</c:v>
                </c:pt>
                <c:pt idx="16">
                  <c:v>5.66088191271065</c:v>
                </c:pt>
                <c:pt idx="17">
                  <c:v>5.6867188472526529</c:v>
                </c:pt>
                <c:pt idx="18">
                  <c:v>5.7171951678424913</c:v>
                </c:pt>
                <c:pt idx="19">
                  <c:v>5.7496196103103498</c:v>
                </c:pt>
                <c:pt idx="20">
                  <c:v>5.7844079429728099</c:v>
                </c:pt>
                <c:pt idx="21">
                  <c:v>5.8273751260002866</c:v>
                </c:pt>
                <c:pt idx="22">
                  <c:v>5.8589446105543566</c:v>
                </c:pt>
                <c:pt idx="23">
                  <c:v>5.8886081803950798</c:v>
                </c:pt>
                <c:pt idx="24">
                  <c:v>5.9196145049051028</c:v>
                </c:pt>
                <c:pt idx="25">
                  <c:v>5.9511053070607982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1009-4252-A8BB-3F6EBC820C2C}"/>
            </c:ext>
          </c:extLst>
        </c:ser>
        <c:ser>
          <c:idx val="4"/>
          <c:order val="4"/>
          <c:tx>
            <c:strRef>
              <c:f>'Occ F2'!$L$20</c:f>
              <c:strCache>
                <c:ptCount val="1"/>
                <c:pt idx="0">
                  <c:v>35 Business and public service associate professionals</c:v>
                </c:pt>
              </c:strCache>
            </c:strRef>
          </c:tx>
          <c:spPr>
            <a:solidFill>
              <a:schemeClr val="bg1">
                <a:lumMod val="85000"/>
              </a:schemeClr>
            </a:solidFill>
          </c:spP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F2'!$M$20:$AL$20</c:f>
              <c:numCache>
                <c:formatCode>#,##0</c:formatCode>
                <c:ptCount val="26"/>
                <c:pt idx="0">
                  <c:v>25.954275655474362</c:v>
                </c:pt>
                <c:pt idx="1">
                  <c:v>24.281515859168721</c:v>
                </c:pt>
                <c:pt idx="2">
                  <c:v>24.475103570303101</c:v>
                </c:pt>
                <c:pt idx="3">
                  <c:v>23.76452359402613</c:v>
                </c:pt>
                <c:pt idx="4">
                  <c:v>26.005503229512659</c:v>
                </c:pt>
                <c:pt idx="5">
                  <c:v>25.75319846854515</c:v>
                </c:pt>
                <c:pt idx="6">
                  <c:v>25.749004697337845</c:v>
                </c:pt>
                <c:pt idx="7">
                  <c:v>27.265947603883578</c:v>
                </c:pt>
                <c:pt idx="8">
                  <c:v>26.779697372579083</c:v>
                </c:pt>
                <c:pt idx="9">
                  <c:v>27.23539492947214</c:v>
                </c:pt>
                <c:pt idx="10">
                  <c:v>29.028822308415432</c:v>
                </c:pt>
                <c:pt idx="11">
                  <c:v>28.218389962419803</c:v>
                </c:pt>
                <c:pt idx="12">
                  <c:v>28.357666969723887</c:v>
                </c:pt>
                <c:pt idx="13">
                  <c:v>28.530550064037818</c:v>
                </c:pt>
                <c:pt idx="14">
                  <c:v>28.750830159978712</c:v>
                </c:pt>
                <c:pt idx="15">
                  <c:v>28.911520327967629</c:v>
                </c:pt>
                <c:pt idx="16">
                  <c:v>29.061389605827994</c:v>
                </c:pt>
                <c:pt idx="17">
                  <c:v>29.193499395716891</c:v>
                </c:pt>
                <c:pt idx="18">
                  <c:v>29.315832871275394</c:v>
                </c:pt>
                <c:pt idx="19">
                  <c:v>29.437153637137268</c:v>
                </c:pt>
                <c:pt idx="20">
                  <c:v>29.569182648618543</c:v>
                </c:pt>
                <c:pt idx="21">
                  <c:v>29.704617948772928</c:v>
                </c:pt>
                <c:pt idx="22">
                  <c:v>29.837937882772213</c:v>
                </c:pt>
                <c:pt idx="23">
                  <c:v>29.981180066331127</c:v>
                </c:pt>
                <c:pt idx="24">
                  <c:v>30.133295460604216</c:v>
                </c:pt>
                <c:pt idx="25">
                  <c:v>30.293882438366261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1009-4252-A8BB-3F6EBC820C2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13972920"/>
        <c:axId val="313973312"/>
      </c:areaChart>
      <c:catAx>
        <c:axId val="313972920"/>
        <c:scaling>
          <c:orientation val="minMax"/>
        </c:scaling>
        <c:delete val="0"/>
        <c:axPos val="b"/>
        <c:numFmt formatCode="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-540000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13973312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313973312"/>
        <c:scaling>
          <c:orientation val="minMax"/>
          <c:min val="0"/>
        </c:scaling>
        <c:delete val="0"/>
        <c:axPos val="l"/>
        <c:title>
          <c:tx>
            <c:rich>
              <a:bodyPr rot="0" vert="horz"/>
              <a:lstStyle/>
              <a:p>
                <a:pPr algn="l"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GB"/>
                  <a:t>thousands</a:t>
                </a:r>
              </a:p>
            </c:rich>
          </c:tx>
          <c:layout>
            <c:manualLayout>
              <c:xMode val="edge"/>
              <c:yMode val="edge"/>
              <c:x val="6.3451776649747034E-3"/>
              <c:y val="9.1575255364398228E-3"/>
            </c:manualLayout>
          </c:layout>
          <c:overlay val="0"/>
          <c:spPr>
            <a:noFill/>
            <a:ln w="25400">
              <a:noFill/>
            </a:ln>
          </c:spPr>
        </c:title>
        <c:numFmt formatCode="#,##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75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13972920"/>
        <c:crosses val="autoZero"/>
        <c:crossBetween val="midCat"/>
      </c:valAx>
      <c:spPr>
        <a:noFill/>
        <a:ln w="12700">
          <a:solidFill>
            <a:srgbClr val="808080"/>
          </a:solidFill>
          <a:prstDash val="solid"/>
        </a:ln>
      </c:spPr>
    </c:plotArea>
    <c:legend>
      <c:legendPos val="b"/>
      <c:layout>
        <c:manualLayout>
          <c:xMode val="edge"/>
          <c:yMode val="edge"/>
          <c:x val="4.1148813232878253E-3"/>
          <c:y val="0.89011570559668052"/>
          <c:w val="0.98572853805885341"/>
          <c:h val="9.072261775661275E-2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965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legend>
    <c:plotVisOnly val="1"/>
    <c:dispBlanksAs val="zero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105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000000000001465" r="0.75000000000001465" t="1" header="0.5" footer="0.5"/>
    <c:pageSetup/>
  </c:printSettings>
</c:chartSpace>
</file>

<file path=xl/charts/chart1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7.3417766896859499E-2"/>
          <c:y val="6.5573887134788983E-2"/>
          <c:w val="0.88101320276229866"/>
          <c:h val="0.74458099825073987"/>
        </c:manualLayout>
      </c:layout>
      <c:areaChart>
        <c:grouping val="stacked"/>
        <c:varyColors val="0"/>
        <c:ser>
          <c:idx val="1"/>
          <c:order val="0"/>
          <c:tx>
            <c:strRef>
              <c:f>'Occ F2'!$L$23</c:f>
              <c:strCache>
                <c:ptCount val="1"/>
                <c:pt idx="0">
                  <c:v>41 Administrative occupations</c:v>
                </c:pt>
              </c:strCache>
            </c:strRef>
          </c:tx>
          <c:spPr>
            <a:solidFill>
              <a:schemeClr val="tx1">
                <a:lumMod val="50000"/>
                <a:lumOff val="50000"/>
              </a:schemeClr>
            </a:solidFill>
            <a:ln w="12700">
              <a:solidFill>
                <a:srgbClr val="000000"/>
              </a:solidFill>
              <a:prstDash val="solid"/>
            </a:ln>
          </c:spP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F2'!$M$23:$AL$23</c:f>
              <c:numCache>
                <c:formatCode>#,##0</c:formatCode>
                <c:ptCount val="26"/>
                <c:pt idx="0">
                  <c:v>39.719436543854243</c:v>
                </c:pt>
                <c:pt idx="1">
                  <c:v>40.775334447837956</c:v>
                </c:pt>
                <c:pt idx="2">
                  <c:v>39.90479792280329</c:v>
                </c:pt>
                <c:pt idx="3">
                  <c:v>38.730500806746576</c:v>
                </c:pt>
                <c:pt idx="4">
                  <c:v>40.471415936775841</c:v>
                </c:pt>
                <c:pt idx="5">
                  <c:v>41.363649282321632</c:v>
                </c:pt>
                <c:pt idx="6">
                  <c:v>39.778933448069438</c:v>
                </c:pt>
                <c:pt idx="7">
                  <c:v>42.419182863801211</c:v>
                </c:pt>
                <c:pt idx="8">
                  <c:v>41.118529742029708</c:v>
                </c:pt>
                <c:pt idx="9">
                  <c:v>40.242010662428157</c:v>
                </c:pt>
                <c:pt idx="10">
                  <c:v>42.015488739913941</c:v>
                </c:pt>
                <c:pt idx="11">
                  <c:v>42.675563047955649</c:v>
                </c:pt>
                <c:pt idx="12">
                  <c:v>42.579719563606673</c:v>
                </c:pt>
                <c:pt idx="13">
                  <c:v>42.548624833721107</c:v>
                </c:pt>
                <c:pt idx="14">
                  <c:v>42.615427484132169</c:v>
                </c:pt>
                <c:pt idx="15">
                  <c:v>42.577492293785532</c:v>
                </c:pt>
                <c:pt idx="16">
                  <c:v>42.534678354968598</c:v>
                </c:pt>
                <c:pt idx="17">
                  <c:v>42.47547967859051</c:v>
                </c:pt>
                <c:pt idx="18">
                  <c:v>42.380132606161453</c:v>
                </c:pt>
                <c:pt idx="19">
                  <c:v>42.287833005842984</c:v>
                </c:pt>
                <c:pt idx="20">
                  <c:v>42.220749530877946</c:v>
                </c:pt>
                <c:pt idx="21">
                  <c:v>42.1542867634953</c:v>
                </c:pt>
                <c:pt idx="22">
                  <c:v>42.080038121558736</c:v>
                </c:pt>
                <c:pt idx="23">
                  <c:v>42.004120027381703</c:v>
                </c:pt>
                <c:pt idx="24">
                  <c:v>41.911205631043877</c:v>
                </c:pt>
                <c:pt idx="25">
                  <c:v>41.789015266300716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B7B2-4194-831E-E9E810E854CB}"/>
            </c:ext>
          </c:extLst>
        </c:ser>
        <c:ser>
          <c:idx val="2"/>
          <c:order val="1"/>
          <c:tx>
            <c:strRef>
              <c:f>'Occ F2'!$L$24</c:f>
              <c:strCache>
                <c:ptCount val="1"/>
                <c:pt idx="0">
                  <c:v>42 Secretarial and related occupations</c:v>
                </c:pt>
              </c:strCache>
            </c:strRef>
          </c:tx>
          <c:spPr>
            <a:solidFill>
              <a:schemeClr val="bg1">
                <a:lumMod val="75000"/>
              </a:schemeClr>
            </a:solidFill>
            <a:ln w="12700">
              <a:solidFill>
                <a:srgbClr val="000000"/>
              </a:solidFill>
              <a:prstDash val="solid"/>
            </a:ln>
          </c:spP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F2'!$M$24:$AL$24</c:f>
              <c:numCache>
                <c:formatCode>#,##0</c:formatCode>
                <c:ptCount val="26"/>
                <c:pt idx="0">
                  <c:v>11.499062377083744</c:v>
                </c:pt>
                <c:pt idx="1">
                  <c:v>10.860353507490281</c:v>
                </c:pt>
                <c:pt idx="2">
                  <c:v>10.320356799056519</c:v>
                </c:pt>
                <c:pt idx="3">
                  <c:v>10.846918474667911</c:v>
                </c:pt>
                <c:pt idx="4">
                  <c:v>10.737490860694706</c:v>
                </c:pt>
                <c:pt idx="5">
                  <c:v>10.002761162761342</c:v>
                </c:pt>
                <c:pt idx="6">
                  <c:v>9.4835060931502024</c:v>
                </c:pt>
                <c:pt idx="7">
                  <c:v>10.186184262634056</c:v>
                </c:pt>
                <c:pt idx="8">
                  <c:v>10.218725007268075</c:v>
                </c:pt>
                <c:pt idx="9">
                  <c:v>9.3039196961606603</c:v>
                </c:pt>
                <c:pt idx="10">
                  <c:v>9.1366516721423405</c:v>
                </c:pt>
                <c:pt idx="11">
                  <c:v>8.9848537032486497</c:v>
                </c:pt>
                <c:pt idx="12">
                  <c:v>8.8337742012770715</c:v>
                </c:pt>
                <c:pt idx="13">
                  <c:v>8.6950043913494195</c:v>
                </c:pt>
                <c:pt idx="14">
                  <c:v>8.5948190627831824</c:v>
                </c:pt>
                <c:pt idx="15">
                  <c:v>8.452475581117131</c:v>
                </c:pt>
                <c:pt idx="16">
                  <c:v>8.2884700861335929</c:v>
                </c:pt>
                <c:pt idx="17">
                  <c:v>8.1247364942390039</c:v>
                </c:pt>
                <c:pt idx="18">
                  <c:v>7.9870672828866764</c:v>
                </c:pt>
                <c:pt idx="19">
                  <c:v>7.8083182435002021</c:v>
                </c:pt>
                <c:pt idx="20">
                  <c:v>7.5612027234997301</c:v>
                </c:pt>
                <c:pt idx="21">
                  <c:v>7.2628142871198431</c:v>
                </c:pt>
                <c:pt idx="22">
                  <c:v>7.0652016396853368</c:v>
                </c:pt>
                <c:pt idx="23">
                  <c:v>6.8488082892772146</c:v>
                </c:pt>
                <c:pt idx="24">
                  <c:v>6.6283464931642762</c:v>
                </c:pt>
                <c:pt idx="25">
                  <c:v>6.3876110230235232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B7B2-4194-831E-E9E810E854C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13974096"/>
        <c:axId val="315371928"/>
      </c:areaChart>
      <c:catAx>
        <c:axId val="313974096"/>
        <c:scaling>
          <c:orientation val="minMax"/>
        </c:scaling>
        <c:delete val="0"/>
        <c:axPos val="b"/>
        <c:numFmt formatCode="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-540000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15371928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315371928"/>
        <c:scaling>
          <c:orientation val="minMax"/>
          <c:min val="0"/>
        </c:scaling>
        <c:delete val="0"/>
        <c:axPos val="l"/>
        <c:title>
          <c:tx>
            <c:rich>
              <a:bodyPr rot="0" vert="horz"/>
              <a:lstStyle/>
              <a:p>
                <a:pPr algn="l"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GB"/>
                  <a:t>thousands</a:t>
                </a:r>
              </a:p>
            </c:rich>
          </c:tx>
          <c:layout>
            <c:manualLayout>
              <c:xMode val="edge"/>
              <c:yMode val="edge"/>
              <c:x val="6.3291178359361714E-3"/>
              <c:y val="9.1074843242764068E-3"/>
            </c:manualLayout>
          </c:layout>
          <c:overlay val="0"/>
          <c:spPr>
            <a:noFill/>
            <a:ln w="25400">
              <a:noFill/>
            </a:ln>
          </c:spPr>
        </c:title>
        <c:numFmt formatCode="#,##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75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13974096"/>
        <c:crosses val="autoZero"/>
        <c:crossBetween val="midCat"/>
      </c:valAx>
      <c:spPr>
        <a:noFill/>
        <a:ln w="12700">
          <a:solidFill>
            <a:srgbClr val="808080"/>
          </a:solidFill>
          <a:prstDash val="solid"/>
        </a:ln>
      </c:spPr>
    </c:plotArea>
    <c:legend>
      <c:legendPos val="b"/>
      <c:layout>
        <c:manualLayout>
          <c:xMode val="edge"/>
          <c:yMode val="edge"/>
          <c:x val="3.1846802511172591E-2"/>
          <c:y val="0.91216406466166122"/>
          <c:w val="0.9236807033411365"/>
          <c:h val="5.4482748917850425E-2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965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legend>
    <c:plotVisOnly val="1"/>
    <c:dispBlanksAs val="zero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105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000000000001465" r="0.75000000000001465" t="1" header="0.5" footer="0.5"/>
    <c:pageSetup/>
  </c:printSettings>
</c:chartSpace>
</file>

<file path=xl/charts/chart1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7.4873096446700524E-2"/>
          <c:y val="6.5693430656934934E-2"/>
          <c:w val="0.89593908629441665"/>
          <c:h val="0.79379562043795615"/>
        </c:manualLayout>
      </c:layout>
      <c:areaChart>
        <c:grouping val="stacked"/>
        <c:varyColors val="0"/>
        <c:ser>
          <c:idx val="1"/>
          <c:order val="0"/>
          <c:tx>
            <c:strRef>
              <c:f>'Occ F2'!$L$27</c:f>
              <c:strCache>
                <c:ptCount val="1"/>
                <c:pt idx="0">
                  <c:v>51 Skilled agricultural and related trades</c:v>
                </c:pt>
              </c:strCache>
            </c:strRef>
          </c:tx>
          <c:spPr>
            <a:solidFill>
              <a:schemeClr val="tx1"/>
            </a:solidFill>
            <a:ln w="12700">
              <a:solidFill>
                <a:srgbClr val="000000"/>
              </a:solidFill>
              <a:prstDash val="solid"/>
            </a:ln>
          </c:spP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F2'!$M$27:$AL$27</c:f>
              <c:numCache>
                <c:formatCode>#,##0</c:formatCode>
                <c:ptCount val="26"/>
                <c:pt idx="0">
                  <c:v>8.3044106928676023</c:v>
                </c:pt>
                <c:pt idx="1">
                  <c:v>11.239013645105103</c:v>
                </c:pt>
                <c:pt idx="2">
                  <c:v>11.206329954202008</c:v>
                </c:pt>
                <c:pt idx="3">
                  <c:v>9.2938648458100879</c:v>
                </c:pt>
                <c:pt idx="4">
                  <c:v>8.064423463956329</c:v>
                </c:pt>
                <c:pt idx="5">
                  <c:v>8.9526980313788851</c:v>
                </c:pt>
                <c:pt idx="6">
                  <c:v>9.7353991269067972</c:v>
                </c:pt>
                <c:pt idx="7">
                  <c:v>10.552601243394236</c:v>
                </c:pt>
                <c:pt idx="8">
                  <c:v>9.2652940192855393</c:v>
                </c:pt>
                <c:pt idx="9">
                  <c:v>8.610293929416617</c:v>
                </c:pt>
                <c:pt idx="10">
                  <c:v>10.053463363622607</c:v>
                </c:pt>
                <c:pt idx="11">
                  <c:v>9.4312796106522168</c:v>
                </c:pt>
                <c:pt idx="12">
                  <c:v>9.3865015369413101</c:v>
                </c:pt>
                <c:pt idx="13">
                  <c:v>9.3619704177350815</c:v>
                </c:pt>
                <c:pt idx="14">
                  <c:v>9.3479027693064456</c:v>
                </c:pt>
                <c:pt idx="15">
                  <c:v>9.3251742602478878</c:v>
                </c:pt>
                <c:pt idx="16">
                  <c:v>9.2941755786827542</c:v>
                </c:pt>
                <c:pt idx="17">
                  <c:v>9.2478887518657995</c:v>
                </c:pt>
                <c:pt idx="18">
                  <c:v>9.2288132244113097</c:v>
                </c:pt>
                <c:pt idx="19">
                  <c:v>9.2264515798229692</c:v>
                </c:pt>
                <c:pt idx="20">
                  <c:v>9.227350687657319</c:v>
                </c:pt>
                <c:pt idx="21">
                  <c:v>9.2282032335097259</c:v>
                </c:pt>
                <c:pt idx="22">
                  <c:v>9.228232423833278</c:v>
                </c:pt>
                <c:pt idx="23">
                  <c:v>9.2358920288454911</c:v>
                </c:pt>
                <c:pt idx="24">
                  <c:v>9.2426659440507617</c:v>
                </c:pt>
                <c:pt idx="25">
                  <c:v>9.2499649150386745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0E9E-4BB9-B42D-40A8655AC298}"/>
            </c:ext>
          </c:extLst>
        </c:ser>
        <c:ser>
          <c:idx val="2"/>
          <c:order val="1"/>
          <c:tx>
            <c:strRef>
              <c:f>'Occ F2'!$L$28</c:f>
              <c:strCache>
                <c:ptCount val="1"/>
                <c:pt idx="0">
                  <c:v>52 Skilled metal, electrical and electronic trades</c:v>
                </c:pt>
              </c:strCache>
            </c:strRef>
          </c:tx>
          <c:spPr>
            <a:solidFill>
              <a:schemeClr val="tx1">
                <a:lumMod val="75000"/>
                <a:lumOff val="25000"/>
              </a:schemeClr>
            </a:solidFill>
            <a:ln w="12700">
              <a:solidFill>
                <a:srgbClr val="000000"/>
              </a:solidFill>
              <a:prstDash val="solid"/>
            </a:ln>
          </c:spP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F2'!$M$28:$AL$28</c:f>
              <c:numCache>
                <c:formatCode>#,##0</c:formatCode>
                <c:ptCount val="26"/>
                <c:pt idx="0">
                  <c:v>20.065425593148056</c:v>
                </c:pt>
                <c:pt idx="1">
                  <c:v>20.84262936150779</c:v>
                </c:pt>
                <c:pt idx="2">
                  <c:v>20.099650045326396</c:v>
                </c:pt>
                <c:pt idx="3">
                  <c:v>18.852042687549449</c:v>
                </c:pt>
                <c:pt idx="4">
                  <c:v>21.669018989207544</c:v>
                </c:pt>
                <c:pt idx="5">
                  <c:v>21.170991389265154</c:v>
                </c:pt>
                <c:pt idx="6">
                  <c:v>20.701769773925278</c:v>
                </c:pt>
                <c:pt idx="7">
                  <c:v>21.473844989777568</c:v>
                </c:pt>
                <c:pt idx="8">
                  <c:v>20.352959540926467</c:v>
                </c:pt>
                <c:pt idx="9">
                  <c:v>20.612383160737192</c:v>
                </c:pt>
                <c:pt idx="10">
                  <c:v>18.255539317999588</c:v>
                </c:pt>
                <c:pt idx="11">
                  <c:v>18.226868090357332</c:v>
                </c:pt>
                <c:pt idx="12">
                  <c:v>18.074280576562199</c:v>
                </c:pt>
                <c:pt idx="13">
                  <c:v>17.904849439540037</c:v>
                </c:pt>
                <c:pt idx="14">
                  <c:v>17.788506089151962</c:v>
                </c:pt>
                <c:pt idx="15">
                  <c:v>17.667412211289474</c:v>
                </c:pt>
                <c:pt idx="16">
                  <c:v>17.541300769883343</c:v>
                </c:pt>
                <c:pt idx="17">
                  <c:v>17.407576461983233</c:v>
                </c:pt>
                <c:pt idx="18">
                  <c:v>17.277950442716371</c:v>
                </c:pt>
                <c:pt idx="19">
                  <c:v>17.148288840962621</c:v>
                </c:pt>
                <c:pt idx="20">
                  <c:v>17.024414337712798</c:v>
                </c:pt>
                <c:pt idx="21">
                  <c:v>16.896211143685701</c:v>
                </c:pt>
                <c:pt idx="22">
                  <c:v>16.766866593243176</c:v>
                </c:pt>
                <c:pt idx="23">
                  <c:v>16.640423110721137</c:v>
                </c:pt>
                <c:pt idx="24">
                  <c:v>16.511961022987453</c:v>
                </c:pt>
                <c:pt idx="25">
                  <c:v>16.386563901960127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0E9E-4BB9-B42D-40A8655AC298}"/>
            </c:ext>
          </c:extLst>
        </c:ser>
        <c:ser>
          <c:idx val="0"/>
          <c:order val="2"/>
          <c:tx>
            <c:strRef>
              <c:f>'Occ F2'!$L$29</c:f>
              <c:strCache>
                <c:ptCount val="1"/>
                <c:pt idx="0">
                  <c:v>53 Skilled construction and building trades</c:v>
                </c:pt>
              </c:strCache>
            </c:strRef>
          </c:tx>
          <c:spPr>
            <a:solidFill>
              <a:schemeClr val="tx1">
                <a:lumMod val="50000"/>
                <a:lumOff val="50000"/>
              </a:schemeClr>
            </a:solidFill>
          </c:spP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F2'!$M$29:$AL$29</c:f>
              <c:numCache>
                <c:formatCode>#,##0</c:formatCode>
                <c:ptCount val="26"/>
                <c:pt idx="0">
                  <c:v>15.612698009700015</c:v>
                </c:pt>
                <c:pt idx="1">
                  <c:v>15.712486818972666</c:v>
                </c:pt>
                <c:pt idx="2">
                  <c:v>15.514959165937693</c:v>
                </c:pt>
                <c:pt idx="3">
                  <c:v>13.737203086520738</c:v>
                </c:pt>
                <c:pt idx="4">
                  <c:v>15.361042833002506</c:v>
                </c:pt>
                <c:pt idx="5">
                  <c:v>14.47344054106075</c:v>
                </c:pt>
                <c:pt idx="6">
                  <c:v>14.823978808058117</c:v>
                </c:pt>
                <c:pt idx="7">
                  <c:v>15.395861442781543</c:v>
                </c:pt>
                <c:pt idx="8">
                  <c:v>14.653702785786555</c:v>
                </c:pt>
                <c:pt idx="9">
                  <c:v>13.659114038381423</c:v>
                </c:pt>
                <c:pt idx="10">
                  <c:v>11.165279435266021</c:v>
                </c:pt>
                <c:pt idx="11">
                  <c:v>11.445187226597628</c:v>
                </c:pt>
                <c:pt idx="12">
                  <c:v>11.233714265748119</c:v>
                </c:pt>
                <c:pt idx="13">
                  <c:v>11.033465516067542</c:v>
                </c:pt>
                <c:pt idx="14">
                  <c:v>10.874717530402432</c:v>
                </c:pt>
                <c:pt idx="15">
                  <c:v>10.730291669143234</c:v>
                </c:pt>
                <c:pt idx="16">
                  <c:v>10.584331714042538</c:v>
                </c:pt>
                <c:pt idx="17">
                  <c:v>10.429767559361679</c:v>
                </c:pt>
                <c:pt idx="18">
                  <c:v>10.273184404242881</c:v>
                </c:pt>
                <c:pt idx="19">
                  <c:v>10.114758797411389</c:v>
                </c:pt>
                <c:pt idx="20">
                  <c:v>9.9578332452795486</c:v>
                </c:pt>
                <c:pt idx="21">
                  <c:v>9.8045424307636324</c:v>
                </c:pt>
                <c:pt idx="22">
                  <c:v>9.6552740301844509</c:v>
                </c:pt>
                <c:pt idx="23">
                  <c:v>9.5071162141443235</c:v>
                </c:pt>
                <c:pt idx="24">
                  <c:v>9.3585454417822636</c:v>
                </c:pt>
                <c:pt idx="25">
                  <c:v>9.210750202713653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0E9E-4BB9-B42D-40A8655AC298}"/>
            </c:ext>
          </c:extLst>
        </c:ser>
        <c:ser>
          <c:idx val="3"/>
          <c:order val="3"/>
          <c:tx>
            <c:strRef>
              <c:f>'Occ F2'!$L$30</c:f>
              <c:strCache>
                <c:ptCount val="1"/>
                <c:pt idx="0">
                  <c:v>54 Textiles, printing and other skilled trades</c:v>
                </c:pt>
              </c:strCache>
            </c:strRef>
          </c:tx>
          <c:spPr>
            <a:solidFill>
              <a:schemeClr val="bg1">
                <a:lumMod val="65000"/>
              </a:schemeClr>
            </a:solidFill>
          </c:spP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F2'!$M$30:$AL$30</c:f>
              <c:numCache>
                <c:formatCode>#,##0</c:formatCode>
                <c:ptCount val="26"/>
                <c:pt idx="0">
                  <c:v>9.9154096168490398</c:v>
                </c:pt>
                <c:pt idx="1">
                  <c:v>10.235409879450255</c:v>
                </c:pt>
                <c:pt idx="2">
                  <c:v>10.144863269407033</c:v>
                </c:pt>
                <c:pt idx="3">
                  <c:v>10.151040641579096</c:v>
                </c:pt>
                <c:pt idx="4">
                  <c:v>10.0993155620599</c:v>
                </c:pt>
                <c:pt idx="5">
                  <c:v>10.974938041399668</c:v>
                </c:pt>
                <c:pt idx="6">
                  <c:v>10.821732149766735</c:v>
                </c:pt>
                <c:pt idx="7">
                  <c:v>10.919912936984879</c:v>
                </c:pt>
                <c:pt idx="8">
                  <c:v>10.306511121849068</c:v>
                </c:pt>
                <c:pt idx="9">
                  <c:v>9.3555248091092658</c:v>
                </c:pt>
                <c:pt idx="10">
                  <c:v>9.0586588304949736</c:v>
                </c:pt>
                <c:pt idx="11">
                  <c:v>9.3021386393870475</c:v>
                </c:pt>
                <c:pt idx="12">
                  <c:v>9.2304973297509996</c:v>
                </c:pt>
                <c:pt idx="13">
                  <c:v>9.1611914077752186</c:v>
                </c:pt>
                <c:pt idx="14">
                  <c:v>9.1153515886294496</c:v>
                </c:pt>
                <c:pt idx="15">
                  <c:v>9.0672206610629029</c:v>
                </c:pt>
                <c:pt idx="16">
                  <c:v>9.0166895061892074</c:v>
                </c:pt>
                <c:pt idx="17">
                  <c:v>8.9419135488472961</c:v>
                </c:pt>
                <c:pt idx="18">
                  <c:v>8.8625320805290375</c:v>
                </c:pt>
                <c:pt idx="19">
                  <c:v>8.779623270805299</c:v>
                </c:pt>
                <c:pt idx="20">
                  <c:v>8.7098728997864256</c:v>
                </c:pt>
                <c:pt idx="21">
                  <c:v>8.6495632936892992</c:v>
                </c:pt>
                <c:pt idx="22">
                  <c:v>8.5886921991419882</c:v>
                </c:pt>
                <c:pt idx="23">
                  <c:v>8.5289036706428636</c:v>
                </c:pt>
                <c:pt idx="24">
                  <c:v>8.4598329195963409</c:v>
                </c:pt>
                <c:pt idx="25">
                  <c:v>8.3876114016791306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0E9E-4BB9-B42D-40A8655AC29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15372712"/>
        <c:axId val="315373104"/>
      </c:areaChart>
      <c:catAx>
        <c:axId val="315372712"/>
        <c:scaling>
          <c:orientation val="minMax"/>
        </c:scaling>
        <c:delete val="0"/>
        <c:axPos val="b"/>
        <c:numFmt formatCode="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-540000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15373104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315373104"/>
        <c:scaling>
          <c:orientation val="minMax"/>
          <c:min val="0"/>
        </c:scaling>
        <c:delete val="0"/>
        <c:axPos val="l"/>
        <c:title>
          <c:tx>
            <c:rich>
              <a:bodyPr rot="0" vert="horz"/>
              <a:lstStyle/>
              <a:p>
                <a:pPr algn="l">
                  <a:defRPr sz="975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GB"/>
                  <a:t>thousands</a:t>
                </a:r>
              </a:p>
            </c:rich>
          </c:tx>
          <c:layout>
            <c:manualLayout>
              <c:xMode val="edge"/>
              <c:yMode val="edge"/>
              <c:x val="6.3451776649747034E-3"/>
              <c:y val="9.1240875912408752E-3"/>
            </c:manualLayout>
          </c:layout>
          <c:overlay val="0"/>
          <c:spPr>
            <a:noFill/>
            <a:ln w="25400">
              <a:noFill/>
            </a:ln>
          </c:spPr>
        </c:title>
        <c:numFmt formatCode="#,##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15372712"/>
        <c:crosses val="autoZero"/>
        <c:crossBetween val="midCat"/>
      </c:valAx>
      <c:spPr>
        <a:noFill/>
        <a:ln w="12700">
          <a:solidFill>
            <a:srgbClr val="808080"/>
          </a:solidFill>
          <a:prstDash val="solid"/>
        </a:ln>
      </c:spPr>
    </c:plotArea>
    <c:legend>
      <c:legendPos val="b"/>
      <c:layout>
        <c:manualLayout>
          <c:xMode val="edge"/>
          <c:yMode val="edge"/>
          <c:x val="7.8990073341974887E-2"/>
          <c:y val="0.93978106853588406"/>
          <c:w val="0.8744421378136028"/>
          <c:h val="6.0218931464115909E-2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965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legend>
    <c:plotVisOnly val="1"/>
    <c:dispBlanksAs val="zero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105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000000000001465" r="0.75000000000001465" t="1" header="0.5" footer="0.5"/>
    <c:pageSetup paperSize="9" orientation="landscape"/>
  </c:printSettings>
</c:chartSpace>
</file>

<file path=xl/charts/chart1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7.4873096446700524E-2"/>
          <c:y val="6.6055045871559345E-2"/>
          <c:w val="0.89720812182739207"/>
          <c:h val="0.76880623875224952"/>
        </c:manualLayout>
      </c:layout>
      <c:areaChart>
        <c:grouping val="stacked"/>
        <c:varyColors val="0"/>
        <c:ser>
          <c:idx val="1"/>
          <c:order val="0"/>
          <c:tx>
            <c:strRef>
              <c:f>'Occ F2'!$L$33</c:f>
              <c:strCache>
                <c:ptCount val="1"/>
                <c:pt idx="0">
                  <c:v>61 Caring personal service occupations</c:v>
                </c:pt>
              </c:strCache>
            </c:strRef>
          </c:tx>
          <c:spPr>
            <a:solidFill>
              <a:schemeClr val="tx1"/>
            </a:solidFill>
            <a:ln w="12700">
              <a:solidFill>
                <a:srgbClr val="000000"/>
              </a:solidFill>
              <a:prstDash val="solid"/>
            </a:ln>
          </c:spP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F2'!$M$33:$AL$33</c:f>
              <c:numCache>
                <c:formatCode>#,##0</c:formatCode>
                <c:ptCount val="26"/>
                <c:pt idx="0">
                  <c:v>43.200516472834714</c:v>
                </c:pt>
                <c:pt idx="1">
                  <c:v>41.180823580991607</c:v>
                </c:pt>
                <c:pt idx="2">
                  <c:v>40.745072870915692</c:v>
                </c:pt>
                <c:pt idx="3">
                  <c:v>40.49364388432415</c:v>
                </c:pt>
                <c:pt idx="4">
                  <c:v>43.280938760271837</c:v>
                </c:pt>
                <c:pt idx="5">
                  <c:v>44.06827943212275</c:v>
                </c:pt>
                <c:pt idx="6">
                  <c:v>44.32558974046264</c:v>
                </c:pt>
                <c:pt idx="7">
                  <c:v>45.66815094005171</c:v>
                </c:pt>
                <c:pt idx="8">
                  <c:v>44.535520091137514</c:v>
                </c:pt>
                <c:pt idx="9">
                  <c:v>44.697965228436082</c:v>
                </c:pt>
                <c:pt idx="10">
                  <c:v>43.296978489565802</c:v>
                </c:pt>
                <c:pt idx="11">
                  <c:v>43.345809871754575</c:v>
                </c:pt>
                <c:pt idx="12">
                  <c:v>43.651530670435861</c:v>
                </c:pt>
                <c:pt idx="13">
                  <c:v>44.045029317979534</c:v>
                </c:pt>
                <c:pt idx="14">
                  <c:v>44.465924689743765</c:v>
                </c:pt>
                <c:pt idx="15">
                  <c:v>44.846827713113818</c:v>
                </c:pt>
                <c:pt idx="16">
                  <c:v>45.16444662673684</c:v>
                </c:pt>
                <c:pt idx="17">
                  <c:v>45.45873055682376</c:v>
                </c:pt>
                <c:pt idx="18">
                  <c:v>45.736887705160846</c:v>
                </c:pt>
                <c:pt idx="19">
                  <c:v>46.022847236153872</c:v>
                </c:pt>
                <c:pt idx="20">
                  <c:v>46.312851612136484</c:v>
                </c:pt>
                <c:pt idx="21">
                  <c:v>46.615367507801544</c:v>
                </c:pt>
                <c:pt idx="22">
                  <c:v>46.935583467534272</c:v>
                </c:pt>
                <c:pt idx="23">
                  <c:v>47.25662562320322</c:v>
                </c:pt>
                <c:pt idx="24">
                  <c:v>47.582294389763057</c:v>
                </c:pt>
                <c:pt idx="25">
                  <c:v>47.910340026917289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95C8-4082-9485-6635190C6423}"/>
            </c:ext>
          </c:extLst>
        </c:ser>
        <c:ser>
          <c:idx val="2"/>
          <c:order val="1"/>
          <c:tx>
            <c:strRef>
              <c:f>'Occ F2'!$L$34</c:f>
              <c:strCache>
                <c:ptCount val="1"/>
                <c:pt idx="0">
                  <c:v>62 Leisure, travel and related personal service occupations</c:v>
                </c:pt>
              </c:strCache>
            </c:strRef>
          </c:tx>
          <c:spPr>
            <a:solidFill>
              <a:schemeClr val="tx1">
                <a:lumMod val="75000"/>
                <a:lumOff val="25000"/>
              </a:schemeClr>
            </a:solidFill>
            <a:ln w="12700">
              <a:solidFill>
                <a:srgbClr val="000000"/>
              </a:solidFill>
              <a:prstDash val="solid"/>
            </a:ln>
          </c:spP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F2'!$M$34:$AL$34</c:f>
              <c:numCache>
                <c:formatCode>#,##0</c:formatCode>
                <c:ptCount val="26"/>
                <c:pt idx="0">
                  <c:v>10.969560671641633</c:v>
                </c:pt>
                <c:pt idx="1">
                  <c:v>12.224852058338715</c:v>
                </c:pt>
                <c:pt idx="2">
                  <c:v>11.401113452918544</c:v>
                </c:pt>
                <c:pt idx="3">
                  <c:v>12.36177955311943</c:v>
                </c:pt>
                <c:pt idx="4">
                  <c:v>12.120099212050885</c:v>
                </c:pt>
                <c:pt idx="5">
                  <c:v>10.618128366267882</c:v>
                </c:pt>
                <c:pt idx="6">
                  <c:v>13.240707231896719</c:v>
                </c:pt>
                <c:pt idx="7">
                  <c:v>12.193498198504155</c:v>
                </c:pt>
                <c:pt idx="8">
                  <c:v>11.696493316434145</c:v>
                </c:pt>
                <c:pt idx="9">
                  <c:v>13.411998144831484</c:v>
                </c:pt>
                <c:pt idx="10">
                  <c:v>12.994951688815915</c:v>
                </c:pt>
                <c:pt idx="11">
                  <c:v>11.972126653161567</c:v>
                </c:pt>
                <c:pt idx="12">
                  <c:v>11.869186859577228</c:v>
                </c:pt>
                <c:pt idx="13">
                  <c:v>11.880182269551138</c:v>
                </c:pt>
                <c:pt idx="14">
                  <c:v>11.932600047905455</c:v>
                </c:pt>
                <c:pt idx="15">
                  <c:v>11.967287253679919</c:v>
                </c:pt>
                <c:pt idx="16">
                  <c:v>11.989192758035649</c:v>
                </c:pt>
                <c:pt idx="17">
                  <c:v>12.005867837238055</c:v>
                </c:pt>
                <c:pt idx="18">
                  <c:v>12.013688984847319</c:v>
                </c:pt>
                <c:pt idx="19">
                  <c:v>12.019952522880638</c:v>
                </c:pt>
                <c:pt idx="20">
                  <c:v>12.030267264152275</c:v>
                </c:pt>
                <c:pt idx="21">
                  <c:v>12.041319072889136</c:v>
                </c:pt>
                <c:pt idx="22">
                  <c:v>12.040592855176065</c:v>
                </c:pt>
                <c:pt idx="23">
                  <c:v>12.041642527022734</c:v>
                </c:pt>
                <c:pt idx="24">
                  <c:v>12.040366100058812</c:v>
                </c:pt>
                <c:pt idx="25">
                  <c:v>12.043011311322823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95C8-4082-9485-6635190C6423}"/>
            </c:ext>
          </c:extLst>
        </c:ser>
        <c:ser>
          <c:idx val="0"/>
          <c:order val="2"/>
          <c:tx>
            <c:strRef>
              <c:f>'Occ F2'!$L$35</c:f>
              <c:strCache>
                <c:ptCount val="1"/>
                <c:pt idx="0">
                  <c:v>63 Community and civil enforcement occupations</c:v>
                </c:pt>
              </c:strCache>
            </c:strRef>
          </c:tx>
          <c:spPr>
            <a:solidFill>
              <a:schemeClr val="bg1">
                <a:lumMod val="50000"/>
              </a:schemeClr>
            </a:solidFill>
          </c:spP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F2'!$M$35:$AL$35</c:f>
              <c:numCache>
                <c:formatCode>#,##0</c:formatCode>
                <c:ptCount val="26"/>
                <c:pt idx="0">
                  <c:v>0.84110049634013995</c:v>
                </c:pt>
                <c:pt idx="1">
                  <c:v>0.55833733872599467</c:v>
                </c:pt>
                <c:pt idx="2">
                  <c:v>0.52118154340133194</c:v>
                </c:pt>
                <c:pt idx="3">
                  <c:v>0.49049318074313014</c:v>
                </c:pt>
                <c:pt idx="4">
                  <c:v>0.59047727469600741</c:v>
                </c:pt>
                <c:pt idx="5">
                  <c:v>0.53476700853324488</c:v>
                </c:pt>
                <c:pt idx="6">
                  <c:v>0.44448110731501783</c:v>
                </c:pt>
                <c:pt idx="7">
                  <c:v>0.47362097005126402</c:v>
                </c:pt>
                <c:pt idx="8">
                  <c:v>0.47715512036676705</c:v>
                </c:pt>
                <c:pt idx="9">
                  <c:v>0.43819173345182433</c:v>
                </c:pt>
                <c:pt idx="10">
                  <c:v>0.55456784230697775</c:v>
                </c:pt>
                <c:pt idx="11">
                  <c:v>0.39698110111706009</c:v>
                </c:pt>
                <c:pt idx="12">
                  <c:v>0.40371373827298945</c:v>
                </c:pt>
                <c:pt idx="13">
                  <c:v>0.40990711423347848</c:v>
                </c:pt>
                <c:pt idx="14">
                  <c:v>0.41729864612597423</c:v>
                </c:pt>
                <c:pt idx="15">
                  <c:v>0.42346353306994405</c:v>
                </c:pt>
                <c:pt idx="16">
                  <c:v>0.42890345809515429</c:v>
                </c:pt>
                <c:pt idx="17">
                  <c:v>0.43423335187313999</c:v>
                </c:pt>
                <c:pt idx="18">
                  <c:v>0.43903853340165833</c:v>
                </c:pt>
                <c:pt idx="19">
                  <c:v>0.44464549857174474</c:v>
                </c:pt>
                <c:pt idx="20">
                  <c:v>0.4495445248915606</c:v>
                </c:pt>
                <c:pt idx="21">
                  <c:v>0.45421296831199948</c:v>
                </c:pt>
                <c:pt idx="22">
                  <c:v>0.4584636228779948</c:v>
                </c:pt>
                <c:pt idx="23">
                  <c:v>0.46389273090680683</c:v>
                </c:pt>
                <c:pt idx="24">
                  <c:v>0.46864209990810063</c:v>
                </c:pt>
                <c:pt idx="25">
                  <c:v>0.47429487873987586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B1AB-47D9-842C-4D85019F2F9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15373888"/>
        <c:axId val="315374280"/>
      </c:areaChart>
      <c:catAx>
        <c:axId val="315373888"/>
        <c:scaling>
          <c:orientation val="minMax"/>
        </c:scaling>
        <c:delete val="0"/>
        <c:axPos val="b"/>
        <c:numFmt formatCode="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-540000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15374280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315374280"/>
        <c:scaling>
          <c:orientation val="minMax"/>
          <c:min val="0"/>
        </c:scaling>
        <c:delete val="0"/>
        <c:axPos val="l"/>
        <c:title>
          <c:tx>
            <c:rich>
              <a:bodyPr rot="0" vert="horz"/>
              <a:lstStyle/>
              <a:p>
                <a:pPr algn="l">
                  <a:defRPr sz="975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GB"/>
                  <a:t>thousands</a:t>
                </a:r>
              </a:p>
            </c:rich>
          </c:tx>
          <c:layout>
            <c:manualLayout>
              <c:xMode val="edge"/>
              <c:yMode val="edge"/>
              <c:x val="6.3451776649747034E-3"/>
              <c:y val="1.1009174311927029E-2"/>
            </c:manualLayout>
          </c:layout>
          <c:overlay val="0"/>
          <c:spPr>
            <a:noFill/>
            <a:ln w="25400">
              <a:noFill/>
            </a:ln>
          </c:spPr>
        </c:title>
        <c:numFmt formatCode="#,##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15373888"/>
        <c:crosses val="autoZero"/>
        <c:crossBetween val="midCat"/>
      </c:valAx>
      <c:spPr>
        <a:noFill/>
        <a:ln w="12700">
          <a:solidFill>
            <a:srgbClr val="808080"/>
          </a:solidFill>
          <a:prstDash val="solid"/>
        </a:ln>
      </c:spPr>
    </c:plotArea>
    <c:legend>
      <c:legendPos val="b"/>
      <c:layout>
        <c:manualLayout>
          <c:xMode val="edge"/>
          <c:yMode val="edge"/>
          <c:x val="2.7013305520474776E-2"/>
          <c:y val="0.91785384655352398"/>
          <c:w val="0.94062625582720483"/>
          <c:h val="7.3598571624257841E-2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965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legend>
    <c:plotVisOnly val="1"/>
    <c:dispBlanksAs val="zero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105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000000000001465" r="0.75000000000001465" t="1" header="0.5" footer="0.5"/>
    <c:pageSetup/>
  </c:printSettings>
</c:chartSpace>
</file>

<file path=xl/charts/chart2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7.4683590464046934E-2"/>
          <c:y val="6.5693430656934934E-2"/>
          <c:w val="0.89367143843421171"/>
          <c:h val="0.78186251479901514"/>
        </c:manualLayout>
      </c:layout>
      <c:areaChart>
        <c:grouping val="stacked"/>
        <c:varyColors val="0"/>
        <c:ser>
          <c:idx val="1"/>
          <c:order val="0"/>
          <c:tx>
            <c:strRef>
              <c:f>'Occ F2'!$L$38</c:f>
              <c:strCache>
                <c:ptCount val="1"/>
                <c:pt idx="0">
                  <c:v>71 Sales occupations</c:v>
                </c:pt>
              </c:strCache>
            </c:strRef>
          </c:tx>
          <c:spPr>
            <a:solidFill>
              <a:schemeClr val="tx1">
                <a:lumMod val="50000"/>
                <a:lumOff val="50000"/>
              </a:schemeClr>
            </a:solidFill>
            <a:ln w="12700">
              <a:solidFill>
                <a:srgbClr val="000000"/>
              </a:solidFill>
              <a:prstDash val="solid"/>
            </a:ln>
          </c:spP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F2'!$M$38:$AL$38</c:f>
              <c:numCache>
                <c:formatCode>#,##0</c:formatCode>
                <c:ptCount val="26"/>
                <c:pt idx="0">
                  <c:v>35.593601828834224</c:v>
                </c:pt>
                <c:pt idx="1">
                  <c:v>39.971461738096913</c:v>
                </c:pt>
                <c:pt idx="2">
                  <c:v>38.090918569115203</c:v>
                </c:pt>
                <c:pt idx="3">
                  <c:v>37.844961370795545</c:v>
                </c:pt>
                <c:pt idx="4">
                  <c:v>39.006830507672227</c:v>
                </c:pt>
                <c:pt idx="5">
                  <c:v>38.973525313793111</c:v>
                </c:pt>
                <c:pt idx="6">
                  <c:v>39.617152560141299</c:v>
                </c:pt>
                <c:pt idx="7">
                  <c:v>38.17121469033799</c:v>
                </c:pt>
                <c:pt idx="8">
                  <c:v>35.750804819775247</c:v>
                </c:pt>
                <c:pt idx="9">
                  <c:v>35.582072392355371</c:v>
                </c:pt>
                <c:pt idx="10">
                  <c:v>34.754105944221891</c:v>
                </c:pt>
                <c:pt idx="11">
                  <c:v>33.756408588857191</c:v>
                </c:pt>
                <c:pt idx="12">
                  <c:v>33.761150227884372</c:v>
                </c:pt>
                <c:pt idx="13">
                  <c:v>33.734085779012297</c:v>
                </c:pt>
                <c:pt idx="14">
                  <c:v>33.763198522175983</c:v>
                </c:pt>
                <c:pt idx="15">
                  <c:v>33.725088646435069</c:v>
                </c:pt>
                <c:pt idx="16">
                  <c:v>33.680683523876723</c:v>
                </c:pt>
                <c:pt idx="17">
                  <c:v>33.607432975191848</c:v>
                </c:pt>
                <c:pt idx="18">
                  <c:v>33.507731513891478</c:v>
                </c:pt>
                <c:pt idx="19">
                  <c:v>33.402467951265251</c:v>
                </c:pt>
                <c:pt idx="20">
                  <c:v>33.293755390051487</c:v>
                </c:pt>
                <c:pt idx="21">
                  <c:v>33.155640150752987</c:v>
                </c:pt>
                <c:pt idx="22">
                  <c:v>33.054766585584986</c:v>
                </c:pt>
                <c:pt idx="23">
                  <c:v>32.951226996962333</c:v>
                </c:pt>
                <c:pt idx="24">
                  <c:v>32.848110110128168</c:v>
                </c:pt>
                <c:pt idx="25">
                  <c:v>32.736083057927345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C34F-4C1D-B059-F6A3CE93115D}"/>
            </c:ext>
          </c:extLst>
        </c:ser>
        <c:ser>
          <c:idx val="0"/>
          <c:order val="1"/>
          <c:tx>
            <c:strRef>
              <c:f>'Occ F2'!$L$39</c:f>
              <c:strCache>
                <c:ptCount val="1"/>
                <c:pt idx="0">
                  <c:v>72 Customer service occupations</c:v>
                </c:pt>
              </c:strCache>
            </c:strRef>
          </c:tx>
          <c:spPr>
            <a:solidFill>
              <a:schemeClr val="bg1">
                <a:lumMod val="75000"/>
              </a:schemeClr>
            </a:solidFill>
            <a:ln>
              <a:solidFill>
                <a:srgbClr val="000000"/>
              </a:solidFill>
            </a:ln>
          </c:spP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F2'!$M$39:$AL$39</c:f>
              <c:numCache>
                <c:formatCode>#,##0</c:formatCode>
                <c:ptCount val="26"/>
                <c:pt idx="0">
                  <c:v>6.9127816265147395</c:v>
                </c:pt>
                <c:pt idx="1">
                  <c:v>6.9635573114934086</c:v>
                </c:pt>
                <c:pt idx="2">
                  <c:v>6.7482745793313716</c:v>
                </c:pt>
                <c:pt idx="3">
                  <c:v>6.7393759335671346</c:v>
                </c:pt>
                <c:pt idx="4">
                  <c:v>6.7636003259069408</c:v>
                </c:pt>
                <c:pt idx="5">
                  <c:v>7.394546856901548</c:v>
                </c:pt>
                <c:pt idx="6">
                  <c:v>6.9991547312899582</c:v>
                </c:pt>
                <c:pt idx="7">
                  <c:v>7.9893734814824402</c:v>
                </c:pt>
                <c:pt idx="8">
                  <c:v>8.0426629247156445</c:v>
                </c:pt>
                <c:pt idx="9">
                  <c:v>7.8513039895321315</c:v>
                </c:pt>
                <c:pt idx="10">
                  <c:v>8.0733678965830684</c:v>
                </c:pt>
                <c:pt idx="11">
                  <c:v>8.4366717390318087</c:v>
                </c:pt>
                <c:pt idx="12">
                  <c:v>8.5366338676243352</c:v>
                </c:pt>
                <c:pt idx="13">
                  <c:v>8.6368560803060976</c:v>
                </c:pt>
                <c:pt idx="14">
                  <c:v>8.75573819977126</c:v>
                </c:pt>
                <c:pt idx="15">
                  <c:v>8.8602695628944659</c:v>
                </c:pt>
                <c:pt idx="16">
                  <c:v>8.9521538961369718</c:v>
                </c:pt>
                <c:pt idx="17">
                  <c:v>9.0426498601919807</c:v>
                </c:pt>
                <c:pt idx="18">
                  <c:v>9.1281753958572107</c:v>
                </c:pt>
                <c:pt idx="19">
                  <c:v>9.2128184975852854</c:v>
                </c:pt>
                <c:pt idx="20">
                  <c:v>9.30179789968264</c:v>
                </c:pt>
                <c:pt idx="21">
                  <c:v>9.3988529867482509</c:v>
                </c:pt>
                <c:pt idx="22">
                  <c:v>9.4922201334322871</c:v>
                </c:pt>
                <c:pt idx="23">
                  <c:v>9.5882987909689632</c:v>
                </c:pt>
                <c:pt idx="24">
                  <c:v>9.6856801561973018</c:v>
                </c:pt>
                <c:pt idx="25">
                  <c:v>9.7854150814605507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C34F-4C1D-B059-F6A3CE93115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15375064"/>
        <c:axId val="315375456"/>
      </c:areaChart>
      <c:catAx>
        <c:axId val="315375064"/>
        <c:scaling>
          <c:orientation val="minMax"/>
        </c:scaling>
        <c:delete val="0"/>
        <c:axPos val="b"/>
        <c:numFmt formatCode="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-540000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15375456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315375456"/>
        <c:scaling>
          <c:orientation val="minMax"/>
          <c:min val="0"/>
        </c:scaling>
        <c:delete val="0"/>
        <c:axPos val="l"/>
        <c:title>
          <c:tx>
            <c:rich>
              <a:bodyPr rot="0" vert="horz"/>
              <a:lstStyle/>
              <a:p>
                <a:pPr algn="l"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GB"/>
                  <a:t>thousands</a:t>
                </a:r>
              </a:p>
            </c:rich>
          </c:tx>
          <c:layout>
            <c:manualLayout>
              <c:xMode val="edge"/>
              <c:yMode val="edge"/>
              <c:x val="6.3291178359361714E-3"/>
              <c:y val="9.1240875912408752E-3"/>
            </c:manualLayout>
          </c:layout>
          <c:overlay val="0"/>
          <c:spPr>
            <a:noFill/>
            <a:ln w="25400">
              <a:noFill/>
            </a:ln>
          </c:spPr>
        </c:title>
        <c:numFmt formatCode="#,##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15375064"/>
        <c:crosses val="autoZero"/>
        <c:crossBetween val="midCat"/>
      </c:valAx>
      <c:spPr>
        <a:noFill/>
        <a:ln w="12700">
          <a:solidFill>
            <a:srgbClr val="808080"/>
          </a:solidFill>
          <a:prstDash val="solid"/>
        </a:ln>
      </c:spPr>
    </c:plotArea>
    <c:legend>
      <c:legendPos val="b"/>
      <c:layout>
        <c:manualLayout>
          <c:xMode val="edge"/>
          <c:yMode val="edge"/>
          <c:x val="6.5138726324749957E-2"/>
          <c:y val="0.93023452915640914"/>
          <c:w val="0.89873975845924681"/>
          <c:h val="5.0672392084640971E-2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965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legend>
    <c:plotVisOnly val="1"/>
    <c:dispBlanksAs val="zero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105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000000000001465" r="0.75000000000001465" t="1" header="0.5" footer="0.5"/>
    <c:pageSetup/>
  </c:printSettings>
</c:chartSpace>
</file>

<file path=xl/charts/chart2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7.3417766896859499E-2"/>
          <c:y val="5.8500966297851828E-2"/>
          <c:w val="0.89746890913572896"/>
          <c:h val="0.75210547335308831"/>
        </c:manualLayout>
      </c:layout>
      <c:areaChart>
        <c:grouping val="stacked"/>
        <c:varyColors val="0"/>
        <c:ser>
          <c:idx val="1"/>
          <c:order val="0"/>
          <c:tx>
            <c:strRef>
              <c:f>'Occ F2'!$L$42</c:f>
              <c:strCache>
                <c:ptCount val="1"/>
                <c:pt idx="0">
                  <c:v>81 Process, plant and machine operatives</c:v>
                </c:pt>
              </c:strCache>
            </c:strRef>
          </c:tx>
          <c:spPr>
            <a:solidFill>
              <a:schemeClr val="tx1">
                <a:lumMod val="50000"/>
                <a:lumOff val="50000"/>
              </a:schemeClr>
            </a:solidFill>
            <a:ln w="12700">
              <a:solidFill>
                <a:srgbClr val="000000"/>
              </a:solidFill>
              <a:prstDash val="solid"/>
            </a:ln>
          </c:spP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F2'!$M$42:$AL$42</c:f>
              <c:numCache>
                <c:formatCode>#,##0</c:formatCode>
                <c:ptCount val="26"/>
                <c:pt idx="0">
                  <c:v>22.33972756040972</c:v>
                </c:pt>
                <c:pt idx="1">
                  <c:v>20.929943769542788</c:v>
                </c:pt>
                <c:pt idx="2">
                  <c:v>21.508646263574317</c:v>
                </c:pt>
                <c:pt idx="3">
                  <c:v>21.791583736663465</c:v>
                </c:pt>
                <c:pt idx="4">
                  <c:v>22.723734388525823</c:v>
                </c:pt>
                <c:pt idx="5">
                  <c:v>23.617997881207206</c:v>
                </c:pt>
                <c:pt idx="6">
                  <c:v>23.538407367572784</c:v>
                </c:pt>
                <c:pt idx="7">
                  <c:v>24.486965408365158</c:v>
                </c:pt>
                <c:pt idx="8">
                  <c:v>24.15664823282502</c:v>
                </c:pt>
                <c:pt idx="9">
                  <c:v>22.621141012114837</c:v>
                </c:pt>
                <c:pt idx="10">
                  <c:v>20.118734262019561</c:v>
                </c:pt>
                <c:pt idx="11">
                  <c:v>21.081026027848925</c:v>
                </c:pt>
                <c:pt idx="12">
                  <c:v>20.963000165288854</c:v>
                </c:pt>
                <c:pt idx="13">
                  <c:v>20.795838057964357</c:v>
                </c:pt>
                <c:pt idx="14">
                  <c:v>20.650605471455602</c:v>
                </c:pt>
                <c:pt idx="15">
                  <c:v>20.473548267191795</c:v>
                </c:pt>
                <c:pt idx="16">
                  <c:v>20.309925022273163</c:v>
                </c:pt>
                <c:pt idx="17">
                  <c:v>20.149495604770301</c:v>
                </c:pt>
                <c:pt idx="18">
                  <c:v>20.032224166300193</c:v>
                </c:pt>
                <c:pt idx="19">
                  <c:v>19.91788910293052</c:v>
                </c:pt>
                <c:pt idx="20">
                  <c:v>19.798706238750938</c:v>
                </c:pt>
                <c:pt idx="21">
                  <c:v>19.666172066868704</c:v>
                </c:pt>
                <c:pt idx="22">
                  <c:v>19.519895576767677</c:v>
                </c:pt>
                <c:pt idx="23">
                  <c:v>19.361955807745463</c:v>
                </c:pt>
                <c:pt idx="24">
                  <c:v>19.180575708089275</c:v>
                </c:pt>
                <c:pt idx="25">
                  <c:v>18.988078793912329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B64B-4418-B5FD-BA328BECFEED}"/>
            </c:ext>
          </c:extLst>
        </c:ser>
        <c:ser>
          <c:idx val="0"/>
          <c:order val="1"/>
          <c:tx>
            <c:strRef>
              <c:f>'Occ F2'!$L$43</c:f>
              <c:strCache>
                <c:ptCount val="1"/>
                <c:pt idx="0">
                  <c:v>82 Transport and mobile machine drivers and operatives</c:v>
                </c:pt>
              </c:strCache>
            </c:strRef>
          </c:tx>
          <c:spPr>
            <a:solidFill>
              <a:schemeClr val="bg1">
                <a:lumMod val="75000"/>
              </a:schemeClr>
            </a:solidFill>
            <a:ln w="12700">
              <a:solidFill>
                <a:srgbClr val="000000"/>
              </a:solidFill>
              <a:prstDash val="solid"/>
            </a:ln>
          </c:spP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F2'!$M$43:$AL$43</c:f>
              <c:numCache>
                <c:formatCode>#,##0</c:formatCode>
                <c:ptCount val="26"/>
                <c:pt idx="0">
                  <c:v>21.96065038212528</c:v>
                </c:pt>
                <c:pt idx="1">
                  <c:v>21.32791887139506</c:v>
                </c:pt>
                <c:pt idx="2">
                  <c:v>20.452432062489233</c:v>
                </c:pt>
                <c:pt idx="3">
                  <c:v>20.72756122590145</c:v>
                </c:pt>
                <c:pt idx="4">
                  <c:v>20.09811983282723</c:v>
                </c:pt>
                <c:pt idx="5">
                  <c:v>21.10381423306055</c:v>
                </c:pt>
                <c:pt idx="6">
                  <c:v>22.812018526298175</c:v>
                </c:pt>
                <c:pt idx="7">
                  <c:v>23.655838786855956</c:v>
                </c:pt>
                <c:pt idx="8">
                  <c:v>23.331061074126108</c:v>
                </c:pt>
                <c:pt idx="9">
                  <c:v>21.870825096494286</c:v>
                </c:pt>
                <c:pt idx="10">
                  <c:v>21.410334501240857</c:v>
                </c:pt>
                <c:pt idx="11">
                  <c:v>21.497297298356557</c:v>
                </c:pt>
                <c:pt idx="12">
                  <c:v>21.299712418655592</c:v>
                </c:pt>
                <c:pt idx="13">
                  <c:v>21.231131771710448</c:v>
                </c:pt>
                <c:pt idx="14">
                  <c:v>21.22330046692117</c:v>
                </c:pt>
                <c:pt idx="15">
                  <c:v>21.17784749007696</c:v>
                </c:pt>
                <c:pt idx="16">
                  <c:v>21.112327139869048</c:v>
                </c:pt>
                <c:pt idx="17">
                  <c:v>21.028462767275567</c:v>
                </c:pt>
                <c:pt idx="18">
                  <c:v>20.942548874243656</c:v>
                </c:pt>
                <c:pt idx="19">
                  <c:v>20.854635725243508</c:v>
                </c:pt>
                <c:pt idx="20">
                  <c:v>20.775395763950367</c:v>
                </c:pt>
                <c:pt idx="21">
                  <c:v>20.698220613900247</c:v>
                </c:pt>
                <c:pt idx="22">
                  <c:v>20.59701700878794</c:v>
                </c:pt>
                <c:pt idx="23">
                  <c:v>20.492746430002203</c:v>
                </c:pt>
                <c:pt idx="24">
                  <c:v>20.384148223771458</c:v>
                </c:pt>
                <c:pt idx="25">
                  <c:v>20.272443314691611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B64B-4418-B5FD-BA328BECFEE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15607792"/>
        <c:axId val="315608184"/>
      </c:areaChart>
      <c:catAx>
        <c:axId val="315607792"/>
        <c:scaling>
          <c:orientation val="minMax"/>
        </c:scaling>
        <c:delete val="0"/>
        <c:axPos val="b"/>
        <c:numFmt formatCode="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-540000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15608184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315608184"/>
        <c:scaling>
          <c:orientation val="minMax"/>
          <c:min val="0"/>
        </c:scaling>
        <c:delete val="0"/>
        <c:axPos val="l"/>
        <c:title>
          <c:tx>
            <c:rich>
              <a:bodyPr rot="0" vert="horz"/>
              <a:lstStyle/>
              <a:p>
                <a:pPr algn="l">
                  <a:defRPr sz="875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GB"/>
                  <a:t>thousands</a:t>
                </a:r>
              </a:p>
            </c:rich>
          </c:tx>
          <c:layout>
            <c:manualLayout>
              <c:xMode val="edge"/>
              <c:yMode val="edge"/>
              <c:x val="8.8607649703107728E-3"/>
              <c:y val="9.1407759840393486E-3"/>
            </c:manualLayout>
          </c:layout>
          <c:overlay val="0"/>
          <c:spPr>
            <a:noFill/>
            <a:ln w="25400">
              <a:noFill/>
            </a:ln>
          </c:spPr>
        </c:title>
        <c:numFmt formatCode="#,##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75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15607792"/>
        <c:crosses val="autoZero"/>
        <c:crossBetween val="midCat"/>
      </c:valAx>
      <c:spPr>
        <a:noFill/>
        <a:ln w="12700">
          <a:solidFill>
            <a:srgbClr val="808080"/>
          </a:solidFill>
          <a:prstDash val="solid"/>
        </a:ln>
      </c:spPr>
    </c:plotArea>
    <c:legend>
      <c:legendPos val="b"/>
      <c:legendEntry>
        <c:idx val="0"/>
        <c:txPr>
          <a:bodyPr/>
          <a:lstStyle/>
          <a:p>
            <a:pPr>
              <a:defRPr sz="97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</c:legendEntry>
      <c:layout>
        <c:manualLayout>
          <c:xMode val="edge"/>
          <c:yMode val="edge"/>
          <c:x val="4.5796446052351572E-2"/>
          <c:y val="0.915818537710964"/>
          <c:w val="0.9001494998935945"/>
          <c:h val="7.6667373372317202E-2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965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legend>
    <c:plotVisOnly val="1"/>
    <c:dispBlanksAs val="zero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105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000000000001465" r="0.75000000000001465" t="1" header="0.5" footer="0.5"/>
    <c:pageSetup/>
  </c:printSettings>
</c:chartSpace>
</file>

<file path=xl/charts/chart2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7.4873096446700524E-2"/>
          <c:y val="6.6176529986688937E-2"/>
          <c:w val="0.8946700507614217"/>
          <c:h val="0.77573599039955177"/>
        </c:manualLayout>
      </c:layout>
      <c:areaChart>
        <c:grouping val="stacked"/>
        <c:varyColors val="0"/>
        <c:ser>
          <c:idx val="1"/>
          <c:order val="0"/>
          <c:tx>
            <c:strRef>
              <c:f>'Occ F2'!$L$46</c:f>
              <c:strCache>
                <c:ptCount val="1"/>
                <c:pt idx="0">
                  <c:v>91 Elementary trades and related occupations</c:v>
                </c:pt>
              </c:strCache>
            </c:strRef>
          </c:tx>
          <c:spPr>
            <a:solidFill>
              <a:schemeClr val="tx1">
                <a:lumMod val="50000"/>
                <a:lumOff val="50000"/>
              </a:schemeClr>
            </a:solidFill>
            <a:ln w="12700">
              <a:solidFill>
                <a:srgbClr val="000000"/>
              </a:solidFill>
              <a:prstDash val="solid"/>
            </a:ln>
          </c:spP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F2'!$M$46:$AL$46</c:f>
              <c:numCache>
                <c:formatCode>#,##0</c:formatCode>
                <c:ptCount val="26"/>
                <c:pt idx="0">
                  <c:v>11.537460020005678</c:v>
                </c:pt>
                <c:pt idx="1">
                  <c:v>12.039825593836714</c:v>
                </c:pt>
                <c:pt idx="2">
                  <c:v>11.749745352442407</c:v>
                </c:pt>
                <c:pt idx="3">
                  <c:v>11.553980935698601</c:v>
                </c:pt>
                <c:pt idx="4">
                  <c:v>12.138714796790216</c:v>
                </c:pt>
                <c:pt idx="5">
                  <c:v>13.037691425580578</c:v>
                </c:pt>
                <c:pt idx="6">
                  <c:v>13.437311100684539</c:v>
                </c:pt>
                <c:pt idx="7">
                  <c:v>12.571219265730864</c:v>
                </c:pt>
                <c:pt idx="8">
                  <c:v>12.389937029939562</c:v>
                </c:pt>
                <c:pt idx="9">
                  <c:v>11.543826331138638</c:v>
                </c:pt>
                <c:pt idx="10">
                  <c:v>10.615622461459582</c:v>
                </c:pt>
                <c:pt idx="11">
                  <c:v>17.302806522029684</c:v>
                </c:pt>
                <c:pt idx="12">
                  <c:v>17.486083133070828</c:v>
                </c:pt>
                <c:pt idx="13">
                  <c:v>17.660518476483961</c:v>
                </c:pt>
                <c:pt idx="14">
                  <c:v>17.849397874203714</c:v>
                </c:pt>
                <c:pt idx="15">
                  <c:v>17.994784591289726</c:v>
                </c:pt>
                <c:pt idx="16">
                  <c:v>18.106416315615984</c:v>
                </c:pt>
                <c:pt idx="17">
                  <c:v>18.218553361976202</c:v>
                </c:pt>
                <c:pt idx="18">
                  <c:v>18.345250418279122</c:v>
                </c:pt>
                <c:pt idx="19">
                  <c:v>18.475339557442258</c:v>
                </c:pt>
                <c:pt idx="20">
                  <c:v>18.628180361562993</c:v>
                </c:pt>
                <c:pt idx="21">
                  <c:v>18.774657640131856</c:v>
                </c:pt>
                <c:pt idx="22">
                  <c:v>18.912403337802942</c:v>
                </c:pt>
                <c:pt idx="23">
                  <c:v>19.052986421147381</c:v>
                </c:pt>
                <c:pt idx="24">
                  <c:v>19.190689827149104</c:v>
                </c:pt>
                <c:pt idx="25">
                  <c:v>19.321313381155679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C016-496A-AB20-744818E50B15}"/>
            </c:ext>
          </c:extLst>
        </c:ser>
        <c:ser>
          <c:idx val="0"/>
          <c:order val="1"/>
          <c:tx>
            <c:strRef>
              <c:f>'Occ F2'!$L$47</c:f>
              <c:strCache>
                <c:ptCount val="1"/>
                <c:pt idx="0">
                  <c:v>92 Elementary administration and service occupations</c:v>
                </c:pt>
              </c:strCache>
            </c:strRef>
          </c:tx>
          <c:spPr>
            <a:solidFill>
              <a:schemeClr val="bg1">
                <a:lumMod val="75000"/>
              </a:schemeClr>
            </a:solidFill>
            <a:ln w="12700">
              <a:solidFill>
                <a:srgbClr val="000000"/>
              </a:solidFill>
              <a:prstDash val="solid"/>
            </a:ln>
          </c:spP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F2'!$M$47:$AL$47</c:f>
              <c:numCache>
                <c:formatCode>#,##0</c:formatCode>
                <c:ptCount val="26"/>
                <c:pt idx="0">
                  <c:v>52.096155699681347</c:v>
                </c:pt>
                <c:pt idx="1">
                  <c:v>51.577417395554029</c:v>
                </c:pt>
                <c:pt idx="2">
                  <c:v>48.593368718199393</c:v>
                </c:pt>
                <c:pt idx="3">
                  <c:v>49.212057679282388</c:v>
                </c:pt>
                <c:pt idx="4">
                  <c:v>50.039189749118023</c:v>
                </c:pt>
                <c:pt idx="5">
                  <c:v>51.512230007842916</c:v>
                </c:pt>
                <c:pt idx="6">
                  <c:v>51.604599196372988</c:v>
                </c:pt>
                <c:pt idx="7">
                  <c:v>53.606034866444858</c:v>
                </c:pt>
                <c:pt idx="8">
                  <c:v>51.373073993273138</c:v>
                </c:pt>
                <c:pt idx="9">
                  <c:v>50.014416068078731</c:v>
                </c:pt>
                <c:pt idx="10">
                  <c:v>46.242366957986754</c:v>
                </c:pt>
                <c:pt idx="11">
                  <c:v>42.206202349839629</c:v>
                </c:pt>
                <c:pt idx="12">
                  <c:v>41.932591487238611</c:v>
                </c:pt>
                <c:pt idx="13">
                  <c:v>41.533081861525197</c:v>
                </c:pt>
                <c:pt idx="14">
                  <c:v>41.22820840924669</c:v>
                </c:pt>
                <c:pt idx="15">
                  <c:v>40.851780824649495</c:v>
                </c:pt>
                <c:pt idx="16">
                  <c:v>40.452025460630288</c:v>
                </c:pt>
                <c:pt idx="17">
                  <c:v>40.026483422219293</c:v>
                </c:pt>
                <c:pt idx="18">
                  <c:v>39.592538106806877</c:v>
                </c:pt>
                <c:pt idx="19">
                  <c:v>39.177492064146072</c:v>
                </c:pt>
                <c:pt idx="20">
                  <c:v>38.79021142818236</c:v>
                </c:pt>
                <c:pt idx="21">
                  <c:v>38.416166040286143</c:v>
                </c:pt>
                <c:pt idx="22">
                  <c:v>38.029714014634976</c:v>
                </c:pt>
                <c:pt idx="23">
                  <c:v>37.665794180268868</c:v>
                </c:pt>
                <c:pt idx="24">
                  <c:v>37.306830314214004</c:v>
                </c:pt>
                <c:pt idx="25">
                  <c:v>36.956370575801763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C016-496A-AB20-744818E50B1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15608968"/>
        <c:axId val="315609360"/>
      </c:areaChart>
      <c:catAx>
        <c:axId val="315608968"/>
        <c:scaling>
          <c:orientation val="minMax"/>
        </c:scaling>
        <c:delete val="0"/>
        <c:axPos val="b"/>
        <c:numFmt formatCode="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-540000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15609360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315609360"/>
        <c:scaling>
          <c:orientation val="minMax"/>
          <c:min val="0"/>
        </c:scaling>
        <c:delete val="0"/>
        <c:axPos val="l"/>
        <c:title>
          <c:tx>
            <c:rich>
              <a:bodyPr rot="0" vert="horz"/>
              <a:lstStyle/>
              <a:p>
                <a:pPr algn="l"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GB"/>
                  <a:t>thousands</a:t>
                </a:r>
              </a:p>
            </c:rich>
          </c:tx>
          <c:layout>
            <c:manualLayout>
              <c:xMode val="edge"/>
              <c:yMode val="edge"/>
              <c:x val="6.3451776649747034E-3"/>
              <c:y val="9.1911847203734638E-3"/>
            </c:manualLayout>
          </c:layout>
          <c:overlay val="0"/>
          <c:spPr>
            <a:noFill/>
            <a:ln w="25400">
              <a:noFill/>
            </a:ln>
          </c:spPr>
        </c:title>
        <c:numFmt formatCode="#,##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95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15608968"/>
        <c:crosses val="autoZero"/>
        <c:crossBetween val="midCat"/>
      </c:valAx>
      <c:spPr>
        <a:noFill/>
        <a:ln w="12700">
          <a:solidFill>
            <a:srgbClr val="808080"/>
          </a:solidFill>
          <a:prstDash val="solid"/>
        </a:ln>
      </c:spPr>
    </c:plotArea>
    <c:legend>
      <c:legendPos val="b"/>
      <c:layout>
        <c:manualLayout>
          <c:xMode val="edge"/>
          <c:yMode val="edge"/>
          <c:x val="6.8844899891323919E-2"/>
          <c:y val="0.91770442156268928"/>
          <c:w val="0.87492742704367699"/>
          <c:h val="7.678168534221684E-2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965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legend>
    <c:plotVisOnly val="1"/>
    <c:dispBlanksAs val="zero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105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000000000001465" r="0.75000000000001465" t="1" header="0.5" footer="0.5"/>
    <c:pageSetup/>
  </c:printSettings>
</c:chartSpace>
</file>

<file path=xl/charts/chart2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9.4000718237922956E-2"/>
          <c:y val="5.3619302949061684E-2"/>
          <c:w val="0.86958661417322847"/>
          <c:h val="0.74962385222351946"/>
        </c:manualLayout>
      </c:layout>
      <c:lineChart>
        <c:grouping val="standard"/>
        <c:varyColors val="0"/>
        <c:ser>
          <c:idx val="0"/>
          <c:order val="0"/>
          <c:tx>
            <c:strRef>
              <c:f>'Occ F2'!$L$5</c:f>
              <c:strCache>
                <c:ptCount val="1"/>
                <c:pt idx="0">
                  <c:v>Managers, directors and senior officials</c:v>
                </c:pt>
              </c:strCache>
            </c:strRef>
          </c:tx>
          <c:spPr>
            <a:ln w="12700">
              <a:solidFill>
                <a:srgbClr val="000000"/>
              </a:solidFill>
              <a:prstDash val="solid"/>
            </a:ln>
          </c:spPr>
          <c:marker>
            <c:symbol val="none"/>
          </c:marke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F2'!$M$5:$AL$5</c:f>
              <c:numCache>
                <c:formatCode>#,##0</c:formatCode>
                <c:ptCount val="26"/>
                <c:pt idx="0">
                  <c:v>39.777051001068827</c:v>
                </c:pt>
                <c:pt idx="1">
                  <c:v>43.691533133803986</c:v>
                </c:pt>
                <c:pt idx="2">
                  <c:v>44.043397483682377</c:v>
                </c:pt>
                <c:pt idx="3">
                  <c:v>42.94999689269585</c:v>
                </c:pt>
                <c:pt idx="4">
                  <c:v>44.872714371260187</c:v>
                </c:pt>
                <c:pt idx="5">
                  <c:v>45.730595176532695</c:v>
                </c:pt>
                <c:pt idx="6">
                  <c:v>47.39258309008175</c:v>
                </c:pt>
                <c:pt idx="7">
                  <c:v>50.682310526004571</c:v>
                </c:pt>
                <c:pt idx="8">
                  <c:v>49.604813934770597</c:v>
                </c:pt>
                <c:pt idx="9">
                  <c:v>52.216714304978296</c:v>
                </c:pt>
                <c:pt idx="10">
                  <c:v>54.908286938105874</c:v>
                </c:pt>
                <c:pt idx="11">
                  <c:v>49.485012889551697</c:v>
                </c:pt>
                <c:pt idx="12">
                  <c:v>49.895973387058284</c:v>
                </c:pt>
                <c:pt idx="13">
                  <c:v>50.347563874814931</c:v>
                </c:pt>
                <c:pt idx="14">
                  <c:v>50.911415178589877</c:v>
                </c:pt>
                <c:pt idx="15">
                  <c:v>51.386419923366432</c:v>
                </c:pt>
                <c:pt idx="16">
                  <c:v>51.832594629029998</c:v>
                </c:pt>
                <c:pt idx="17">
                  <c:v>52.273701223613706</c:v>
                </c:pt>
                <c:pt idx="18">
                  <c:v>52.711524917407274</c:v>
                </c:pt>
                <c:pt idx="19">
                  <c:v>53.143818484458976</c:v>
                </c:pt>
                <c:pt idx="20">
                  <c:v>53.60334427142331</c:v>
                </c:pt>
                <c:pt idx="21">
                  <c:v>54.071958697016129</c:v>
                </c:pt>
                <c:pt idx="22">
                  <c:v>54.526225870759333</c:v>
                </c:pt>
                <c:pt idx="23">
                  <c:v>54.98845742514338</c:v>
                </c:pt>
                <c:pt idx="24">
                  <c:v>55.460882456467751</c:v>
                </c:pt>
                <c:pt idx="25">
                  <c:v>55.943507600005354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2EA5-4D32-A8A8-47EDF4EA3691}"/>
            </c:ext>
          </c:extLst>
        </c:ser>
        <c:ser>
          <c:idx val="1"/>
          <c:order val="1"/>
          <c:tx>
            <c:strRef>
              <c:f>'Occ F2'!$L$9</c:f>
              <c:strCache>
                <c:ptCount val="1"/>
                <c:pt idx="0">
                  <c:v>Professional occupations</c:v>
                </c:pt>
              </c:strCache>
            </c:strRef>
          </c:tx>
          <c:spPr>
            <a:ln w="12700">
              <a:solidFill>
                <a:srgbClr val="000000"/>
              </a:solidFill>
              <a:prstDash val="solid"/>
            </a:ln>
          </c:spPr>
          <c:marker>
            <c:symbol val="square"/>
            <c:size val="6"/>
            <c:spPr>
              <a:solidFill>
                <a:srgbClr val="000000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F2'!$M$9:$AL$9</c:f>
              <c:numCache>
                <c:formatCode>#,##0</c:formatCode>
                <c:ptCount val="26"/>
                <c:pt idx="0">
                  <c:v>84.406094081105508</c:v>
                </c:pt>
                <c:pt idx="1">
                  <c:v>82.36762403238626</c:v>
                </c:pt>
                <c:pt idx="2">
                  <c:v>80.773404408219903</c:v>
                </c:pt>
                <c:pt idx="3">
                  <c:v>79.916889414423451</c:v>
                </c:pt>
                <c:pt idx="4">
                  <c:v>85.466398668315463</c:v>
                </c:pt>
                <c:pt idx="5">
                  <c:v>84.148060400468779</c:v>
                </c:pt>
                <c:pt idx="6">
                  <c:v>87.324132285380699</c:v>
                </c:pt>
                <c:pt idx="7">
                  <c:v>88.596456501641484</c:v>
                </c:pt>
                <c:pt idx="8">
                  <c:v>91.645553663883973</c:v>
                </c:pt>
                <c:pt idx="9">
                  <c:v>93.942602772046001</c:v>
                </c:pt>
                <c:pt idx="10">
                  <c:v>100.75322851210709</c:v>
                </c:pt>
                <c:pt idx="11">
                  <c:v>102.28465407561157</c:v>
                </c:pt>
                <c:pt idx="12">
                  <c:v>102.97701848800567</c:v>
                </c:pt>
                <c:pt idx="13">
                  <c:v>104.0506761163881</c:v>
                </c:pt>
                <c:pt idx="14">
                  <c:v>105.31401438314809</c:v>
                </c:pt>
                <c:pt idx="15">
                  <c:v>106.41960924409312</c:v>
                </c:pt>
                <c:pt idx="16">
                  <c:v>107.47877045749695</c:v>
                </c:pt>
                <c:pt idx="17">
                  <c:v>108.51895519341011</c:v>
                </c:pt>
                <c:pt idx="18">
                  <c:v>109.59025153947064</c:v>
                </c:pt>
                <c:pt idx="19">
                  <c:v>110.64381246277497</c:v>
                </c:pt>
                <c:pt idx="20">
                  <c:v>111.77282424604567</c:v>
                </c:pt>
                <c:pt idx="21">
                  <c:v>112.88477927938978</c:v>
                </c:pt>
                <c:pt idx="22">
                  <c:v>113.96810430736377</c:v>
                </c:pt>
                <c:pt idx="23">
                  <c:v>115.0517459580585</c:v>
                </c:pt>
                <c:pt idx="24">
                  <c:v>116.14901381325845</c:v>
                </c:pt>
                <c:pt idx="25">
                  <c:v>117.27071910226633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2EA5-4D32-A8A8-47EDF4EA3691}"/>
            </c:ext>
          </c:extLst>
        </c:ser>
        <c:ser>
          <c:idx val="2"/>
          <c:order val="2"/>
          <c:tx>
            <c:strRef>
              <c:f>'Occ F2'!$L$15</c:f>
              <c:strCache>
                <c:ptCount val="1"/>
                <c:pt idx="0">
                  <c:v>Associate professional occupations</c:v>
                </c:pt>
              </c:strCache>
            </c:strRef>
          </c:tx>
          <c:spPr>
            <a:ln w="12700">
              <a:solidFill>
                <a:srgbClr val="000000"/>
              </a:solidFill>
              <a:prstDash val="solid"/>
            </a:ln>
          </c:spPr>
          <c:marker>
            <c:symbol val="diamond"/>
            <c:size val="6"/>
            <c:spPr>
              <a:solidFill>
                <a:srgbClr val="000000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F2'!$M$15:$AL$15</c:f>
              <c:numCache>
                <c:formatCode>#,##0</c:formatCode>
                <c:ptCount val="26"/>
                <c:pt idx="0">
                  <c:v>51.447857325935601</c:v>
                </c:pt>
                <c:pt idx="1">
                  <c:v>52.941477515470098</c:v>
                </c:pt>
                <c:pt idx="2">
                  <c:v>52.442487538977076</c:v>
                </c:pt>
                <c:pt idx="3">
                  <c:v>50.492105649911601</c:v>
                </c:pt>
                <c:pt idx="4">
                  <c:v>53.788474466868379</c:v>
                </c:pt>
                <c:pt idx="5">
                  <c:v>53.926885449501597</c:v>
                </c:pt>
                <c:pt idx="6">
                  <c:v>54.753543662627024</c:v>
                </c:pt>
                <c:pt idx="7">
                  <c:v>58.277728625155866</c:v>
                </c:pt>
                <c:pt idx="8">
                  <c:v>57.985553581606865</c:v>
                </c:pt>
                <c:pt idx="9">
                  <c:v>57.79169663030892</c:v>
                </c:pt>
                <c:pt idx="10">
                  <c:v>61.437373146147308</c:v>
                </c:pt>
                <c:pt idx="11">
                  <c:v>62.117112564641147</c:v>
                </c:pt>
                <c:pt idx="12">
                  <c:v>62.539918083001055</c:v>
                </c:pt>
                <c:pt idx="13">
                  <c:v>63.115023273841715</c:v>
                </c:pt>
                <c:pt idx="14">
                  <c:v>63.826573586306786</c:v>
                </c:pt>
                <c:pt idx="15">
                  <c:v>64.423006273493314</c:v>
                </c:pt>
                <c:pt idx="16">
                  <c:v>64.972914702303072</c:v>
                </c:pt>
                <c:pt idx="17">
                  <c:v>65.489071350528519</c:v>
                </c:pt>
                <c:pt idx="18">
                  <c:v>65.978459803386372</c:v>
                </c:pt>
                <c:pt idx="19">
                  <c:v>66.48200715820137</c:v>
                </c:pt>
                <c:pt idx="20">
                  <c:v>67.029697574356135</c:v>
                </c:pt>
                <c:pt idx="21">
                  <c:v>67.594031823639682</c:v>
                </c:pt>
                <c:pt idx="22">
                  <c:v>68.118708211630661</c:v>
                </c:pt>
                <c:pt idx="23">
                  <c:v>68.670363767557433</c:v>
                </c:pt>
                <c:pt idx="24">
                  <c:v>69.224209348369726</c:v>
                </c:pt>
                <c:pt idx="25">
                  <c:v>69.798906165083082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2EA5-4D32-A8A8-47EDF4EA3691}"/>
            </c:ext>
          </c:extLst>
        </c:ser>
        <c:ser>
          <c:idx val="3"/>
          <c:order val="3"/>
          <c:tx>
            <c:strRef>
              <c:f>'Occ F2'!$L$22</c:f>
              <c:strCache>
                <c:ptCount val="1"/>
                <c:pt idx="0">
                  <c:v>Administrative and secretarial occupations</c:v>
                </c:pt>
              </c:strCache>
            </c:strRef>
          </c:tx>
          <c:spPr>
            <a:ln w="12700">
              <a:solidFill>
                <a:srgbClr val="000000"/>
              </a:solidFill>
              <a:prstDash val="solid"/>
            </a:ln>
          </c:spPr>
          <c:marker>
            <c:symbol val="triangle"/>
            <c:size val="6"/>
            <c:spPr>
              <a:solidFill>
                <a:srgbClr val="000000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F2'!$M$22:$AL$22</c:f>
              <c:numCache>
                <c:formatCode>#,##0</c:formatCode>
                <c:ptCount val="26"/>
                <c:pt idx="0">
                  <c:v>51.218498920937989</c:v>
                </c:pt>
                <c:pt idx="1">
                  <c:v>51.635687955328237</c:v>
                </c:pt>
                <c:pt idx="2">
                  <c:v>50.225154721859809</c:v>
                </c:pt>
                <c:pt idx="3">
                  <c:v>49.577419281414485</c:v>
                </c:pt>
                <c:pt idx="4">
                  <c:v>51.208906797470547</c:v>
                </c:pt>
                <c:pt idx="5">
                  <c:v>51.366410445082977</c:v>
                </c:pt>
                <c:pt idx="6">
                  <c:v>49.262439541219642</c:v>
                </c:pt>
                <c:pt idx="7">
                  <c:v>52.605367126435269</c:v>
                </c:pt>
                <c:pt idx="8">
                  <c:v>51.337254749297784</c:v>
                </c:pt>
                <c:pt idx="9">
                  <c:v>49.545930358588819</c:v>
                </c:pt>
                <c:pt idx="10">
                  <c:v>51.152140412056283</c:v>
                </c:pt>
                <c:pt idx="11">
                  <c:v>51.660416751204295</c:v>
                </c:pt>
                <c:pt idx="12">
                  <c:v>51.413493764883746</c:v>
                </c:pt>
                <c:pt idx="13">
                  <c:v>51.243629225070528</c:v>
                </c:pt>
                <c:pt idx="14">
                  <c:v>51.21024654691535</c:v>
                </c:pt>
                <c:pt idx="15">
                  <c:v>51.029967874902667</c:v>
                </c:pt>
                <c:pt idx="16">
                  <c:v>50.823148441102191</c:v>
                </c:pt>
                <c:pt idx="17">
                  <c:v>50.600216172829512</c:v>
                </c:pt>
                <c:pt idx="18">
                  <c:v>50.367199889048131</c:v>
                </c:pt>
                <c:pt idx="19">
                  <c:v>50.096151249343187</c:v>
                </c:pt>
                <c:pt idx="20">
                  <c:v>49.781952254377678</c:v>
                </c:pt>
                <c:pt idx="21">
                  <c:v>49.417101050615145</c:v>
                </c:pt>
                <c:pt idx="22">
                  <c:v>49.145239761244071</c:v>
                </c:pt>
                <c:pt idx="23">
                  <c:v>48.852928316658918</c:v>
                </c:pt>
                <c:pt idx="24">
                  <c:v>48.539552124208157</c:v>
                </c:pt>
                <c:pt idx="25">
                  <c:v>48.17662628932424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2EA5-4D32-A8A8-47EDF4EA3691}"/>
            </c:ext>
          </c:extLst>
        </c:ser>
        <c:ser>
          <c:idx val="4"/>
          <c:order val="4"/>
          <c:tx>
            <c:strRef>
              <c:f>'Occ F2'!$L$26</c:f>
              <c:strCache>
                <c:ptCount val="1"/>
                <c:pt idx="0">
                  <c:v>Skilled trades occupations</c:v>
                </c:pt>
              </c:strCache>
            </c:strRef>
          </c:tx>
          <c:spPr>
            <a:ln w="12700">
              <a:solidFill>
                <a:srgbClr val="000000"/>
              </a:solidFill>
              <a:prstDash val="solid"/>
            </a:ln>
          </c:spPr>
          <c:marker>
            <c:symbol val="star"/>
            <c:size val="6"/>
            <c:spPr>
              <a:noFill/>
              <a:ln>
                <a:solidFill>
                  <a:srgbClr val="000000"/>
                </a:solidFill>
                <a:prstDash val="solid"/>
              </a:ln>
            </c:spPr>
          </c:marke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F2'!$M$26:$AL$26</c:f>
              <c:numCache>
                <c:formatCode>#,##0</c:formatCode>
                <c:ptCount val="26"/>
                <c:pt idx="0">
                  <c:v>53.897943912564713</c:v>
                </c:pt>
                <c:pt idx="1">
                  <c:v>58.029539705035816</c:v>
                </c:pt>
                <c:pt idx="2">
                  <c:v>56.965802434873133</c:v>
                </c:pt>
                <c:pt idx="3">
                  <c:v>52.034151261459371</c:v>
                </c:pt>
                <c:pt idx="4">
                  <c:v>55.193800848226282</c:v>
                </c:pt>
                <c:pt idx="5">
                  <c:v>55.572068003104462</c:v>
                </c:pt>
                <c:pt idx="6">
                  <c:v>56.082879858656923</c:v>
                </c:pt>
                <c:pt idx="7">
                  <c:v>58.342220612938227</c:v>
                </c:pt>
                <c:pt idx="8">
                  <c:v>54.578467467847631</c:v>
                </c:pt>
                <c:pt idx="9">
                  <c:v>52.237315937644496</c:v>
                </c:pt>
                <c:pt idx="10">
                  <c:v>48.532940947383196</c:v>
                </c:pt>
                <c:pt idx="11">
                  <c:v>48.405473566994225</c:v>
                </c:pt>
                <c:pt idx="12">
                  <c:v>47.924993709002635</c:v>
                </c:pt>
                <c:pt idx="13">
                  <c:v>47.461476781117881</c:v>
                </c:pt>
                <c:pt idx="14">
                  <c:v>47.126477977490296</c:v>
                </c:pt>
                <c:pt idx="15">
                  <c:v>46.790098801743497</c:v>
                </c:pt>
                <c:pt idx="16">
                  <c:v>46.436497568797847</c:v>
                </c:pt>
                <c:pt idx="17">
                  <c:v>46.027146322058009</c:v>
                </c:pt>
                <c:pt idx="18">
                  <c:v>45.642480151899598</c:v>
                </c:pt>
                <c:pt idx="19">
                  <c:v>45.269122489002285</c:v>
                </c:pt>
                <c:pt idx="20">
                  <c:v>44.91947117043609</c:v>
                </c:pt>
                <c:pt idx="21">
                  <c:v>44.578520101648358</c:v>
                </c:pt>
                <c:pt idx="22">
                  <c:v>44.239065246402895</c:v>
                </c:pt>
                <c:pt idx="23">
                  <c:v>43.912335024353816</c:v>
                </c:pt>
                <c:pt idx="24">
                  <c:v>43.573005328416812</c:v>
                </c:pt>
                <c:pt idx="25">
                  <c:v>43.234890421391583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4-2EA5-4D32-A8A8-47EDF4EA3691}"/>
            </c:ext>
          </c:extLst>
        </c:ser>
        <c:ser>
          <c:idx val="5"/>
          <c:order val="5"/>
          <c:tx>
            <c:strRef>
              <c:f>'Occ F2'!$L$32</c:f>
              <c:strCache>
                <c:ptCount val="1"/>
                <c:pt idx="0">
                  <c:v>Caring, leisure and other service occupations</c:v>
                </c:pt>
              </c:strCache>
            </c:strRef>
          </c:tx>
          <c:spPr>
            <a:ln w="12700">
              <a:solidFill>
                <a:srgbClr val="000000"/>
              </a:solidFill>
              <a:prstDash val="solid"/>
            </a:ln>
          </c:spPr>
          <c:marker>
            <c:symbol val="x"/>
            <c:size val="6"/>
            <c:spPr>
              <a:noFill/>
              <a:ln>
                <a:solidFill>
                  <a:srgbClr val="000000"/>
                </a:solidFill>
                <a:prstDash val="solid"/>
              </a:ln>
            </c:spPr>
          </c:marke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F2'!$M$32:$AL$32</c:f>
              <c:numCache>
                <c:formatCode>#,##0</c:formatCode>
                <c:ptCount val="26"/>
                <c:pt idx="0">
                  <c:v>55.011177640816484</c:v>
                </c:pt>
                <c:pt idx="1">
                  <c:v>53.964012978056317</c:v>
                </c:pt>
                <c:pt idx="2">
                  <c:v>52.667367867235569</c:v>
                </c:pt>
                <c:pt idx="3">
                  <c:v>53.345916618186706</c:v>
                </c:pt>
                <c:pt idx="4">
                  <c:v>55.991515247018732</c:v>
                </c:pt>
                <c:pt idx="5">
                  <c:v>55.221174806923877</c:v>
                </c:pt>
                <c:pt idx="6">
                  <c:v>58.010778079674381</c:v>
                </c:pt>
                <c:pt idx="7">
                  <c:v>58.335270108607126</c:v>
                </c:pt>
                <c:pt idx="8">
                  <c:v>56.709168527938424</c:v>
                </c:pt>
                <c:pt idx="9">
                  <c:v>58.548155106719392</c:v>
                </c:pt>
                <c:pt idx="10">
                  <c:v>56.846498020688699</c:v>
                </c:pt>
                <c:pt idx="11">
                  <c:v>55.714917626033206</c:v>
                </c:pt>
                <c:pt idx="12">
                  <c:v>55.924431268286078</c:v>
                </c:pt>
                <c:pt idx="13">
                  <c:v>56.335118701764145</c:v>
                </c:pt>
                <c:pt idx="14">
                  <c:v>56.815823383775189</c:v>
                </c:pt>
                <c:pt idx="15">
                  <c:v>57.23757849986368</c:v>
                </c:pt>
                <c:pt idx="16">
                  <c:v>57.582542842867646</c:v>
                </c:pt>
                <c:pt idx="17">
                  <c:v>57.898831745934956</c:v>
                </c:pt>
                <c:pt idx="18">
                  <c:v>58.189615223409824</c:v>
                </c:pt>
                <c:pt idx="19">
                  <c:v>58.487445257606254</c:v>
                </c:pt>
                <c:pt idx="20">
                  <c:v>58.792663401180313</c:v>
                </c:pt>
                <c:pt idx="21">
                  <c:v>59.110899549002681</c:v>
                </c:pt>
                <c:pt idx="22">
                  <c:v>59.43463994558833</c:v>
                </c:pt>
                <c:pt idx="23">
                  <c:v>59.762160881132758</c:v>
                </c:pt>
                <c:pt idx="24">
                  <c:v>60.09130258972997</c:v>
                </c:pt>
                <c:pt idx="25">
                  <c:v>60.427646216979987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5-2EA5-4D32-A8A8-47EDF4EA3691}"/>
            </c:ext>
          </c:extLst>
        </c:ser>
        <c:ser>
          <c:idx val="6"/>
          <c:order val="6"/>
          <c:tx>
            <c:strRef>
              <c:f>'Occ F2'!$L$37</c:f>
              <c:strCache>
                <c:ptCount val="1"/>
                <c:pt idx="0">
                  <c:v>Sales and customer service occupations</c:v>
                </c:pt>
              </c:strCache>
            </c:strRef>
          </c:tx>
          <c:spPr>
            <a:ln w="12700">
              <a:solidFill>
                <a:srgbClr val="000000"/>
              </a:solidFill>
              <a:prstDash val="lgDash"/>
            </a:ln>
          </c:spPr>
          <c:marker>
            <c:symbol val="square"/>
            <c:size val="6"/>
            <c:spPr>
              <a:solidFill>
                <a:srgbClr val="000000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F2'!$M$37:$AL$37</c:f>
              <c:numCache>
                <c:formatCode>#,##0</c:formatCode>
                <c:ptCount val="26"/>
                <c:pt idx="0">
                  <c:v>42.506383455348967</c:v>
                </c:pt>
                <c:pt idx="1">
                  <c:v>46.935019049590323</c:v>
                </c:pt>
                <c:pt idx="2">
                  <c:v>44.839193148446576</c:v>
                </c:pt>
                <c:pt idx="3">
                  <c:v>44.584337304362677</c:v>
                </c:pt>
                <c:pt idx="4">
                  <c:v>45.770430833579169</c:v>
                </c:pt>
                <c:pt idx="5">
                  <c:v>46.36807217069466</c:v>
                </c:pt>
                <c:pt idx="6">
                  <c:v>46.616307291431255</c:v>
                </c:pt>
                <c:pt idx="7">
                  <c:v>46.160588171820429</c:v>
                </c:pt>
                <c:pt idx="8">
                  <c:v>43.79346774449089</c:v>
                </c:pt>
                <c:pt idx="9">
                  <c:v>43.433376381887506</c:v>
                </c:pt>
                <c:pt idx="10">
                  <c:v>42.827473840804956</c:v>
                </c:pt>
                <c:pt idx="11">
                  <c:v>42.193080327889</c:v>
                </c:pt>
                <c:pt idx="12">
                  <c:v>42.297784095508703</c:v>
                </c:pt>
                <c:pt idx="13">
                  <c:v>42.370941859318393</c:v>
                </c:pt>
                <c:pt idx="14">
                  <c:v>42.518936721947242</c:v>
                </c:pt>
                <c:pt idx="15">
                  <c:v>42.585358209329534</c:v>
                </c:pt>
                <c:pt idx="16">
                  <c:v>42.632837420013693</c:v>
                </c:pt>
                <c:pt idx="17">
                  <c:v>42.650082835383827</c:v>
                </c:pt>
                <c:pt idx="18">
                  <c:v>42.635906909748691</c:v>
                </c:pt>
                <c:pt idx="19">
                  <c:v>42.61528644885054</c:v>
                </c:pt>
                <c:pt idx="20">
                  <c:v>42.595553289734127</c:v>
                </c:pt>
                <c:pt idx="21">
                  <c:v>42.55449313750124</c:v>
                </c:pt>
                <c:pt idx="22">
                  <c:v>42.546986719017269</c:v>
                </c:pt>
                <c:pt idx="23">
                  <c:v>42.539525787931296</c:v>
                </c:pt>
                <c:pt idx="24">
                  <c:v>42.533790266325468</c:v>
                </c:pt>
                <c:pt idx="25">
                  <c:v>42.521498139387894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6-2EA5-4D32-A8A8-47EDF4EA3691}"/>
            </c:ext>
          </c:extLst>
        </c:ser>
        <c:ser>
          <c:idx val="7"/>
          <c:order val="7"/>
          <c:tx>
            <c:strRef>
              <c:f>'Occ F2'!$L$41</c:f>
              <c:strCache>
                <c:ptCount val="1"/>
                <c:pt idx="0">
                  <c:v>Process, plant and machine operatives</c:v>
                </c:pt>
              </c:strCache>
            </c:strRef>
          </c:tx>
          <c:spPr>
            <a:ln w="12700">
              <a:solidFill>
                <a:srgbClr val="000000"/>
              </a:solidFill>
              <a:prstDash val="lgDash"/>
            </a:ln>
          </c:spPr>
          <c:marker>
            <c:symbol val="diamond"/>
            <c:size val="6"/>
            <c:spPr>
              <a:solidFill>
                <a:srgbClr val="000000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F2'!$M$41:$AL$41</c:f>
              <c:numCache>
                <c:formatCode>#,##0</c:formatCode>
                <c:ptCount val="26"/>
                <c:pt idx="0">
                  <c:v>44.300377942535</c:v>
                </c:pt>
                <c:pt idx="1">
                  <c:v>42.257862640937844</c:v>
                </c:pt>
                <c:pt idx="2">
                  <c:v>41.96107832606355</c:v>
                </c:pt>
                <c:pt idx="3">
                  <c:v>42.519144962564916</c:v>
                </c:pt>
                <c:pt idx="4">
                  <c:v>42.82185422135305</c:v>
                </c:pt>
                <c:pt idx="5">
                  <c:v>44.721812114267756</c:v>
                </c:pt>
                <c:pt idx="6">
                  <c:v>46.350425893870963</c:v>
                </c:pt>
                <c:pt idx="7">
                  <c:v>48.142804195221117</c:v>
                </c:pt>
                <c:pt idx="8">
                  <c:v>47.487709306951132</c:v>
                </c:pt>
                <c:pt idx="9">
                  <c:v>44.49196610860912</c:v>
                </c:pt>
                <c:pt idx="10">
                  <c:v>41.529068763260419</c:v>
                </c:pt>
                <c:pt idx="11">
                  <c:v>42.578323326205478</c:v>
                </c:pt>
                <c:pt idx="12">
                  <c:v>42.262712583944449</c:v>
                </c:pt>
                <c:pt idx="13">
                  <c:v>42.026969829674805</c:v>
                </c:pt>
                <c:pt idx="14">
                  <c:v>41.873905938376772</c:v>
                </c:pt>
                <c:pt idx="15">
                  <c:v>41.651395757268759</c:v>
                </c:pt>
                <c:pt idx="16">
                  <c:v>41.422252162142215</c:v>
                </c:pt>
                <c:pt idx="17">
                  <c:v>41.177958372045865</c:v>
                </c:pt>
                <c:pt idx="18">
                  <c:v>40.974773040543852</c:v>
                </c:pt>
                <c:pt idx="19">
                  <c:v>40.772524828174028</c:v>
                </c:pt>
                <c:pt idx="20">
                  <c:v>40.574102002701309</c:v>
                </c:pt>
                <c:pt idx="21">
                  <c:v>40.364392680768951</c:v>
                </c:pt>
                <c:pt idx="22">
                  <c:v>40.116912585555617</c:v>
                </c:pt>
                <c:pt idx="23">
                  <c:v>39.854702237747667</c:v>
                </c:pt>
                <c:pt idx="24">
                  <c:v>39.564723931860733</c:v>
                </c:pt>
                <c:pt idx="25">
                  <c:v>39.260522108603936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7-2EA5-4D32-A8A8-47EDF4EA3691}"/>
            </c:ext>
          </c:extLst>
        </c:ser>
        <c:ser>
          <c:idx val="8"/>
          <c:order val="8"/>
          <c:tx>
            <c:strRef>
              <c:f>'Occ F2'!$L$45</c:f>
              <c:strCache>
                <c:ptCount val="1"/>
                <c:pt idx="0">
                  <c:v>Elementary occupations</c:v>
                </c:pt>
              </c:strCache>
            </c:strRef>
          </c:tx>
          <c:spPr>
            <a:ln w="12700">
              <a:solidFill>
                <a:srgbClr val="000000"/>
              </a:solidFill>
              <a:prstDash val="lgDash"/>
            </a:ln>
          </c:spPr>
          <c:marker>
            <c:symbol val="triangle"/>
            <c:size val="6"/>
            <c:spPr>
              <a:solidFill>
                <a:srgbClr val="000000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F2'!$M$45:$AL$45</c:f>
              <c:numCache>
                <c:formatCode>#,##0</c:formatCode>
                <c:ptCount val="26"/>
                <c:pt idx="0">
                  <c:v>63.633615719687029</c:v>
                </c:pt>
                <c:pt idx="1">
                  <c:v>63.617242989390746</c:v>
                </c:pt>
                <c:pt idx="2">
                  <c:v>60.343114070641803</c:v>
                </c:pt>
                <c:pt idx="3">
                  <c:v>60.766038614980985</c:v>
                </c:pt>
                <c:pt idx="4">
                  <c:v>62.177904545908241</c:v>
                </c:pt>
                <c:pt idx="5">
                  <c:v>64.549921433423492</c:v>
                </c:pt>
                <c:pt idx="6">
                  <c:v>65.041910297057527</c:v>
                </c:pt>
                <c:pt idx="7">
                  <c:v>66.177254132175719</c:v>
                </c:pt>
                <c:pt idx="8">
                  <c:v>63.763011023212698</c:v>
                </c:pt>
                <c:pt idx="9">
                  <c:v>61.55824239921737</c:v>
                </c:pt>
                <c:pt idx="10">
                  <c:v>56.857989419446334</c:v>
                </c:pt>
                <c:pt idx="11">
                  <c:v>59.509008871869312</c:v>
                </c:pt>
                <c:pt idx="12">
                  <c:v>59.418674620309439</c:v>
                </c:pt>
                <c:pt idx="13">
                  <c:v>59.193600338009162</c:v>
                </c:pt>
                <c:pt idx="14">
                  <c:v>59.077606283450407</c:v>
                </c:pt>
                <c:pt idx="15">
                  <c:v>58.846565415939224</c:v>
                </c:pt>
                <c:pt idx="16">
                  <c:v>58.558441776246269</c:v>
                </c:pt>
                <c:pt idx="17">
                  <c:v>58.245036784195491</c:v>
                </c:pt>
                <c:pt idx="18">
                  <c:v>57.937788525085999</c:v>
                </c:pt>
                <c:pt idx="19">
                  <c:v>57.652831621588334</c:v>
                </c:pt>
                <c:pt idx="20">
                  <c:v>57.418391789745357</c:v>
                </c:pt>
                <c:pt idx="21">
                  <c:v>57.190823680417999</c:v>
                </c:pt>
                <c:pt idx="22">
                  <c:v>56.942117352437918</c:v>
                </c:pt>
                <c:pt idx="23">
                  <c:v>56.718780601416249</c:v>
                </c:pt>
                <c:pt idx="24">
                  <c:v>56.497520141363111</c:v>
                </c:pt>
                <c:pt idx="25">
                  <c:v>56.277683956957446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8-2EA5-4D32-A8A8-47EDF4EA369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315610144"/>
        <c:axId val="315610536"/>
      </c:lineChart>
      <c:catAx>
        <c:axId val="315610144"/>
        <c:scaling>
          <c:orientation val="minMax"/>
        </c:scaling>
        <c:delete val="0"/>
        <c:axPos val="b"/>
        <c:numFmt formatCode="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-5400000" vert="horz"/>
          <a:lstStyle/>
          <a:p>
            <a:pPr>
              <a:defRPr sz="11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15610536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315610536"/>
        <c:scaling>
          <c:orientation val="minMax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title>
          <c:tx>
            <c:rich>
              <a:bodyPr rot="0" vert="horz"/>
              <a:lstStyle/>
              <a:p>
                <a:pPr algn="l">
                  <a:defRPr sz="14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GB" sz="1400"/>
                  <a:t>thousands</a:t>
                </a:r>
              </a:p>
            </c:rich>
          </c:tx>
          <c:layout>
            <c:manualLayout>
              <c:xMode val="edge"/>
              <c:yMode val="edge"/>
              <c:x val="6.3291391785486274E-3"/>
              <c:y val="1.0908478711454443E-2"/>
            </c:manualLayout>
          </c:layout>
          <c:overlay val="0"/>
          <c:spPr>
            <a:noFill/>
            <a:ln w="25400">
              <a:noFill/>
            </a:ln>
          </c:spPr>
        </c:title>
        <c:numFmt formatCode="#,##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2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15610144"/>
        <c:crosses val="autoZero"/>
        <c:crossBetween val="between"/>
      </c:valAx>
      <c:spPr>
        <a:noFill/>
        <a:ln w="12700">
          <a:solidFill>
            <a:srgbClr val="808080"/>
          </a:solidFill>
          <a:prstDash val="solid"/>
        </a:ln>
      </c:spPr>
    </c:plotArea>
    <c:legend>
      <c:legendPos val="b"/>
      <c:layout>
        <c:manualLayout>
          <c:xMode val="edge"/>
          <c:yMode val="edge"/>
          <c:x val="1.5142849542455844E-2"/>
          <c:y val="0.86539777165078335"/>
          <c:w val="0.96587039795701224"/>
          <c:h val="0.12216851442465591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1050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95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000000000001465" r="0.75000000000001465" t="1" header="0.5" footer="0.5"/>
    <c:pageSetup paperSize="9" orientation="landscape"/>
  </c:printSettings>
</c:chartSpace>
</file>

<file path=xl/charts/chart2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7.0886119762485017E-2"/>
          <c:y val="5.3619302949061684E-2"/>
          <c:w val="0.91012714480759949"/>
          <c:h val="0.7559222194989994"/>
        </c:manualLayout>
      </c:layout>
      <c:areaChart>
        <c:grouping val="percentStacked"/>
        <c:varyColors val="0"/>
        <c:ser>
          <c:idx val="0"/>
          <c:order val="0"/>
          <c:tx>
            <c:strRef>
              <c:f>'Occ F2'!$L$5</c:f>
              <c:strCache>
                <c:ptCount val="1"/>
                <c:pt idx="0">
                  <c:v>Managers, directors and senior officials</c:v>
                </c:pt>
              </c:strCache>
            </c:strRef>
          </c:tx>
          <c:spPr>
            <a:solidFill>
              <a:schemeClr val="tx1"/>
            </a:solidFill>
            <a:ln w="12700">
              <a:solidFill>
                <a:srgbClr val="000000"/>
              </a:solidFill>
              <a:prstDash val="solid"/>
            </a:ln>
          </c:spP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F2'!$M$5:$AL$5</c:f>
              <c:numCache>
                <c:formatCode>#,##0</c:formatCode>
                <c:ptCount val="26"/>
                <c:pt idx="0">
                  <c:v>39.777051001068827</c:v>
                </c:pt>
                <c:pt idx="1">
                  <c:v>43.691533133803986</c:v>
                </c:pt>
                <c:pt idx="2">
                  <c:v>44.043397483682377</c:v>
                </c:pt>
                <c:pt idx="3">
                  <c:v>42.94999689269585</c:v>
                </c:pt>
                <c:pt idx="4">
                  <c:v>44.872714371260187</c:v>
                </c:pt>
                <c:pt idx="5">
                  <c:v>45.730595176532695</c:v>
                </c:pt>
                <c:pt idx="6">
                  <c:v>47.39258309008175</c:v>
                </c:pt>
                <c:pt idx="7">
                  <c:v>50.682310526004571</c:v>
                </c:pt>
                <c:pt idx="8">
                  <c:v>49.604813934770597</c:v>
                </c:pt>
                <c:pt idx="9">
                  <c:v>52.216714304978296</c:v>
                </c:pt>
                <c:pt idx="10">
                  <c:v>54.908286938105874</c:v>
                </c:pt>
                <c:pt idx="11">
                  <c:v>49.485012889551697</c:v>
                </c:pt>
                <c:pt idx="12">
                  <c:v>49.895973387058284</c:v>
                </c:pt>
                <c:pt idx="13">
                  <c:v>50.347563874814931</c:v>
                </c:pt>
                <c:pt idx="14">
                  <c:v>50.911415178589877</c:v>
                </c:pt>
                <c:pt idx="15">
                  <c:v>51.386419923366432</c:v>
                </c:pt>
                <c:pt idx="16">
                  <c:v>51.832594629029998</c:v>
                </c:pt>
                <c:pt idx="17">
                  <c:v>52.273701223613706</c:v>
                </c:pt>
                <c:pt idx="18">
                  <c:v>52.711524917407274</c:v>
                </c:pt>
                <c:pt idx="19">
                  <c:v>53.143818484458976</c:v>
                </c:pt>
                <c:pt idx="20">
                  <c:v>53.60334427142331</c:v>
                </c:pt>
                <c:pt idx="21">
                  <c:v>54.071958697016129</c:v>
                </c:pt>
                <c:pt idx="22">
                  <c:v>54.526225870759333</c:v>
                </c:pt>
                <c:pt idx="23">
                  <c:v>54.98845742514338</c:v>
                </c:pt>
                <c:pt idx="24">
                  <c:v>55.460882456467751</c:v>
                </c:pt>
                <c:pt idx="25">
                  <c:v>55.943507600005354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BC3D-4F0C-A75A-38C35ADEECD8}"/>
            </c:ext>
          </c:extLst>
        </c:ser>
        <c:ser>
          <c:idx val="1"/>
          <c:order val="1"/>
          <c:tx>
            <c:strRef>
              <c:f>'Occ F2'!$L$9</c:f>
              <c:strCache>
                <c:ptCount val="1"/>
                <c:pt idx="0">
                  <c:v>Professional occupations</c:v>
                </c:pt>
              </c:strCache>
            </c:strRef>
          </c:tx>
          <c:spPr>
            <a:solidFill>
              <a:schemeClr val="tx1">
                <a:lumMod val="85000"/>
                <a:lumOff val="15000"/>
              </a:schemeClr>
            </a:solidFill>
            <a:ln w="12700">
              <a:solidFill>
                <a:srgbClr val="000000"/>
              </a:solidFill>
              <a:prstDash val="solid"/>
            </a:ln>
          </c:spP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F2'!$M$9:$AL$9</c:f>
              <c:numCache>
                <c:formatCode>#,##0</c:formatCode>
                <c:ptCount val="26"/>
                <c:pt idx="0">
                  <c:v>84.406094081105508</c:v>
                </c:pt>
                <c:pt idx="1">
                  <c:v>82.36762403238626</c:v>
                </c:pt>
                <c:pt idx="2">
                  <c:v>80.773404408219903</c:v>
                </c:pt>
                <c:pt idx="3">
                  <c:v>79.916889414423451</c:v>
                </c:pt>
                <c:pt idx="4">
                  <c:v>85.466398668315463</c:v>
                </c:pt>
                <c:pt idx="5">
                  <c:v>84.148060400468779</c:v>
                </c:pt>
                <c:pt idx="6">
                  <c:v>87.324132285380699</c:v>
                </c:pt>
                <c:pt idx="7">
                  <c:v>88.596456501641484</c:v>
                </c:pt>
                <c:pt idx="8">
                  <c:v>91.645553663883973</c:v>
                </c:pt>
                <c:pt idx="9">
                  <c:v>93.942602772046001</c:v>
                </c:pt>
                <c:pt idx="10">
                  <c:v>100.75322851210709</c:v>
                </c:pt>
                <c:pt idx="11">
                  <c:v>102.28465407561157</c:v>
                </c:pt>
                <c:pt idx="12">
                  <c:v>102.97701848800567</c:v>
                </c:pt>
                <c:pt idx="13">
                  <c:v>104.0506761163881</c:v>
                </c:pt>
                <c:pt idx="14">
                  <c:v>105.31401438314809</c:v>
                </c:pt>
                <c:pt idx="15">
                  <c:v>106.41960924409312</c:v>
                </c:pt>
                <c:pt idx="16">
                  <c:v>107.47877045749695</c:v>
                </c:pt>
                <c:pt idx="17">
                  <c:v>108.51895519341011</c:v>
                </c:pt>
                <c:pt idx="18">
                  <c:v>109.59025153947064</c:v>
                </c:pt>
                <c:pt idx="19">
                  <c:v>110.64381246277497</c:v>
                </c:pt>
                <c:pt idx="20">
                  <c:v>111.77282424604567</c:v>
                </c:pt>
                <c:pt idx="21">
                  <c:v>112.88477927938978</c:v>
                </c:pt>
                <c:pt idx="22">
                  <c:v>113.96810430736377</c:v>
                </c:pt>
                <c:pt idx="23">
                  <c:v>115.0517459580585</c:v>
                </c:pt>
                <c:pt idx="24">
                  <c:v>116.14901381325845</c:v>
                </c:pt>
                <c:pt idx="25">
                  <c:v>117.27071910226633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BC3D-4F0C-A75A-38C35ADEECD8}"/>
            </c:ext>
          </c:extLst>
        </c:ser>
        <c:ser>
          <c:idx val="2"/>
          <c:order val="2"/>
          <c:tx>
            <c:strRef>
              <c:f>'Occ F2'!$L$15</c:f>
              <c:strCache>
                <c:ptCount val="1"/>
                <c:pt idx="0">
                  <c:v>Associate professional occupations</c:v>
                </c:pt>
              </c:strCache>
            </c:strRef>
          </c:tx>
          <c:spPr>
            <a:solidFill>
              <a:schemeClr val="tx1">
                <a:lumMod val="75000"/>
                <a:lumOff val="25000"/>
              </a:schemeClr>
            </a:solidFill>
            <a:ln w="12700">
              <a:solidFill>
                <a:srgbClr val="000000"/>
              </a:solidFill>
              <a:prstDash val="solid"/>
            </a:ln>
          </c:spP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F2'!$M$15:$AL$15</c:f>
              <c:numCache>
                <c:formatCode>#,##0</c:formatCode>
                <c:ptCount val="26"/>
                <c:pt idx="0">
                  <c:v>51.447857325935601</c:v>
                </c:pt>
                <c:pt idx="1">
                  <c:v>52.941477515470098</c:v>
                </c:pt>
                <c:pt idx="2">
                  <c:v>52.442487538977076</c:v>
                </c:pt>
                <c:pt idx="3">
                  <c:v>50.492105649911601</c:v>
                </c:pt>
                <c:pt idx="4">
                  <c:v>53.788474466868379</c:v>
                </c:pt>
                <c:pt idx="5">
                  <c:v>53.926885449501597</c:v>
                </c:pt>
                <c:pt idx="6">
                  <c:v>54.753543662627024</c:v>
                </c:pt>
                <c:pt idx="7">
                  <c:v>58.277728625155866</c:v>
                </c:pt>
                <c:pt idx="8">
                  <c:v>57.985553581606865</c:v>
                </c:pt>
                <c:pt idx="9">
                  <c:v>57.79169663030892</c:v>
                </c:pt>
                <c:pt idx="10">
                  <c:v>61.437373146147308</c:v>
                </c:pt>
                <c:pt idx="11">
                  <c:v>62.117112564641147</c:v>
                </c:pt>
                <c:pt idx="12">
                  <c:v>62.539918083001055</c:v>
                </c:pt>
                <c:pt idx="13">
                  <c:v>63.115023273841715</c:v>
                </c:pt>
                <c:pt idx="14">
                  <c:v>63.826573586306786</c:v>
                </c:pt>
                <c:pt idx="15">
                  <c:v>64.423006273493314</c:v>
                </c:pt>
                <c:pt idx="16">
                  <c:v>64.972914702303072</c:v>
                </c:pt>
                <c:pt idx="17">
                  <c:v>65.489071350528519</c:v>
                </c:pt>
                <c:pt idx="18">
                  <c:v>65.978459803386372</c:v>
                </c:pt>
                <c:pt idx="19">
                  <c:v>66.48200715820137</c:v>
                </c:pt>
                <c:pt idx="20">
                  <c:v>67.029697574356135</c:v>
                </c:pt>
                <c:pt idx="21">
                  <c:v>67.594031823639682</c:v>
                </c:pt>
                <c:pt idx="22">
                  <c:v>68.118708211630661</c:v>
                </c:pt>
                <c:pt idx="23">
                  <c:v>68.670363767557433</c:v>
                </c:pt>
                <c:pt idx="24">
                  <c:v>69.224209348369726</c:v>
                </c:pt>
                <c:pt idx="25">
                  <c:v>69.798906165083082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BC3D-4F0C-A75A-38C35ADEECD8}"/>
            </c:ext>
          </c:extLst>
        </c:ser>
        <c:ser>
          <c:idx val="3"/>
          <c:order val="3"/>
          <c:tx>
            <c:strRef>
              <c:f>'Occ F2'!$L$22</c:f>
              <c:strCache>
                <c:ptCount val="1"/>
                <c:pt idx="0">
                  <c:v>Administrative and secretarial occupations</c:v>
                </c:pt>
              </c:strCache>
            </c:strRef>
          </c:tx>
          <c:spPr>
            <a:solidFill>
              <a:schemeClr val="tx1">
                <a:lumMod val="65000"/>
                <a:lumOff val="35000"/>
              </a:schemeClr>
            </a:solidFill>
            <a:ln w="12700">
              <a:solidFill>
                <a:srgbClr val="000000"/>
              </a:solidFill>
              <a:prstDash val="solid"/>
            </a:ln>
          </c:spP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F2'!$M$22:$AL$22</c:f>
              <c:numCache>
                <c:formatCode>#,##0</c:formatCode>
                <c:ptCount val="26"/>
                <c:pt idx="0">
                  <c:v>51.218498920937989</c:v>
                </c:pt>
                <c:pt idx="1">
                  <c:v>51.635687955328237</c:v>
                </c:pt>
                <c:pt idx="2">
                  <c:v>50.225154721859809</c:v>
                </c:pt>
                <c:pt idx="3">
                  <c:v>49.577419281414485</c:v>
                </c:pt>
                <c:pt idx="4">
                  <c:v>51.208906797470547</c:v>
                </c:pt>
                <c:pt idx="5">
                  <c:v>51.366410445082977</c:v>
                </c:pt>
                <c:pt idx="6">
                  <c:v>49.262439541219642</c:v>
                </c:pt>
                <c:pt idx="7">
                  <c:v>52.605367126435269</c:v>
                </c:pt>
                <c:pt idx="8">
                  <c:v>51.337254749297784</c:v>
                </c:pt>
                <c:pt idx="9">
                  <c:v>49.545930358588819</c:v>
                </c:pt>
                <c:pt idx="10">
                  <c:v>51.152140412056283</c:v>
                </c:pt>
                <c:pt idx="11">
                  <c:v>51.660416751204295</c:v>
                </c:pt>
                <c:pt idx="12">
                  <c:v>51.413493764883746</c:v>
                </c:pt>
                <c:pt idx="13">
                  <c:v>51.243629225070528</c:v>
                </c:pt>
                <c:pt idx="14">
                  <c:v>51.21024654691535</c:v>
                </c:pt>
                <c:pt idx="15">
                  <c:v>51.029967874902667</c:v>
                </c:pt>
                <c:pt idx="16">
                  <c:v>50.823148441102191</c:v>
                </c:pt>
                <c:pt idx="17">
                  <c:v>50.600216172829512</c:v>
                </c:pt>
                <c:pt idx="18">
                  <c:v>50.367199889048131</c:v>
                </c:pt>
                <c:pt idx="19">
                  <c:v>50.096151249343187</c:v>
                </c:pt>
                <c:pt idx="20">
                  <c:v>49.781952254377678</c:v>
                </c:pt>
                <c:pt idx="21">
                  <c:v>49.417101050615145</c:v>
                </c:pt>
                <c:pt idx="22">
                  <c:v>49.145239761244071</c:v>
                </c:pt>
                <c:pt idx="23">
                  <c:v>48.852928316658918</c:v>
                </c:pt>
                <c:pt idx="24">
                  <c:v>48.539552124208157</c:v>
                </c:pt>
                <c:pt idx="25">
                  <c:v>48.17662628932424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BC3D-4F0C-A75A-38C35ADEECD8}"/>
            </c:ext>
          </c:extLst>
        </c:ser>
        <c:ser>
          <c:idx val="4"/>
          <c:order val="4"/>
          <c:tx>
            <c:strRef>
              <c:f>'Occ F2'!$L$26</c:f>
              <c:strCache>
                <c:ptCount val="1"/>
                <c:pt idx="0">
                  <c:v>Skilled trades occupations</c:v>
                </c:pt>
              </c:strCache>
            </c:strRef>
          </c:tx>
          <c:spPr>
            <a:solidFill>
              <a:schemeClr val="tx1">
                <a:lumMod val="50000"/>
                <a:lumOff val="50000"/>
              </a:schemeClr>
            </a:solidFill>
            <a:ln w="12700">
              <a:solidFill>
                <a:srgbClr val="000000"/>
              </a:solidFill>
              <a:prstDash val="solid"/>
            </a:ln>
          </c:spP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F2'!$M$26:$AL$26</c:f>
              <c:numCache>
                <c:formatCode>#,##0</c:formatCode>
                <c:ptCount val="26"/>
                <c:pt idx="0">
                  <c:v>53.897943912564713</c:v>
                </c:pt>
                <c:pt idx="1">
                  <c:v>58.029539705035816</c:v>
                </c:pt>
                <c:pt idx="2">
                  <c:v>56.965802434873133</c:v>
                </c:pt>
                <c:pt idx="3">
                  <c:v>52.034151261459371</c:v>
                </c:pt>
                <c:pt idx="4">
                  <c:v>55.193800848226282</c:v>
                </c:pt>
                <c:pt idx="5">
                  <c:v>55.572068003104462</c:v>
                </c:pt>
                <c:pt idx="6">
                  <c:v>56.082879858656923</c:v>
                </c:pt>
                <c:pt idx="7">
                  <c:v>58.342220612938227</c:v>
                </c:pt>
                <c:pt idx="8">
                  <c:v>54.578467467847631</c:v>
                </c:pt>
                <c:pt idx="9">
                  <c:v>52.237315937644496</c:v>
                </c:pt>
                <c:pt idx="10">
                  <c:v>48.532940947383196</c:v>
                </c:pt>
                <c:pt idx="11">
                  <c:v>48.405473566994225</c:v>
                </c:pt>
                <c:pt idx="12">
                  <c:v>47.924993709002635</c:v>
                </c:pt>
                <c:pt idx="13">
                  <c:v>47.461476781117881</c:v>
                </c:pt>
                <c:pt idx="14">
                  <c:v>47.126477977490296</c:v>
                </c:pt>
                <c:pt idx="15">
                  <c:v>46.790098801743497</c:v>
                </c:pt>
                <c:pt idx="16">
                  <c:v>46.436497568797847</c:v>
                </c:pt>
                <c:pt idx="17">
                  <c:v>46.027146322058009</c:v>
                </c:pt>
                <c:pt idx="18">
                  <c:v>45.642480151899598</c:v>
                </c:pt>
                <c:pt idx="19">
                  <c:v>45.269122489002285</c:v>
                </c:pt>
                <c:pt idx="20">
                  <c:v>44.91947117043609</c:v>
                </c:pt>
                <c:pt idx="21">
                  <c:v>44.578520101648358</c:v>
                </c:pt>
                <c:pt idx="22">
                  <c:v>44.239065246402895</c:v>
                </c:pt>
                <c:pt idx="23">
                  <c:v>43.912335024353816</c:v>
                </c:pt>
                <c:pt idx="24">
                  <c:v>43.573005328416812</c:v>
                </c:pt>
                <c:pt idx="25">
                  <c:v>43.234890421391583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BC3D-4F0C-A75A-38C35ADEECD8}"/>
            </c:ext>
          </c:extLst>
        </c:ser>
        <c:ser>
          <c:idx val="5"/>
          <c:order val="5"/>
          <c:tx>
            <c:strRef>
              <c:f>'Occ F2'!$L$32</c:f>
              <c:strCache>
                <c:ptCount val="1"/>
                <c:pt idx="0">
                  <c:v>Caring, leisure and other service occupations</c:v>
                </c:pt>
              </c:strCache>
            </c:strRef>
          </c:tx>
          <c:spPr>
            <a:solidFill>
              <a:schemeClr val="bg1">
                <a:lumMod val="65000"/>
              </a:schemeClr>
            </a:solidFill>
            <a:ln w="12700">
              <a:solidFill>
                <a:srgbClr val="000000"/>
              </a:solidFill>
              <a:prstDash val="solid"/>
            </a:ln>
          </c:spP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F2'!$M$32:$AL$32</c:f>
              <c:numCache>
                <c:formatCode>#,##0</c:formatCode>
                <c:ptCount val="26"/>
                <c:pt idx="0">
                  <c:v>55.011177640816484</c:v>
                </c:pt>
                <c:pt idx="1">
                  <c:v>53.964012978056317</c:v>
                </c:pt>
                <c:pt idx="2">
                  <c:v>52.667367867235569</c:v>
                </c:pt>
                <c:pt idx="3">
                  <c:v>53.345916618186706</c:v>
                </c:pt>
                <c:pt idx="4">
                  <c:v>55.991515247018732</c:v>
                </c:pt>
                <c:pt idx="5">
                  <c:v>55.221174806923877</c:v>
                </c:pt>
                <c:pt idx="6">
                  <c:v>58.010778079674381</c:v>
                </c:pt>
                <c:pt idx="7">
                  <c:v>58.335270108607126</c:v>
                </c:pt>
                <c:pt idx="8">
                  <c:v>56.709168527938424</c:v>
                </c:pt>
                <c:pt idx="9">
                  <c:v>58.548155106719392</c:v>
                </c:pt>
                <c:pt idx="10">
                  <c:v>56.846498020688699</c:v>
                </c:pt>
                <c:pt idx="11">
                  <c:v>55.714917626033206</c:v>
                </c:pt>
                <c:pt idx="12">
                  <c:v>55.924431268286078</c:v>
                </c:pt>
                <c:pt idx="13">
                  <c:v>56.335118701764145</c:v>
                </c:pt>
                <c:pt idx="14">
                  <c:v>56.815823383775189</c:v>
                </c:pt>
                <c:pt idx="15">
                  <c:v>57.23757849986368</c:v>
                </c:pt>
                <c:pt idx="16">
                  <c:v>57.582542842867646</c:v>
                </c:pt>
                <c:pt idx="17">
                  <c:v>57.898831745934956</c:v>
                </c:pt>
                <c:pt idx="18">
                  <c:v>58.189615223409824</c:v>
                </c:pt>
                <c:pt idx="19">
                  <c:v>58.487445257606254</c:v>
                </c:pt>
                <c:pt idx="20">
                  <c:v>58.792663401180313</c:v>
                </c:pt>
                <c:pt idx="21">
                  <c:v>59.110899549002681</c:v>
                </c:pt>
                <c:pt idx="22">
                  <c:v>59.43463994558833</c:v>
                </c:pt>
                <c:pt idx="23">
                  <c:v>59.762160881132758</c:v>
                </c:pt>
                <c:pt idx="24">
                  <c:v>60.09130258972997</c:v>
                </c:pt>
                <c:pt idx="25">
                  <c:v>60.427646216979987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BC3D-4F0C-A75A-38C35ADEECD8}"/>
            </c:ext>
          </c:extLst>
        </c:ser>
        <c:ser>
          <c:idx val="6"/>
          <c:order val="6"/>
          <c:tx>
            <c:strRef>
              <c:f>'Occ F2'!$L$37</c:f>
              <c:strCache>
                <c:ptCount val="1"/>
                <c:pt idx="0">
                  <c:v>Sales and customer service occupations</c:v>
                </c:pt>
              </c:strCache>
            </c:strRef>
          </c:tx>
          <c:spPr>
            <a:solidFill>
              <a:schemeClr val="bg1">
                <a:lumMod val="75000"/>
              </a:schemeClr>
            </a:solidFill>
            <a:ln w="12700">
              <a:solidFill>
                <a:srgbClr val="000000"/>
              </a:solidFill>
              <a:prstDash val="solid"/>
            </a:ln>
          </c:spP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F2'!$M$37:$AL$37</c:f>
              <c:numCache>
                <c:formatCode>#,##0</c:formatCode>
                <c:ptCount val="26"/>
                <c:pt idx="0">
                  <c:v>42.506383455348967</c:v>
                </c:pt>
                <c:pt idx="1">
                  <c:v>46.935019049590323</c:v>
                </c:pt>
                <c:pt idx="2">
                  <c:v>44.839193148446576</c:v>
                </c:pt>
                <c:pt idx="3">
                  <c:v>44.584337304362677</c:v>
                </c:pt>
                <c:pt idx="4">
                  <c:v>45.770430833579169</c:v>
                </c:pt>
                <c:pt idx="5">
                  <c:v>46.36807217069466</c:v>
                </c:pt>
                <c:pt idx="6">
                  <c:v>46.616307291431255</c:v>
                </c:pt>
                <c:pt idx="7">
                  <c:v>46.160588171820429</c:v>
                </c:pt>
                <c:pt idx="8">
                  <c:v>43.79346774449089</c:v>
                </c:pt>
                <c:pt idx="9">
                  <c:v>43.433376381887506</c:v>
                </c:pt>
                <c:pt idx="10">
                  <c:v>42.827473840804956</c:v>
                </c:pt>
                <c:pt idx="11">
                  <c:v>42.193080327889</c:v>
                </c:pt>
                <c:pt idx="12">
                  <c:v>42.297784095508703</c:v>
                </c:pt>
                <c:pt idx="13">
                  <c:v>42.370941859318393</c:v>
                </c:pt>
                <c:pt idx="14">
                  <c:v>42.518936721947242</c:v>
                </c:pt>
                <c:pt idx="15">
                  <c:v>42.585358209329534</c:v>
                </c:pt>
                <c:pt idx="16">
                  <c:v>42.632837420013693</c:v>
                </c:pt>
                <c:pt idx="17">
                  <c:v>42.650082835383827</c:v>
                </c:pt>
                <c:pt idx="18">
                  <c:v>42.635906909748691</c:v>
                </c:pt>
                <c:pt idx="19">
                  <c:v>42.61528644885054</c:v>
                </c:pt>
                <c:pt idx="20">
                  <c:v>42.595553289734127</c:v>
                </c:pt>
                <c:pt idx="21">
                  <c:v>42.55449313750124</c:v>
                </c:pt>
                <c:pt idx="22">
                  <c:v>42.546986719017269</c:v>
                </c:pt>
                <c:pt idx="23">
                  <c:v>42.539525787931296</c:v>
                </c:pt>
                <c:pt idx="24">
                  <c:v>42.533790266325468</c:v>
                </c:pt>
                <c:pt idx="25">
                  <c:v>42.521498139387894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BC3D-4F0C-A75A-38C35ADEECD8}"/>
            </c:ext>
          </c:extLst>
        </c:ser>
        <c:ser>
          <c:idx val="7"/>
          <c:order val="7"/>
          <c:tx>
            <c:strRef>
              <c:f>'Occ F2'!$L$41</c:f>
              <c:strCache>
                <c:ptCount val="1"/>
                <c:pt idx="0">
                  <c:v>Process, plant and machine operatives</c:v>
                </c:pt>
              </c:strCache>
            </c:strRef>
          </c:tx>
          <c:spPr>
            <a:solidFill>
              <a:schemeClr val="bg1">
                <a:lumMod val="95000"/>
              </a:schemeClr>
            </a:solidFill>
            <a:ln w="12700">
              <a:solidFill>
                <a:srgbClr val="000000"/>
              </a:solidFill>
              <a:prstDash val="solid"/>
            </a:ln>
          </c:spP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F2'!$M$41:$AL$41</c:f>
              <c:numCache>
                <c:formatCode>#,##0</c:formatCode>
                <c:ptCount val="26"/>
                <c:pt idx="0">
                  <c:v>44.300377942535</c:v>
                </c:pt>
                <c:pt idx="1">
                  <c:v>42.257862640937844</c:v>
                </c:pt>
                <c:pt idx="2">
                  <c:v>41.96107832606355</c:v>
                </c:pt>
                <c:pt idx="3">
                  <c:v>42.519144962564916</c:v>
                </c:pt>
                <c:pt idx="4">
                  <c:v>42.82185422135305</c:v>
                </c:pt>
                <c:pt idx="5">
                  <c:v>44.721812114267756</c:v>
                </c:pt>
                <c:pt idx="6">
                  <c:v>46.350425893870963</c:v>
                </c:pt>
                <c:pt idx="7">
                  <c:v>48.142804195221117</c:v>
                </c:pt>
                <c:pt idx="8">
                  <c:v>47.487709306951132</c:v>
                </c:pt>
                <c:pt idx="9">
                  <c:v>44.49196610860912</c:v>
                </c:pt>
                <c:pt idx="10">
                  <c:v>41.529068763260419</c:v>
                </c:pt>
                <c:pt idx="11">
                  <c:v>42.578323326205478</c:v>
                </c:pt>
                <c:pt idx="12">
                  <c:v>42.262712583944449</c:v>
                </c:pt>
                <c:pt idx="13">
                  <c:v>42.026969829674805</c:v>
                </c:pt>
                <c:pt idx="14">
                  <c:v>41.873905938376772</c:v>
                </c:pt>
                <c:pt idx="15">
                  <c:v>41.651395757268759</c:v>
                </c:pt>
                <c:pt idx="16">
                  <c:v>41.422252162142215</c:v>
                </c:pt>
                <c:pt idx="17">
                  <c:v>41.177958372045865</c:v>
                </c:pt>
                <c:pt idx="18">
                  <c:v>40.974773040543852</c:v>
                </c:pt>
                <c:pt idx="19">
                  <c:v>40.772524828174028</c:v>
                </c:pt>
                <c:pt idx="20">
                  <c:v>40.574102002701309</c:v>
                </c:pt>
                <c:pt idx="21">
                  <c:v>40.364392680768951</c:v>
                </c:pt>
                <c:pt idx="22">
                  <c:v>40.116912585555617</c:v>
                </c:pt>
                <c:pt idx="23">
                  <c:v>39.854702237747667</c:v>
                </c:pt>
                <c:pt idx="24">
                  <c:v>39.564723931860733</c:v>
                </c:pt>
                <c:pt idx="25">
                  <c:v>39.260522108603936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7-BC3D-4F0C-A75A-38C35ADEECD8}"/>
            </c:ext>
          </c:extLst>
        </c:ser>
        <c:ser>
          <c:idx val="8"/>
          <c:order val="8"/>
          <c:tx>
            <c:strRef>
              <c:f>'Occ F2'!$L$45</c:f>
              <c:strCache>
                <c:ptCount val="1"/>
                <c:pt idx="0">
                  <c:v>Elementary occupations</c:v>
                </c:pt>
              </c:strCache>
            </c:strRef>
          </c:tx>
          <c:spPr>
            <a:solidFill>
              <a:schemeClr val="bg1"/>
            </a:solidFill>
            <a:ln w="12700" cmpd="sng">
              <a:solidFill>
                <a:srgbClr val="000000"/>
              </a:solidFill>
              <a:prstDash val="solid"/>
            </a:ln>
          </c:spP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F2'!$M$45:$AL$45</c:f>
              <c:numCache>
                <c:formatCode>#,##0</c:formatCode>
                <c:ptCount val="26"/>
                <c:pt idx="0">
                  <c:v>63.633615719687029</c:v>
                </c:pt>
                <c:pt idx="1">
                  <c:v>63.617242989390746</c:v>
                </c:pt>
                <c:pt idx="2">
                  <c:v>60.343114070641803</c:v>
                </c:pt>
                <c:pt idx="3">
                  <c:v>60.766038614980985</c:v>
                </c:pt>
                <c:pt idx="4">
                  <c:v>62.177904545908241</c:v>
                </c:pt>
                <c:pt idx="5">
                  <c:v>64.549921433423492</c:v>
                </c:pt>
                <c:pt idx="6">
                  <c:v>65.041910297057527</c:v>
                </c:pt>
                <c:pt idx="7">
                  <c:v>66.177254132175719</c:v>
                </c:pt>
                <c:pt idx="8">
                  <c:v>63.763011023212698</c:v>
                </c:pt>
                <c:pt idx="9">
                  <c:v>61.55824239921737</c:v>
                </c:pt>
                <c:pt idx="10">
                  <c:v>56.857989419446334</c:v>
                </c:pt>
                <c:pt idx="11">
                  <c:v>59.509008871869312</c:v>
                </c:pt>
                <c:pt idx="12">
                  <c:v>59.418674620309439</c:v>
                </c:pt>
                <c:pt idx="13">
                  <c:v>59.193600338009162</c:v>
                </c:pt>
                <c:pt idx="14">
                  <c:v>59.077606283450407</c:v>
                </c:pt>
                <c:pt idx="15">
                  <c:v>58.846565415939224</c:v>
                </c:pt>
                <c:pt idx="16">
                  <c:v>58.558441776246269</c:v>
                </c:pt>
                <c:pt idx="17">
                  <c:v>58.245036784195491</c:v>
                </c:pt>
                <c:pt idx="18">
                  <c:v>57.937788525085999</c:v>
                </c:pt>
                <c:pt idx="19">
                  <c:v>57.652831621588334</c:v>
                </c:pt>
                <c:pt idx="20">
                  <c:v>57.418391789745357</c:v>
                </c:pt>
                <c:pt idx="21">
                  <c:v>57.190823680417999</c:v>
                </c:pt>
                <c:pt idx="22">
                  <c:v>56.942117352437918</c:v>
                </c:pt>
                <c:pt idx="23">
                  <c:v>56.718780601416249</c:v>
                </c:pt>
                <c:pt idx="24">
                  <c:v>56.497520141363111</c:v>
                </c:pt>
                <c:pt idx="25">
                  <c:v>56.277683956957446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BC3D-4F0C-A75A-38C35ADEECD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50342512"/>
        <c:axId val="250342904"/>
      </c:areaChart>
      <c:catAx>
        <c:axId val="250342512"/>
        <c:scaling>
          <c:orientation val="minMax"/>
        </c:scaling>
        <c:delete val="0"/>
        <c:axPos val="b"/>
        <c:numFmt formatCode="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-540000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250342904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250342904"/>
        <c:scaling>
          <c:orientation val="minMax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0%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250342512"/>
        <c:crosses val="autoZero"/>
        <c:crossBetween val="midCat"/>
      </c:valAx>
      <c:spPr>
        <a:noFill/>
        <a:ln w="12700">
          <a:solidFill>
            <a:srgbClr val="808080"/>
          </a:solidFill>
          <a:prstDash val="solid"/>
        </a:ln>
      </c:spPr>
    </c:plotArea>
    <c:legend>
      <c:legendPos val="b"/>
      <c:layout>
        <c:manualLayout>
          <c:xMode val="edge"/>
          <c:yMode val="edge"/>
          <c:x val="7.0886092785699087E-2"/>
          <c:y val="0.85872628043372545"/>
          <c:w val="0.9100947010002125"/>
          <c:h val="0.13435190395150617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870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legend>
    <c:plotVisOnly val="1"/>
    <c:dispBlanksAs val="zero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95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000000000001465" r="0.75000000000001465" t="1" header="0.5" footer="0.5"/>
    <c:pageSetup paperSize="9" orientation="landscape"/>
  </c:printSettings>
</c:chartSpace>
</file>

<file path=xl/charts/chart2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radarChart>
        <c:radarStyle val="marker"/>
        <c:varyColors val="0"/>
        <c:ser>
          <c:idx val="0"/>
          <c:order val="0"/>
          <c:tx>
            <c:strRef>
              <c:f>'Occ T1'!$F$6</c:f>
              <c:strCache>
                <c:ptCount val="1"/>
                <c:pt idx="0">
                  <c:v>2035</c:v>
                </c:pt>
              </c:strCache>
            </c:strRef>
          </c:tx>
          <c:marker>
            <c:symbol val="none"/>
          </c:marker>
          <c:cat>
            <c:strRef>
              <c:f>'Occ T1'!$A$8:$A$16</c:f>
              <c:strCache>
                <c:ptCount val="9"/>
                <c:pt idx="0">
                  <c:v>Managers, directors and senior officials</c:v>
                </c:pt>
                <c:pt idx="1">
                  <c:v>Professional occupations</c:v>
                </c:pt>
                <c:pt idx="2">
                  <c:v>Associate professional occupations</c:v>
                </c:pt>
                <c:pt idx="3">
                  <c:v>Administrative and secretarial occupations</c:v>
                </c:pt>
                <c:pt idx="4">
                  <c:v>Skilled trades occupations</c:v>
                </c:pt>
                <c:pt idx="5">
                  <c:v>Caring, leisure and other service occupations</c:v>
                </c:pt>
                <c:pt idx="6">
                  <c:v>Sales and customer service occupations</c:v>
                </c:pt>
                <c:pt idx="7">
                  <c:v>Process, plant and machine operatives</c:v>
                </c:pt>
                <c:pt idx="8">
                  <c:v>Elementary occupations</c:v>
                </c:pt>
              </c:strCache>
            </c:strRef>
          </c:cat>
          <c:val>
            <c:numRef>
              <c:f>'Occ T1'!$F$8:$F$16</c:f>
              <c:numCache>
                <c:formatCode>#,##0</c:formatCode>
                <c:ptCount val="9"/>
                <c:pt idx="0">
                  <c:v>55.943507600005354</c:v>
                </c:pt>
                <c:pt idx="1">
                  <c:v>117.27071910226633</c:v>
                </c:pt>
                <c:pt idx="2">
                  <c:v>69.798906165083082</c:v>
                </c:pt>
                <c:pt idx="3">
                  <c:v>48.17662628932424</c:v>
                </c:pt>
                <c:pt idx="4">
                  <c:v>43.234890421391583</c:v>
                </c:pt>
                <c:pt idx="5">
                  <c:v>60.427646216979987</c:v>
                </c:pt>
                <c:pt idx="6">
                  <c:v>42.521498139387894</c:v>
                </c:pt>
                <c:pt idx="7">
                  <c:v>39.260522108603936</c:v>
                </c:pt>
                <c:pt idx="8">
                  <c:v>56.277683956957446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3BCB-48C7-87FF-8D2305D66F7C}"/>
            </c:ext>
          </c:extLst>
        </c:ser>
        <c:ser>
          <c:idx val="1"/>
          <c:order val="1"/>
          <c:tx>
            <c:strRef>
              <c:f>'Occ T1'!$D$6</c:f>
              <c:strCache>
                <c:ptCount val="1"/>
                <c:pt idx="0">
                  <c:v>2020</c:v>
                </c:pt>
              </c:strCache>
            </c:strRef>
          </c:tx>
          <c:marker>
            <c:symbol val="none"/>
          </c:marker>
          <c:cat>
            <c:strRef>
              <c:f>'Occ T1'!$A$8:$A$16</c:f>
              <c:strCache>
                <c:ptCount val="9"/>
                <c:pt idx="0">
                  <c:v>Managers, directors and senior officials</c:v>
                </c:pt>
                <c:pt idx="1">
                  <c:v>Professional occupations</c:v>
                </c:pt>
                <c:pt idx="2">
                  <c:v>Associate professional occupations</c:v>
                </c:pt>
                <c:pt idx="3">
                  <c:v>Administrative and secretarial occupations</c:v>
                </c:pt>
                <c:pt idx="4">
                  <c:v>Skilled trades occupations</c:v>
                </c:pt>
                <c:pt idx="5">
                  <c:v>Caring, leisure and other service occupations</c:v>
                </c:pt>
                <c:pt idx="6">
                  <c:v>Sales and customer service occupations</c:v>
                </c:pt>
                <c:pt idx="7">
                  <c:v>Process, plant and machine operatives</c:v>
                </c:pt>
                <c:pt idx="8">
                  <c:v>Elementary occupations</c:v>
                </c:pt>
              </c:strCache>
            </c:strRef>
          </c:cat>
          <c:val>
            <c:numRef>
              <c:f>'Occ T1'!$D$8:$D$16</c:f>
              <c:numCache>
                <c:formatCode>#,##0</c:formatCode>
                <c:ptCount val="9"/>
                <c:pt idx="0">
                  <c:v>54.908286938105874</c:v>
                </c:pt>
                <c:pt idx="1">
                  <c:v>100.75322851210709</c:v>
                </c:pt>
                <c:pt idx="2">
                  <c:v>61.437373146147308</c:v>
                </c:pt>
                <c:pt idx="3">
                  <c:v>51.152140412056283</c:v>
                </c:pt>
                <c:pt idx="4">
                  <c:v>48.532940947383196</c:v>
                </c:pt>
                <c:pt idx="5">
                  <c:v>56.846498020688699</c:v>
                </c:pt>
                <c:pt idx="6">
                  <c:v>42.827473840804956</c:v>
                </c:pt>
                <c:pt idx="7">
                  <c:v>41.529068763260419</c:v>
                </c:pt>
                <c:pt idx="8">
                  <c:v>56.857989419446334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3BCB-48C7-87FF-8D2305D66F7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50343688"/>
        <c:axId val="250344080"/>
      </c:radarChart>
      <c:catAx>
        <c:axId val="250343688"/>
        <c:scaling>
          <c:orientation val="minMax"/>
        </c:scaling>
        <c:delete val="0"/>
        <c:axPos val="b"/>
        <c:majorGridlines/>
        <c:numFmt formatCode="General" sourceLinked="0"/>
        <c:majorTickMark val="out"/>
        <c:minorTickMark val="none"/>
        <c:tickLblPos val="nextTo"/>
        <c:txPr>
          <a:bodyPr/>
          <a:lstStyle/>
          <a:p>
            <a:pPr>
              <a:defRPr lang="en-US"/>
            </a:pPr>
            <a:endParaRPr lang="en-US"/>
          </a:p>
        </c:txPr>
        <c:crossAx val="250344080"/>
        <c:crosses val="autoZero"/>
        <c:auto val="1"/>
        <c:lblAlgn val="ctr"/>
        <c:lblOffset val="100"/>
        <c:noMultiLvlLbl val="0"/>
      </c:catAx>
      <c:valAx>
        <c:axId val="250344080"/>
        <c:scaling>
          <c:orientation val="minMax"/>
        </c:scaling>
        <c:delete val="0"/>
        <c:axPos val="l"/>
        <c:majorGridlines/>
        <c:numFmt formatCode="#,##0" sourceLinked="1"/>
        <c:majorTickMark val="cross"/>
        <c:minorTickMark val="none"/>
        <c:tickLblPos val="nextTo"/>
        <c:txPr>
          <a:bodyPr/>
          <a:lstStyle/>
          <a:p>
            <a:pPr>
              <a:defRPr lang="en-US"/>
            </a:pPr>
            <a:endParaRPr lang="en-US"/>
          </a:p>
        </c:txPr>
        <c:crossAx val="250343688"/>
        <c:crosses val="autoZero"/>
        <c:crossBetween val="between"/>
      </c:valAx>
    </c:plotArea>
    <c:legend>
      <c:legendPos val="r"/>
      <c:overlay val="0"/>
      <c:txPr>
        <a:bodyPr/>
        <a:lstStyle/>
        <a:p>
          <a:pPr>
            <a:defRPr lang="en-US"/>
          </a:pPr>
          <a:endParaRPr lang="en-US"/>
        </a:p>
      </c:txPr>
    </c:legend>
    <c:plotVisOnly val="1"/>
    <c:dispBlanksAs val="gap"/>
    <c:showDLblsOverMax val="0"/>
  </c:chart>
  <c:printSettings>
    <c:headerFooter/>
    <c:pageMargins b="0.7500000000000081" l="0.70000000000000062" r="0.70000000000000062" t="0.7500000000000081" header="0.30000000000000032" footer="0.30000000000000032"/>
    <c:pageSetup/>
  </c:printSettings>
</c:chartSpace>
</file>

<file path=xl/charts/chart2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lang="en-US"/>
            </a:pPr>
            <a:r>
              <a:rPr lang="en-US" sz="900"/>
              <a:t>% of total employment</a:t>
            </a:r>
          </a:p>
        </c:rich>
      </c:tx>
      <c:layout>
        <c:manualLayout>
          <c:xMode val="edge"/>
          <c:yMode val="edge"/>
          <c:x val="0.72238188976377971"/>
          <c:y val="5.5555555555555455E-2"/>
        </c:manualLayout>
      </c:layout>
      <c:overlay val="0"/>
    </c:title>
    <c:autoTitleDeleted val="0"/>
    <c:plotArea>
      <c:layout/>
      <c:radarChart>
        <c:radarStyle val="marker"/>
        <c:varyColors val="0"/>
        <c:ser>
          <c:idx val="0"/>
          <c:order val="0"/>
          <c:tx>
            <c:strRef>
              <c:f>'Occ T1'!$F$24</c:f>
              <c:strCache>
                <c:ptCount val="1"/>
                <c:pt idx="0">
                  <c:v>2035</c:v>
                </c:pt>
              </c:strCache>
            </c:strRef>
          </c:tx>
          <c:marker>
            <c:symbol val="none"/>
          </c:marker>
          <c:cat>
            <c:strRef>
              <c:f>'Occ T1'!$A$26:$A$34</c:f>
              <c:strCache>
                <c:ptCount val="9"/>
                <c:pt idx="0">
                  <c:v>Managers, directors and senior officials</c:v>
                </c:pt>
                <c:pt idx="1">
                  <c:v>Professional occupations</c:v>
                </c:pt>
                <c:pt idx="2">
                  <c:v>Associate professional occupations</c:v>
                </c:pt>
                <c:pt idx="3">
                  <c:v>Administrative and secretarial occupations</c:v>
                </c:pt>
                <c:pt idx="4">
                  <c:v>Skilled trades occupations</c:v>
                </c:pt>
                <c:pt idx="5">
                  <c:v>Caring, leisure and other service occupations</c:v>
                </c:pt>
                <c:pt idx="6">
                  <c:v>Sales and customer service occupations</c:v>
                </c:pt>
                <c:pt idx="7">
                  <c:v>Process, plant and machine operatives</c:v>
                </c:pt>
                <c:pt idx="8">
                  <c:v>Elementary occupations</c:v>
                </c:pt>
              </c:strCache>
            </c:strRef>
          </c:cat>
          <c:val>
            <c:numRef>
              <c:f>'Occ T1'!$F$26:$F$34</c:f>
              <c:numCache>
                <c:formatCode>0.0</c:formatCode>
                <c:ptCount val="9"/>
                <c:pt idx="0">
                  <c:v>10.497700858679364</c:v>
                </c:pt>
                <c:pt idx="1">
                  <c:v>22.00564429066457</c:v>
                </c:pt>
                <c:pt idx="2">
                  <c:v>13.097642043167184</c:v>
                </c:pt>
                <c:pt idx="3">
                  <c:v>9.0402592340431926</c:v>
                </c:pt>
                <c:pt idx="4">
                  <c:v>8.1129511854474288</c:v>
                </c:pt>
                <c:pt idx="5">
                  <c:v>11.339141587537908</c:v>
                </c:pt>
                <c:pt idx="6">
                  <c:v>7.97908437779369</c:v>
                </c:pt>
                <c:pt idx="7">
                  <c:v>7.3671679580500999</c:v>
                </c:pt>
                <c:pt idx="8">
                  <c:v>10.560408464616572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E49F-433A-BBDE-5FE09C22A8FF}"/>
            </c:ext>
          </c:extLst>
        </c:ser>
        <c:ser>
          <c:idx val="1"/>
          <c:order val="1"/>
          <c:tx>
            <c:strRef>
              <c:f>'Occ T1'!$D$24</c:f>
              <c:strCache>
                <c:ptCount val="1"/>
                <c:pt idx="0">
                  <c:v>2020</c:v>
                </c:pt>
              </c:strCache>
            </c:strRef>
          </c:tx>
          <c:marker>
            <c:symbol val="none"/>
          </c:marker>
          <c:cat>
            <c:strRef>
              <c:f>'Occ T1'!$A$26:$A$34</c:f>
              <c:strCache>
                <c:ptCount val="9"/>
                <c:pt idx="0">
                  <c:v>Managers, directors and senior officials</c:v>
                </c:pt>
                <c:pt idx="1">
                  <c:v>Professional occupations</c:v>
                </c:pt>
                <c:pt idx="2">
                  <c:v>Associate professional occupations</c:v>
                </c:pt>
                <c:pt idx="3">
                  <c:v>Administrative and secretarial occupations</c:v>
                </c:pt>
                <c:pt idx="4">
                  <c:v>Skilled trades occupations</c:v>
                </c:pt>
                <c:pt idx="5">
                  <c:v>Caring, leisure and other service occupations</c:v>
                </c:pt>
                <c:pt idx="6">
                  <c:v>Sales and customer service occupations</c:v>
                </c:pt>
                <c:pt idx="7">
                  <c:v>Process, plant and machine operatives</c:v>
                </c:pt>
                <c:pt idx="8">
                  <c:v>Elementary occupations</c:v>
                </c:pt>
              </c:strCache>
            </c:strRef>
          </c:cat>
          <c:val>
            <c:numRef>
              <c:f>'Occ T1'!$D$26:$D$34</c:f>
              <c:numCache>
                <c:formatCode>0.0</c:formatCode>
                <c:ptCount val="9"/>
                <c:pt idx="0">
                  <c:v>10.665013147278474</c:v>
                </c:pt>
                <c:pt idx="1">
                  <c:v>19.569623578379332</c:v>
                </c:pt>
                <c:pt idx="2">
                  <c:v>11.933178557846981</c:v>
                </c:pt>
                <c:pt idx="3">
                  <c:v>9.9354447284243346</c:v>
                </c:pt>
                <c:pt idx="4">
                  <c:v>9.4267091935209972</c:v>
                </c:pt>
                <c:pt idx="5">
                  <c:v>11.041478118790838</c:v>
                </c:pt>
                <c:pt idx="6">
                  <c:v>8.3185179696423077</c:v>
                </c:pt>
                <c:pt idx="7">
                  <c:v>8.0663245759909117</c:v>
                </c:pt>
                <c:pt idx="8">
                  <c:v>11.043710130125827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E49F-433A-BBDE-5FE09C22A8FF}"/>
            </c:ext>
          </c:extLst>
        </c:ser>
        <c:ser>
          <c:idx val="2"/>
          <c:order val="2"/>
          <c:tx>
            <c:strRef>
              <c:f>'Occ T1'!$B$24</c:f>
              <c:strCache>
                <c:ptCount val="1"/>
                <c:pt idx="0">
                  <c:v>2015</c:v>
                </c:pt>
              </c:strCache>
            </c:strRef>
          </c:tx>
          <c:marker>
            <c:symbol val="none"/>
          </c:marker>
          <c:cat>
            <c:strRef>
              <c:f>'Occ T1'!$A$26:$A$34</c:f>
              <c:strCache>
                <c:ptCount val="9"/>
                <c:pt idx="0">
                  <c:v>Managers, directors and senior officials</c:v>
                </c:pt>
                <c:pt idx="1">
                  <c:v>Professional occupations</c:v>
                </c:pt>
                <c:pt idx="2">
                  <c:v>Associate professional occupations</c:v>
                </c:pt>
                <c:pt idx="3">
                  <c:v>Administrative and secretarial occupations</c:v>
                </c:pt>
                <c:pt idx="4">
                  <c:v>Skilled trades occupations</c:v>
                </c:pt>
                <c:pt idx="5">
                  <c:v>Caring, leisure and other service occupations</c:v>
                </c:pt>
                <c:pt idx="6">
                  <c:v>Sales and customer service occupations</c:v>
                </c:pt>
                <c:pt idx="7">
                  <c:v>Process, plant and machine operatives</c:v>
                </c:pt>
                <c:pt idx="8">
                  <c:v>Elementary occupations</c:v>
                </c:pt>
              </c:strCache>
            </c:strRef>
          </c:cat>
          <c:val>
            <c:numRef>
              <c:f>'Occ T1'!$B$26:$B$34</c:f>
              <c:numCache>
                <c:formatCode>0.0</c:formatCode>
                <c:ptCount val="9"/>
                <c:pt idx="0">
                  <c:v>9.1168539341778221</c:v>
                </c:pt>
                <c:pt idx="1">
                  <c:v>16.775761884444677</c:v>
                </c:pt>
                <c:pt idx="2">
                  <c:v>10.750866807448402</c:v>
                </c:pt>
                <c:pt idx="3">
                  <c:v>10.240410371723357</c:v>
                </c:pt>
                <c:pt idx="4">
                  <c:v>11.07885049054623</c:v>
                </c:pt>
                <c:pt idx="5">
                  <c:v>11.008896403928157</c:v>
                </c:pt>
                <c:pt idx="6">
                  <c:v>9.2439413823017382</c:v>
                </c:pt>
                <c:pt idx="7">
                  <c:v>8.9157428881824785</c:v>
                </c:pt>
                <c:pt idx="8">
                  <c:v>12.868675837247126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E49F-433A-BBDE-5FE09C22A8F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50344864"/>
        <c:axId val="250345256"/>
      </c:radarChart>
      <c:catAx>
        <c:axId val="250344864"/>
        <c:scaling>
          <c:orientation val="minMax"/>
        </c:scaling>
        <c:delete val="0"/>
        <c:axPos val="b"/>
        <c:majorGridlines/>
        <c:numFmt formatCode="General" sourceLinked="0"/>
        <c:majorTickMark val="out"/>
        <c:minorTickMark val="none"/>
        <c:tickLblPos val="nextTo"/>
        <c:txPr>
          <a:bodyPr/>
          <a:lstStyle/>
          <a:p>
            <a:pPr>
              <a:defRPr lang="en-US"/>
            </a:pPr>
            <a:endParaRPr lang="en-US"/>
          </a:p>
        </c:txPr>
        <c:crossAx val="250345256"/>
        <c:crosses val="autoZero"/>
        <c:auto val="1"/>
        <c:lblAlgn val="ctr"/>
        <c:lblOffset val="100"/>
        <c:noMultiLvlLbl val="0"/>
      </c:catAx>
      <c:valAx>
        <c:axId val="250345256"/>
        <c:scaling>
          <c:orientation val="minMax"/>
        </c:scaling>
        <c:delete val="0"/>
        <c:axPos val="l"/>
        <c:majorGridlines/>
        <c:numFmt formatCode="0.0" sourceLinked="1"/>
        <c:majorTickMark val="cross"/>
        <c:minorTickMark val="none"/>
        <c:tickLblPos val="nextTo"/>
        <c:txPr>
          <a:bodyPr/>
          <a:lstStyle/>
          <a:p>
            <a:pPr>
              <a:defRPr lang="en-US"/>
            </a:pPr>
            <a:endParaRPr lang="en-US"/>
          </a:p>
        </c:txPr>
        <c:crossAx val="250344864"/>
        <c:crosses val="autoZero"/>
        <c:crossBetween val="between"/>
      </c:valAx>
    </c:plotArea>
    <c:legend>
      <c:legendPos val="r"/>
      <c:overlay val="0"/>
      <c:txPr>
        <a:bodyPr/>
        <a:lstStyle/>
        <a:p>
          <a:pPr>
            <a:defRPr lang="en-US"/>
          </a:pPr>
          <a:endParaRPr lang="en-US"/>
        </a:p>
      </c:txPr>
    </c:legend>
    <c:plotVisOnly val="1"/>
    <c:dispBlanksAs val="gap"/>
    <c:showDLblsOverMax val="0"/>
  </c:chart>
  <c:printSettings>
    <c:headerFooter/>
    <c:pageMargins b="0.7500000000000081" l="0.70000000000000062" r="0.70000000000000062" t="0.7500000000000081" header="0.30000000000000032" footer="0.30000000000000032"/>
    <c:pageSetup orientation="portrait"/>
  </c:printSettings>
</c:chartSpace>
</file>

<file path=xl/charts/chart2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9.4000718237922956E-2"/>
          <c:y val="5.3619302949061684E-2"/>
          <c:w val="0.86958661417322847"/>
          <c:h val="0.74962385222351946"/>
        </c:manualLayout>
      </c:layout>
      <c:lineChart>
        <c:grouping val="standard"/>
        <c:varyColors val="0"/>
        <c:ser>
          <c:idx val="0"/>
          <c:order val="0"/>
          <c:tx>
            <c:strRef>
              <c:f>'Occ F2'!$L$52</c:f>
              <c:strCache>
                <c:ptCount val="1"/>
                <c:pt idx="0">
                  <c:v>Managers, directors and senior officials</c:v>
                </c:pt>
              </c:strCache>
            </c:strRef>
          </c:tx>
          <c:spPr>
            <a:ln w="12700">
              <a:solidFill>
                <a:srgbClr val="000000"/>
              </a:solidFill>
              <a:prstDash val="solid"/>
            </a:ln>
          </c:spPr>
          <c:marker>
            <c:symbol val="none"/>
          </c:marke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F2'!$M$52:$AL$52</c:f>
              <c:numCache>
                <c:formatCode>0%</c:formatCode>
                <c:ptCount val="26"/>
                <c:pt idx="0">
                  <c:v>8.1812284683984993E-2</c:v>
                </c:pt>
                <c:pt idx="1">
                  <c:v>8.8187334760624944E-2</c:v>
                </c:pt>
                <c:pt idx="2">
                  <c:v>9.0949709936753942E-2</c:v>
                </c:pt>
                <c:pt idx="3">
                  <c:v>9.0195841315569639E-2</c:v>
                </c:pt>
                <c:pt idx="4">
                  <c:v>9.023413682757854E-2</c:v>
                </c:pt>
                <c:pt idx="5">
                  <c:v>9.1168539341778224E-2</c:v>
                </c:pt>
                <c:pt idx="6">
                  <c:v>9.2774737616024228E-2</c:v>
                </c:pt>
                <c:pt idx="7">
                  <c:v>9.6113006383229518E-2</c:v>
                </c:pt>
                <c:pt idx="8">
                  <c:v>9.5965049544443556E-2</c:v>
                </c:pt>
                <c:pt idx="9">
                  <c:v>0.1016352080616045</c:v>
                </c:pt>
                <c:pt idx="10">
                  <c:v>0.10665013147278474</c:v>
                </c:pt>
                <c:pt idx="11">
                  <c:v>9.628408494546474E-2</c:v>
                </c:pt>
                <c:pt idx="12">
                  <c:v>9.6950332527728847E-2</c:v>
                </c:pt>
                <c:pt idx="13">
                  <c:v>9.7545387197037564E-2</c:v>
                </c:pt>
                <c:pt idx="14">
                  <c:v>9.8156678418257828E-2</c:v>
                </c:pt>
                <c:pt idx="15">
                  <c:v>9.8749774051860043E-2</c:v>
                </c:pt>
                <c:pt idx="16">
                  <c:v>9.9345640796239518E-2</c:v>
                </c:pt>
                <c:pt idx="17">
                  <c:v>9.9972462613125562E-2</c:v>
                </c:pt>
                <c:pt idx="18">
                  <c:v>0.10058913820904079</c:v>
                </c:pt>
                <c:pt idx="19">
                  <c:v>0.10119490231501264</c:v>
                </c:pt>
                <c:pt idx="20">
                  <c:v>0.10181304088872549</c:v>
                </c:pt>
                <c:pt idx="21">
                  <c:v>0.10245422449114124</c:v>
                </c:pt>
                <c:pt idx="22">
                  <c:v>0.10306674732393391</c:v>
                </c:pt>
                <c:pt idx="23">
                  <c:v>0.10368314083530222</c:v>
                </c:pt>
                <c:pt idx="24">
                  <c:v>0.10432154914183014</c:v>
                </c:pt>
                <c:pt idx="25">
                  <c:v>0.10497700858679364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C-9AAC-4C4B-BBFD-BAF66A5040A1}"/>
            </c:ext>
          </c:extLst>
        </c:ser>
        <c:ser>
          <c:idx val="1"/>
          <c:order val="1"/>
          <c:tx>
            <c:strRef>
              <c:f>'Occ F2'!$L$56</c:f>
              <c:strCache>
                <c:ptCount val="1"/>
                <c:pt idx="0">
                  <c:v>Professional occupations</c:v>
                </c:pt>
              </c:strCache>
            </c:strRef>
          </c:tx>
          <c:spPr>
            <a:ln w="12700">
              <a:solidFill>
                <a:srgbClr val="000000"/>
              </a:solidFill>
              <a:prstDash val="solid"/>
            </a:ln>
          </c:spPr>
          <c:marker>
            <c:symbol val="square"/>
            <c:size val="6"/>
            <c:spPr>
              <a:solidFill>
                <a:srgbClr val="000000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F2'!$M$56:$AL$56</c:f>
              <c:numCache>
                <c:formatCode>0%</c:formatCode>
                <c:ptCount val="26"/>
                <c:pt idx="0">
                  <c:v>0.17360400593400127</c:v>
                </c:pt>
                <c:pt idx="1">
                  <c:v>0.16625146139267383</c:v>
                </c:pt>
                <c:pt idx="2">
                  <c:v>0.16679725273813079</c:v>
                </c:pt>
                <c:pt idx="3">
                  <c:v>0.16782704534451548</c:v>
                </c:pt>
                <c:pt idx="4">
                  <c:v>0.17186361065192174</c:v>
                </c:pt>
                <c:pt idx="5">
                  <c:v>0.16775761884444676</c:v>
                </c:pt>
                <c:pt idx="6">
                  <c:v>0.17094391004019041</c:v>
                </c:pt>
                <c:pt idx="7">
                  <c:v>0.16801269912319183</c:v>
                </c:pt>
                <c:pt idx="8">
                  <c:v>0.17729670570778766</c:v>
                </c:pt>
                <c:pt idx="9">
                  <c:v>0.18285095310325325</c:v>
                </c:pt>
                <c:pt idx="10">
                  <c:v>0.1956962357837933</c:v>
                </c:pt>
                <c:pt idx="11">
                  <c:v>0.19901751553778124</c:v>
                </c:pt>
                <c:pt idx="12">
                  <c:v>0.20008941618755413</c:v>
                </c:pt>
                <c:pt idx="13">
                  <c:v>0.20159194822460386</c:v>
                </c:pt>
                <c:pt idx="14">
                  <c:v>0.20304432329136377</c:v>
                </c:pt>
                <c:pt idx="15">
                  <c:v>0.20450757969155231</c:v>
                </c:pt>
                <c:pt idx="16">
                  <c:v>0.20600063337581356</c:v>
                </c:pt>
                <c:pt idx="17">
                  <c:v>0.20754044456274012</c:v>
                </c:pt>
                <c:pt idx="18">
                  <c:v>0.20913052649757369</c:v>
                </c:pt>
                <c:pt idx="19">
                  <c:v>0.21068470639168219</c:v>
                </c:pt>
                <c:pt idx="20">
                  <c:v>0.21229890186679595</c:v>
                </c:pt>
                <c:pt idx="21">
                  <c:v>0.213891318099445</c:v>
                </c:pt>
                <c:pt idx="22">
                  <c:v>0.21542517608822767</c:v>
                </c:pt>
                <c:pt idx="23">
                  <c:v>0.21693509762036553</c:v>
                </c:pt>
                <c:pt idx="24">
                  <c:v>0.21847551852074623</c:v>
                </c:pt>
                <c:pt idx="25">
                  <c:v>0.22005644290664569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E-9AAC-4C4B-BBFD-BAF66A5040A1}"/>
            </c:ext>
          </c:extLst>
        </c:ser>
        <c:ser>
          <c:idx val="2"/>
          <c:order val="2"/>
          <c:tx>
            <c:strRef>
              <c:f>'Occ F2'!$L$62</c:f>
              <c:strCache>
                <c:ptCount val="1"/>
                <c:pt idx="0">
                  <c:v>Associate professional occupations</c:v>
                </c:pt>
              </c:strCache>
            </c:strRef>
          </c:tx>
          <c:spPr>
            <a:ln w="12700">
              <a:solidFill>
                <a:srgbClr val="000000"/>
              </a:solidFill>
              <a:prstDash val="solid"/>
            </a:ln>
          </c:spPr>
          <c:marker>
            <c:symbol val="diamond"/>
            <c:size val="6"/>
            <c:spPr>
              <a:solidFill>
                <a:srgbClr val="000000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F2'!$M$62:$AL$62</c:f>
              <c:numCache>
                <c:formatCode>0%</c:formatCode>
                <c:ptCount val="26"/>
                <c:pt idx="0">
                  <c:v>0.10581646059727721</c:v>
                </c:pt>
                <c:pt idx="1">
                  <c:v>0.10685749538888693</c:v>
                </c:pt>
                <c:pt idx="2">
                  <c:v>0.10829384885212129</c:v>
                </c:pt>
                <c:pt idx="3">
                  <c:v>0.10603441858834908</c:v>
                </c:pt>
                <c:pt idx="4">
                  <c:v>0.10816275843341212</c:v>
                </c:pt>
                <c:pt idx="5">
                  <c:v>0.10750866807448402</c:v>
                </c:pt>
                <c:pt idx="6">
                  <c:v>0.10718440134804194</c:v>
                </c:pt>
                <c:pt idx="7">
                  <c:v>0.11051681829848267</c:v>
                </c:pt>
                <c:pt idx="8">
                  <c:v>0.11217835691588758</c:v>
                </c:pt>
                <c:pt idx="9">
                  <c:v>0.11248641722167081</c:v>
                </c:pt>
                <c:pt idx="10">
                  <c:v>0.11933178557846981</c:v>
                </c:pt>
                <c:pt idx="11">
                  <c:v>0.12086264089877023</c:v>
                </c:pt>
                <c:pt idx="12">
                  <c:v>0.12151813949733523</c:v>
                </c:pt>
                <c:pt idx="13">
                  <c:v>0.12228157450685707</c:v>
                </c:pt>
                <c:pt idx="14">
                  <c:v>0.12305696936676491</c:v>
                </c:pt>
                <c:pt idx="15">
                  <c:v>0.12380230657703804</c:v>
                </c:pt>
                <c:pt idx="16">
                  <c:v>0.12453121229406042</c:v>
                </c:pt>
                <c:pt idx="17">
                  <c:v>0.12524660745088945</c:v>
                </c:pt>
                <c:pt idx="18">
                  <c:v>0.12590636340689107</c:v>
                </c:pt>
                <c:pt idx="19">
                  <c:v>0.12659309044658779</c:v>
                </c:pt>
                <c:pt idx="20">
                  <c:v>0.12731476799918731</c:v>
                </c:pt>
                <c:pt idx="21">
                  <c:v>0.12807551783957635</c:v>
                </c:pt>
                <c:pt idx="22">
                  <c:v>0.12875957532659407</c:v>
                </c:pt>
                <c:pt idx="23">
                  <c:v>0.12948097348276408</c:v>
                </c:pt>
                <c:pt idx="24">
                  <c:v>0.130210275016966</c:v>
                </c:pt>
                <c:pt idx="25">
                  <c:v>0.13097642043167185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0-9AAC-4C4B-BBFD-BAF66A5040A1}"/>
            </c:ext>
          </c:extLst>
        </c:ser>
        <c:ser>
          <c:idx val="3"/>
          <c:order val="3"/>
          <c:tx>
            <c:strRef>
              <c:f>'Occ F2'!$L$69</c:f>
              <c:strCache>
                <c:ptCount val="1"/>
                <c:pt idx="0">
                  <c:v>Administrative and secretarial occupations</c:v>
                </c:pt>
              </c:strCache>
            </c:strRef>
          </c:tx>
          <c:spPr>
            <a:ln w="12700">
              <a:solidFill>
                <a:srgbClr val="000000"/>
              </a:solidFill>
              <a:prstDash val="solid"/>
            </a:ln>
          </c:spPr>
          <c:marker>
            <c:symbol val="triangle"/>
            <c:size val="6"/>
            <c:spPr>
              <a:solidFill>
                <a:srgbClr val="000000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F2'!$M$69:$AL$69</c:f>
              <c:numCache>
                <c:formatCode>0%</c:formatCode>
                <c:ptCount val="26"/>
                <c:pt idx="0">
                  <c:v>0.10534472288288947</c:v>
                </c:pt>
                <c:pt idx="1">
                  <c:v>0.10422187945125197</c:v>
                </c:pt>
                <c:pt idx="2">
                  <c:v>0.10371505184571922</c:v>
                </c:pt>
                <c:pt idx="3">
                  <c:v>0.1041135591584265</c:v>
                </c:pt>
                <c:pt idx="4">
                  <c:v>0.10297552906033186</c:v>
                </c:pt>
                <c:pt idx="5">
                  <c:v>0.10240410371723356</c:v>
                </c:pt>
                <c:pt idx="6">
                  <c:v>9.6435129819255977E-2</c:v>
                </c:pt>
                <c:pt idx="7">
                  <c:v>9.9759855735483738E-2</c:v>
                </c:pt>
                <c:pt idx="8">
                  <c:v>9.9316614753770585E-2</c:v>
                </c:pt>
                <c:pt idx="9">
                  <c:v>9.6436763737944561E-2</c:v>
                </c:pt>
                <c:pt idx="10">
                  <c:v>9.935444728424335E-2</c:v>
                </c:pt>
                <c:pt idx="11">
                  <c:v>0.10051681639232823</c:v>
                </c:pt>
                <c:pt idx="12">
                  <c:v>9.9898949325050279E-2</c:v>
                </c:pt>
                <c:pt idx="13">
                  <c:v>9.9281460103402247E-2</c:v>
                </c:pt>
                <c:pt idx="14">
                  <c:v>9.8732822185213009E-2</c:v>
                </c:pt>
                <c:pt idx="15">
                  <c:v>9.8064776745205612E-2</c:v>
                </c:pt>
                <c:pt idx="16">
                  <c:v>9.7410872160658954E-2</c:v>
                </c:pt>
                <c:pt idx="17">
                  <c:v>9.6771954178540648E-2</c:v>
                </c:pt>
                <c:pt idx="18">
                  <c:v>9.6115474533895295E-2</c:v>
                </c:pt>
                <c:pt idx="19">
                  <c:v>9.539162364702615E-2</c:v>
                </c:pt>
                <c:pt idx="20">
                  <c:v>9.4554770962258727E-2</c:v>
                </c:pt>
                <c:pt idx="21">
                  <c:v>9.3634314101895627E-2</c:v>
                </c:pt>
                <c:pt idx="22">
                  <c:v>9.289548153675932E-2</c:v>
                </c:pt>
                <c:pt idx="23">
                  <c:v>9.2114332426372167E-2</c:v>
                </c:pt>
                <c:pt idx="24">
                  <c:v>9.1302573056290859E-2</c:v>
                </c:pt>
                <c:pt idx="25">
                  <c:v>9.0402592340431923E-2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2-9AAC-4C4B-BBFD-BAF66A5040A1}"/>
            </c:ext>
          </c:extLst>
        </c:ser>
        <c:ser>
          <c:idx val="4"/>
          <c:order val="4"/>
          <c:tx>
            <c:strRef>
              <c:f>'Occ F2'!$L$73</c:f>
              <c:strCache>
                <c:ptCount val="1"/>
                <c:pt idx="0">
                  <c:v>Skilled trades occupations</c:v>
                </c:pt>
              </c:strCache>
            </c:strRef>
          </c:tx>
          <c:spPr>
            <a:ln w="12700">
              <a:solidFill>
                <a:srgbClr val="000000"/>
              </a:solidFill>
              <a:prstDash val="solid"/>
            </a:ln>
          </c:spPr>
          <c:marker>
            <c:symbol val="star"/>
            <c:size val="6"/>
            <c:spPr>
              <a:noFill/>
              <a:ln>
                <a:solidFill>
                  <a:srgbClr val="000000"/>
                </a:solidFill>
                <a:prstDash val="solid"/>
              </a:ln>
            </c:spPr>
          </c:marke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F2'!$M$73:$AL$73</c:f>
              <c:numCache>
                <c:formatCode>0%</c:formatCode>
                <c:ptCount val="26"/>
                <c:pt idx="0">
                  <c:v>0.11085572761886532</c:v>
                </c:pt>
                <c:pt idx="1">
                  <c:v>0.1171272802055463</c:v>
                </c:pt>
                <c:pt idx="2">
                  <c:v>0.11763450377972449</c:v>
                </c:pt>
                <c:pt idx="3">
                  <c:v>0.10927274481286592</c:v>
                </c:pt>
                <c:pt idx="4">
                  <c:v>0.11098871658547953</c:v>
                </c:pt>
                <c:pt idx="5">
                  <c:v>0.11078850490546231</c:v>
                </c:pt>
                <c:pt idx="6">
                  <c:v>0.10978668231162099</c:v>
                </c:pt>
                <c:pt idx="7">
                  <c:v>0.110639119724149</c:v>
                </c:pt>
                <c:pt idx="8">
                  <c:v>0.10558703720770284</c:v>
                </c:pt>
                <c:pt idx="9">
                  <c:v>0.10167530731431138</c:v>
                </c:pt>
                <c:pt idx="10">
                  <c:v>9.4267091935209976E-2</c:v>
                </c:pt>
                <c:pt idx="11">
                  <c:v>9.4183601389623534E-2</c:v>
                </c:pt>
                <c:pt idx="12">
                  <c:v>9.3120621987550181E-2</c:v>
                </c:pt>
                <c:pt idx="13">
                  <c:v>9.1953766443766585E-2</c:v>
                </c:pt>
                <c:pt idx="14">
                  <c:v>9.0859358900063233E-2</c:v>
                </c:pt>
                <c:pt idx="15">
                  <c:v>8.9916979844617245E-2</c:v>
                </c:pt>
                <c:pt idx="16">
                  <c:v>8.9003138668298107E-2</c:v>
                </c:pt>
                <c:pt idx="17">
                  <c:v>8.8026044782767043E-2</c:v>
                </c:pt>
                <c:pt idx="18">
                  <c:v>8.7099315593631557E-2</c:v>
                </c:pt>
                <c:pt idx="19">
                  <c:v>8.6200136888932188E-2</c:v>
                </c:pt>
                <c:pt idx="20">
                  <c:v>8.5319078821238251E-2</c:v>
                </c:pt>
                <c:pt idx="21">
                  <c:v>8.4466289293662469E-2</c:v>
                </c:pt>
                <c:pt idx="22">
                  <c:v>8.3621715730066465E-2</c:v>
                </c:pt>
                <c:pt idx="23">
                  <c:v>8.2798627747197248E-2</c:v>
                </c:pt>
                <c:pt idx="24">
                  <c:v>8.1960531735022199E-2</c:v>
                </c:pt>
                <c:pt idx="25">
                  <c:v>8.1129511854474284E-2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4-9AAC-4C4B-BBFD-BAF66A5040A1}"/>
            </c:ext>
          </c:extLst>
        </c:ser>
        <c:ser>
          <c:idx val="5"/>
          <c:order val="5"/>
          <c:tx>
            <c:strRef>
              <c:f>'Occ F2'!$L$79</c:f>
              <c:strCache>
                <c:ptCount val="1"/>
                <c:pt idx="0">
                  <c:v>Caring, leisure and other service occupations</c:v>
                </c:pt>
              </c:strCache>
            </c:strRef>
          </c:tx>
          <c:spPr>
            <a:ln w="12700">
              <a:solidFill>
                <a:srgbClr val="000000"/>
              </a:solidFill>
              <a:prstDash val="solid"/>
            </a:ln>
          </c:spPr>
          <c:marker>
            <c:symbol val="x"/>
            <c:size val="6"/>
            <c:spPr>
              <a:noFill/>
              <a:ln>
                <a:solidFill>
                  <a:srgbClr val="000000"/>
                </a:solidFill>
                <a:prstDash val="solid"/>
              </a:ln>
            </c:spPr>
          </c:marke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F2'!$M$79:$AL$79</c:f>
              <c:numCache>
                <c:formatCode>0%</c:formatCode>
                <c:ptCount val="26"/>
                <c:pt idx="0">
                  <c:v>0.11314539445950418</c:v>
                </c:pt>
                <c:pt idx="1">
                  <c:v>0.1089213890240117</c:v>
                </c:pt>
                <c:pt idx="2">
                  <c:v>0.10875822721060667</c:v>
                </c:pt>
                <c:pt idx="3">
                  <c:v>0.11202747795648486</c:v>
                </c:pt>
                <c:pt idx="4">
                  <c:v>0.11259283327907695</c:v>
                </c:pt>
                <c:pt idx="5">
                  <c:v>0.11008896403928158</c:v>
                </c:pt>
                <c:pt idx="6">
                  <c:v>0.11356069587963699</c:v>
                </c:pt>
                <c:pt idx="7">
                  <c:v>0.11062593891490394</c:v>
                </c:pt>
                <c:pt idx="8">
                  <c:v>0.10970907328800926</c:v>
                </c:pt>
                <c:pt idx="9">
                  <c:v>0.11395879662476574</c:v>
                </c:pt>
                <c:pt idx="10">
                  <c:v>0.11041478118790837</c:v>
                </c:pt>
                <c:pt idx="11">
                  <c:v>0.10840574849212999</c:v>
                </c:pt>
                <c:pt idx="12">
                  <c:v>0.10866392295476791</c:v>
                </c:pt>
                <c:pt idx="13">
                  <c:v>0.10914591578289855</c:v>
                </c:pt>
                <c:pt idx="14">
                  <c:v>0.10954031596621236</c:v>
                </c:pt>
                <c:pt idx="15">
                  <c:v>0.10999400138336886</c:v>
                </c:pt>
                <c:pt idx="16">
                  <c:v>0.11036635650490217</c:v>
                </c:pt>
                <c:pt idx="17">
                  <c:v>0.1107304180988312</c:v>
                </c:pt>
                <c:pt idx="18">
                  <c:v>0.11104295042137018</c:v>
                </c:pt>
                <c:pt idx="19">
                  <c:v>0.111370079875403</c:v>
                </c:pt>
                <c:pt idx="20">
                  <c:v>0.11166952219458051</c:v>
                </c:pt>
                <c:pt idx="21">
                  <c:v>0.1120018863418946</c:v>
                </c:pt>
                <c:pt idx="22">
                  <c:v>0.11234474639929143</c:v>
                </c:pt>
                <c:pt idx="23">
                  <c:v>0.11268416743087643</c:v>
                </c:pt>
                <c:pt idx="24">
                  <c:v>0.11303133845790514</c:v>
                </c:pt>
                <c:pt idx="25">
                  <c:v>0.11339141587537907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6-9AAC-4C4B-BBFD-BAF66A5040A1}"/>
            </c:ext>
          </c:extLst>
        </c:ser>
        <c:ser>
          <c:idx val="6"/>
          <c:order val="6"/>
          <c:tx>
            <c:strRef>
              <c:f>'Occ F2'!$L$84</c:f>
              <c:strCache>
                <c:ptCount val="1"/>
                <c:pt idx="0">
                  <c:v>Sales and customer service occupations</c:v>
                </c:pt>
              </c:strCache>
            </c:strRef>
          </c:tx>
          <c:spPr>
            <a:ln w="12700">
              <a:solidFill>
                <a:srgbClr val="000000"/>
              </a:solidFill>
              <a:prstDash val="lgDash"/>
            </a:ln>
          </c:spPr>
          <c:marker>
            <c:symbol val="square"/>
            <c:size val="6"/>
            <c:spPr>
              <a:solidFill>
                <a:srgbClr val="000000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F2'!$M$84:$AL$84</c:f>
              <c:numCache>
                <c:formatCode>0%</c:formatCode>
                <c:ptCount val="26"/>
                <c:pt idx="0">
                  <c:v>8.7425896506058129E-2</c:v>
                </c:pt>
                <c:pt idx="1">
                  <c:v>9.4734012291277175E-2</c:v>
                </c:pt>
                <c:pt idx="2">
                  <c:v>9.2593029685327954E-2</c:v>
                </c:pt>
                <c:pt idx="3">
                  <c:v>9.3627988442252966E-2</c:v>
                </c:pt>
                <c:pt idx="4">
                  <c:v>9.2039346769260663E-2</c:v>
                </c:pt>
                <c:pt idx="5">
                  <c:v>9.2439413823017375E-2</c:v>
                </c:pt>
                <c:pt idx="6">
                  <c:v>9.1255116214494392E-2</c:v>
                </c:pt>
                <c:pt idx="7">
                  <c:v>8.7538094841501254E-2</c:v>
                </c:pt>
                <c:pt idx="8">
                  <c:v>8.4722468818237182E-2</c:v>
                </c:pt>
                <c:pt idx="9">
                  <c:v>8.4539218986634981E-2</c:v>
                </c:pt>
                <c:pt idx="10">
                  <c:v>8.3185179696423084E-2</c:v>
                </c:pt>
                <c:pt idx="11">
                  <c:v>8.2096010351025803E-2</c:v>
                </c:pt>
                <c:pt idx="12">
                  <c:v>8.2186676697027533E-2</c:v>
                </c:pt>
                <c:pt idx="13">
                  <c:v>8.2091160157162057E-2</c:v>
                </c:pt>
                <c:pt idx="14">
                  <c:v>8.1976067329150706E-2</c:v>
                </c:pt>
                <c:pt idx="15">
                  <c:v>8.183668968105294E-2</c:v>
                </c:pt>
                <c:pt idx="16">
                  <c:v>8.1712802200355927E-2</c:v>
                </c:pt>
                <c:pt idx="17">
                  <c:v>8.1567474885076777E-2</c:v>
                </c:pt>
                <c:pt idx="18">
                  <c:v>8.1361886978842071E-2</c:v>
                </c:pt>
                <c:pt idx="19">
                  <c:v>8.1146780045148928E-2</c:v>
                </c:pt>
                <c:pt idx="20">
                  <c:v>8.09050791086105E-2</c:v>
                </c:pt>
                <c:pt idx="21">
                  <c:v>8.0631212518973802E-2</c:v>
                </c:pt>
                <c:pt idx="22">
                  <c:v>8.0423309325638764E-2</c:v>
                </c:pt>
                <c:pt idx="23">
                  <c:v>8.0210135906091037E-2</c:v>
                </c:pt>
                <c:pt idx="24">
                  <c:v>8.0005775150433278E-2</c:v>
                </c:pt>
                <c:pt idx="25">
                  <c:v>7.9790843777936896E-2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8-9AAC-4C4B-BBFD-BAF66A5040A1}"/>
            </c:ext>
          </c:extLst>
        </c:ser>
        <c:ser>
          <c:idx val="7"/>
          <c:order val="7"/>
          <c:tx>
            <c:strRef>
              <c:f>'Occ F2'!$L$88</c:f>
              <c:strCache>
                <c:ptCount val="1"/>
                <c:pt idx="0">
                  <c:v>Process, plant and machine operatives</c:v>
                </c:pt>
              </c:strCache>
            </c:strRef>
          </c:tx>
          <c:spPr>
            <a:ln w="12700">
              <a:solidFill>
                <a:srgbClr val="000000"/>
              </a:solidFill>
              <a:prstDash val="lgDash"/>
            </a:ln>
          </c:spPr>
          <c:marker>
            <c:symbol val="diamond"/>
            <c:size val="6"/>
            <c:spPr>
              <a:solidFill>
                <a:srgbClr val="000000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F2'!$M$88:$AL$88</c:f>
              <c:numCache>
                <c:formatCode>0%</c:formatCode>
                <c:ptCount val="26"/>
                <c:pt idx="0">
                  <c:v>9.111573232880979E-2</c:v>
                </c:pt>
                <c:pt idx="1">
                  <c:v>8.5293602940694893E-2</c:v>
                </c:pt>
                <c:pt idx="2">
                  <c:v>8.6649716425777776E-2</c:v>
                </c:pt>
                <c:pt idx="3">
                  <c:v>8.9291043757197638E-2</c:v>
                </c:pt>
                <c:pt idx="4">
                  <c:v>8.611008063944936E-2</c:v>
                </c:pt>
                <c:pt idx="5">
                  <c:v>8.9157428881824791E-2</c:v>
                </c:pt>
                <c:pt idx="6">
                  <c:v>9.0734632305677854E-2</c:v>
                </c:pt>
                <c:pt idx="7">
                  <c:v>9.1297133041077783E-2</c:v>
                </c:pt>
                <c:pt idx="8">
                  <c:v>9.1869317005931719E-2</c:v>
                </c:pt>
                <c:pt idx="9">
                  <c:v>8.6599670100024381E-2</c:v>
                </c:pt>
                <c:pt idx="10">
                  <c:v>8.0663245759909116E-2</c:v>
                </c:pt>
                <c:pt idx="11">
                  <c:v>8.2845586180324643E-2</c:v>
                </c:pt>
                <c:pt idx="12">
                  <c:v>8.2118531023587557E-2</c:v>
                </c:pt>
                <c:pt idx="13">
                  <c:v>8.1424734967256926E-2</c:v>
                </c:pt>
                <c:pt idx="14">
                  <c:v>8.0732454693935071E-2</c:v>
                </c:pt>
                <c:pt idx="15">
                  <c:v>8.0041885114954248E-2</c:v>
                </c:pt>
                <c:pt idx="16">
                  <c:v>7.9392517656576497E-2</c:v>
                </c:pt>
                <c:pt idx="17">
                  <c:v>7.8752064756695814E-2</c:v>
                </c:pt>
                <c:pt idx="18">
                  <c:v>7.8191953560771202E-2</c:v>
                </c:pt>
                <c:pt idx="19">
                  <c:v>7.7637847350582656E-2</c:v>
                </c:pt>
                <c:pt idx="20">
                  <c:v>7.7065577948027889E-2</c:v>
                </c:pt>
                <c:pt idx="21">
                  <c:v>7.6481463753453618E-2</c:v>
                </c:pt>
                <c:pt idx="22">
                  <c:v>7.5829926367398229E-2</c:v>
                </c:pt>
                <c:pt idx="23">
                  <c:v>7.5147783708803526E-2</c:v>
                </c:pt>
                <c:pt idx="24">
                  <c:v>7.4420981223662738E-2</c:v>
                </c:pt>
                <c:pt idx="25">
                  <c:v>7.3671679580500998E-2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A-9AAC-4C4B-BBFD-BAF66A5040A1}"/>
            </c:ext>
          </c:extLst>
        </c:ser>
        <c:ser>
          <c:idx val="8"/>
          <c:order val="8"/>
          <c:tx>
            <c:strRef>
              <c:f>'Occ F2'!$L$92</c:f>
              <c:strCache>
                <c:ptCount val="1"/>
                <c:pt idx="0">
                  <c:v>Elementary occupations</c:v>
                </c:pt>
              </c:strCache>
            </c:strRef>
          </c:tx>
          <c:spPr>
            <a:ln w="12700">
              <a:solidFill>
                <a:srgbClr val="000000"/>
              </a:solidFill>
              <a:prstDash val="lgDash"/>
            </a:ln>
          </c:spPr>
          <c:marker>
            <c:symbol val="triangle"/>
            <c:size val="6"/>
            <c:spPr>
              <a:solidFill>
                <a:srgbClr val="000000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F2'!$M$92:$AL$92</c:f>
              <c:numCache>
                <c:formatCode>0%</c:formatCode>
                <c:ptCount val="26"/>
                <c:pt idx="0">
                  <c:v>0.13087977498860962</c:v>
                </c:pt>
                <c:pt idx="1">
                  <c:v>0.12840554454503228</c:v>
                </c:pt>
                <c:pt idx="2">
                  <c:v>0.12460865952583799</c:v>
                </c:pt>
                <c:pt idx="3">
                  <c:v>0.12760988062433792</c:v>
                </c:pt>
                <c:pt idx="4">
                  <c:v>0.12503298775348939</c:v>
                </c:pt>
                <c:pt idx="5">
                  <c:v>0.12868675837247126</c:v>
                </c:pt>
                <c:pt idx="6">
                  <c:v>0.12732469446505723</c:v>
                </c:pt>
                <c:pt idx="7">
                  <c:v>0.12549733393798024</c:v>
                </c:pt>
                <c:pt idx="8">
                  <c:v>0.12335537675822966</c:v>
                </c:pt>
                <c:pt idx="9">
                  <c:v>0.11981766484979033</c:v>
                </c:pt>
                <c:pt idx="10">
                  <c:v>0.11043710130125828</c:v>
                </c:pt>
                <c:pt idx="11">
                  <c:v>0.11578799581255171</c:v>
                </c:pt>
                <c:pt idx="12">
                  <c:v>0.11545340979939851</c:v>
                </c:pt>
                <c:pt idx="13">
                  <c:v>0.11468405261701496</c:v>
                </c:pt>
                <c:pt idx="14">
                  <c:v>0.11390100984903921</c:v>
                </c:pt>
                <c:pt idx="15">
                  <c:v>0.11308600691035071</c:v>
                </c:pt>
                <c:pt idx="16">
                  <c:v>0.1122368263430948</c:v>
                </c:pt>
                <c:pt idx="17">
                  <c:v>0.11139252867133342</c:v>
                </c:pt>
                <c:pt idx="18">
                  <c:v>0.11056239079798398</c:v>
                </c:pt>
                <c:pt idx="19">
                  <c:v>0.10978083303962455</c:v>
                </c:pt>
                <c:pt idx="20">
                  <c:v>0.10905926021057527</c:v>
                </c:pt>
                <c:pt idx="21">
                  <c:v>0.10836377355995734</c:v>
                </c:pt>
                <c:pt idx="22">
                  <c:v>0.10763332190209007</c:v>
                </c:pt>
                <c:pt idx="23">
                  <c:v>0.10694574084222758</c:v>
                </c:pt>
                <c:pt idx="24">
                  <c:v>0.10627145769714332</c:v>
                </c:pt>
                <c:pt idx="25">
                  <c:v>0.10560408464616572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C-9AAC-4C4B-BBFD-BAF66A5040A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315610144"/>
        <c:axId val="315610536"/>
      </c:lineChart>
      <c:catAx>
        <c:axId val="315610144"/>
        <c:scaling>
          <c:orientation val="minMax"/>
        </c:scaling>
        <c:delete val="0"/>
        <c:axPos val="b"/>
        <c:numFmt formatCode="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-5400000" vert="horz"/>
          <a:lstStyle/>
          <a:p>
            <a:pPr>
              <a:defRPr sz="11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15610536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315610536"/>
        <c:scaling>
          <c:orientation val="minMax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title>
          <c:tx>
            <c:rich>
              <a:bodyPr rot="0" vert="horz"/>
              <a:lstStyle/>
              <a:p>
                <a:pPr algn="l">
                  <a:defRPr sz="14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US" sz="1400"/>
                  <a:t>%</a:t>
                </a:r>
              </a:p>
            </c:rich>
          </c:tx>
          <c:layout>
            <c:manualLayout>
              <c:xMode val="edge"/>
              <c:yMode val="edge"/>
              <c:x val="3.6734544583954032E-2"/>
              <c:y val="8.1044128159058985E-3"/>
            </c:manualLayout>
          </c:layout>
          <c:overlay val="0"/>
          <c:spPr>
            <a:noFill/>
            <a:ln w="25400">
              <a:noFill/>
            </a:ln>
          </c:spPr>
        </c:title>
        <c:numFmt formatCode="0%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2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15610144"/>
        <c:crosses val="autoZero"/>
        <c:crossBetween val="between"/>
      </c:valAx>
      <c:spPr>
        <a:noFill/>
        <a:ln w="12700">
          <a:solidFill>
            <a:srgbClr val="808080"/>
          </a:solidFill>
          <a:prstDash val="solid"/>
        </a:ln>
      </c:spPr>
    </c:plotArea>
    <c:legend>
      <c:legendPos val="b"/>
      <c:layout>
        <c:manualLayout>
          <c:xMode val="edge"/>
          <c:yMode val="edge"/>
          <c:x val="1.5142849542455844E-2"/>
          <c:y val="0.86539777165078335"/>
          <c:w val="0.96587039795701224"/>
          <c:h val="0.12216851442465591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1050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95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000000000001465" r="0.75000000000001465" t="1" header="0.5" footer="0.5"/>
    <c:pageSetup paperSize="9" orientation="landscape"/>
  </c:printSettings>
</c:chartSpace>
</file>

<file path=xl/charts/chart2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'Occ F3'!$X$3</c:f>
          <c:strCache>
            <c:ptCount val="1"/>
            <c:pt idx="0">
              <c:v>2015-2019</c:v>
            </c:pt>
          </c:strCache>
        </c:strRef>
      </c:tx>
      <c:layout>
        <c:manualLayout>
          <c:xMode val="edge"/>
          <c:yMode val="edge"/>
          <c:x val="0.64754427755354116"/>
          <c:y val="3.3783783783783786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Arial" panose="020B0604020202020204" pitchFamily="34" charset="0"/>
              <a:ea typeface="+mn-ea"/>
              <a:cs typeface="Arial" panose="020B0604020202020204" pitchFamily="34" charset="0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0.52891197423851433"/>
          <c:y val="0.11438438438438442"/>
          <c:w val="0.43259004389157235"/>
          <c:h val="0.81895415100139513"/>
        </c:manualLayout>
      </c:layout>
      <c:barChart>
        <c:barDir val="bar"/>
        <c:grouping val="clustered"/>
        <c:varyColors val="0"/>
        <c:ser>
          <c:idx val="0"/>
          <c:order val="0"/>
          <c:spPr>
            <a:solidFill>
              <a:srgbClr val="000000"/>
            </a:solidFill>
            <a:ln>
              <a:noFill/>
            </a:ln>
            <a:effectLst/>
          </c:spPr>
          <c:invertIfNegative val="0"/>
          <c:cat>
            <c:strRef>
              <c:f>'Occ F3'!$W$4:$W$12</c:f>
              <c:strCache>
                <c:ptCount val="9"/>
                <c:pt idx="0">
                  <c:v>Managers, directors and senior officials</c:v>
                </c:pt>
                <c:pt idx="1">
                  <c:v>Professional occupations</c:v>
                </c:pt>
                <c:pt idx="2">
                  <c:v>Associate professional occupations</c:v>
                </c:pt>
                <c:pt idx="3">
                  <c:v>Administrative and secretarial occupations</c:v>
                </c:pt>
                <c:pt idx="4">
                  <c:v>Skilled trades occupations</c:v>
                </c:pt>
                <c:pt idx="5">
                  <c:v>Caring, leisure and other service occupations</c:v>
                </c:pt>
                <c:pt idx="6">
                  <c:v>Sales and customer service occupations</c:v>
                </c:pt>
                <c:pt idx="7">
                  <c:v>Process, plant and machine operatives</c:v>
                </c:pt>
                <c:pt idx="8">
                  <c:v>Elementary occupations</c:v>
                </c:pt>
              </c:strCache>
            </c:strRef>
          </c:cat>
          <c:val>
            <c:numRef>
              <c:f>'Occ F3'!$X$4:$X$12</c:f>
              <c:numCache>
                <c:formatCode>#,##0</c:formatCode>
                <c:ptCount val="9"/>
                <c:pt idx="0">
                  <c:v>6.4861191284456012</c:v>
                </c:pt>
                <c:pt idx="1">
                  <c:v>9.7945423715772222</c:v>
                </c:pt>
                <c:pt idx="2">
                  <c:v>3.8648111808073224</c:v>
                </c:pt>
                <c:pt idx="3">
                  <c:v>-1.8204800864941575</c:v>
                </c:pt>
                <c:pt idx="4">
                  <c:v>-3.3347520654599663</c:v>
                </c:pt>
                <c:pt idx="5">
                  <c:v>3.3269802997955154</c:v>
                </c:pt>
                <c:pt idx="6">
                  <c:v>-2.9346957888071543</c:v>
                </c:pt>
                <c:pt idx="7">
                  <c:v>-0.22984600565863644</c:v>
                </c:pt>
                <c:pt idx="8">
                  <c:v>-2.9916790342061219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2688-4B84-AE14-1F96EBE8724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82"/>
        <c:axId val="973748296"/>
        <c:axId val="973746328"/>
      </c:barChart>
      <c:catAx>
        <c:axId val="973748296"/>
        <c:scaling>
          <c:orientation val="maxMin"/>
        </c:scaling>
        <c:delete val="0"/>
        <c:axPos val="l"/>
        <c:numFmt formatCode="General" sourceLinked="1"/>
        <c:majorTickMark val="none"/>
        <c:minorTickMark val="none"/>
        <c:tickLblPos val="low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en-US"/>
          </a:p>
        </c:txPr>
        <c:crossAx val="973746328"/>
        <c:crosses val="autoZero"/>
        <c:auto val="1"/>
        <c:lblAlgn val="ctr"/>
        <c:lblOffset val="100"/>
        <c:noMultiLvlLbl val="0"/>
      </c:catAx>
      <c:valAx>
        <c:axId val="973746328"/>
        <c:scaling>
          <c:orientation val="minMax"/>
          <c:max val="20"/>
          <c:min val="-20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#,##0" sourceLinked="1"/>
        <c:majorTickMark val="out"/>
        <c:minorTickMark val="none"/>
        <c:tickLblPos val="nextTo"/>
        <c:spPr>
          <a:noFill/>
          <a:ln>
            <a:solidFill>
              <a:schemeClr val="bg1">
                <a:lumMod val="85000"/>
              </a:schemeClr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en-US"/>
          </a:p>
        </c:txPr>
        <c:crossAx val="973748296"/>
        <c:crosses val="max"/>
        <c:crossBetween val="between"/>
        <c:majorUnit val="10"/>
      </c:valAx>
      <c:spPr>
        <a:solidFill>
          <a:schemeClr val="bg1"/>
        </a:solidFill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>
          <a:latin typeface="Arial" panose="020B0604020202020204" pitchFamily="34" charset="0"/>
          <a:cs typeface="Arial" panose="020B0604020202020204" pitchFamily="34" charset="0"/>
        </a:defRPr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'Occ F3'!$Y$3</c:f>
          <c:strCache>
            <c:ptCount val="1"/>
            <c:pt idx="0">
              <c:v>2019-2020</c:v>
            </c:pt>
          </c:strCache>
        </c:strRef>
      </c:tx>
      <c:layout>
        <c:manualLayout>
          <c:xMode val="edge"/>
          <c:yMode val="edge"/>
          <c:x val="0.3392222222222222"/>
          <c:y val="3.6786786786786783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Arial" panose="020B0604020202020204" pitchFamily="34" charset="0"/>
              <a:ea typeface="+mn-ea"/>
              <a:cs typeface="Arial" panose="020B0604020202020204" pitchFamily="34" charset="0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0.12570166229221347"/>
          <c:y val="0.11438438438438442"/>
          <c:w val="0.79925678040244974"/>
          <c:h val="0.82496015700740111"/>
        </c:manualLayout>
      </c:layout>
      <c:barChart>
        <c:barDir val="bar"/>
        <c:grouping val="clustered"/>
        <c:varyColors val="0"/>
        <c:ser>
          <c:idx val="0"/>
          <c:order val="0"/>
          <c:spPr>
            <a:solidFill>
              <a:srgbClr val="000000"/>
            </a:solidFill>
            <a:ln>
              <a:noFill/>
            </a:ln>
            <a:effectLst/>
          </c:spPr>
          <c:invertIfNegative val="0"/>
          <c:cat>
            <c:strRef>
              <c:f>'Occ F3'!$W$4:$W$12</c:f>
              <c:strCache>
                <c:ptCount val="9"/>
                <c:pt idx="0">
                  <c:v>Managers, directors and senior officials</c:v>
                </c:pt>
                <c:pt idx="1">
                  <c:v>Professional occupations</c:v>
                </c:pt>
                <c:pt idx="2">
                  <c:v>Associate professional occupations</c:v>
                </c:pt>
                <c:pt idx="3">
                  <c:v>Administrative and secretarial occupations</c:v>
                </c:pt>
                <c:pt idx="4">
                  <c:v>Skilled trades occupations</c:v>
                </c:pt>
                <c:pt idx="5">
                  <c:v>Caring, leisure and other service occupations</c:v>
                </c:pt>
                <c:pt idx="6">
                  <c:v>Sales and customer service occupations</c:v>
                </c:pt>
                <c:pt idx="7">
                  <c:v>Process, plant and machine operatives</c:v>
                </c:pt>
                <c:pt idx="8">
                  <c:v>Elementary occupations</c:v>
                </c:pt>
              </c:strCache>
            </c:strRef>
          </c:cat>
          <c:val>
            <c:numRef>
              <c:f>'Occ F3'!$Y$4:$Y$12</c:f>
              <c:numCache>
                <c:formatCode>#,##0</c:formatCode>
                <c:ptCount val="9"/>
                <c:pt idx="0">
                  <c:v>2.6915726331275778</c:v>
                </c:pt>
                <c:pt idx="1">
                  <c:v>6.8106257400610843</c:v>
                </c:pt>
                <c:pt idx="2">
                  <c:v>3.6456765158383888</c:v>
                </c:pt>
                <c:pt idx="3">
                  <c:v>1.6062100534674641</c:v>
                </c:pt>
                <c:pt idx="4">
                  <c:v>-3.7043749902613001</c:v>
                </c:pt>
                <c:pt idx="5">
                  <c:v>-1.7016570860306928</c:v>
                </c:pt>
                <c:pt idx="6">
                  <c:v>-0.60590254108254982</c:v>
                </c:pt>
                <c:pt idx="7">
                  <c:v>-2.9628973453487006</c:v>
                </c:pt>
                <c:pt idx="8">
                  <c:v>-4.7002529797710366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A805-4F18-AE05-2CED887AD08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82"/>
        <c:axId val="973748296"/>
        <c:axId val="973746328"/>
      </c:barChart>
      <c:catAx>
        <c:axId val="973748296"/>
        <c:scaling>
          <c:orientation val="maxMin"/>
        </c:scaling>
        <c:delete val="0"/>
        <c:axPos val="l"/>
        <c:numFmt formatCode="General" sourceLinked="1"/>
        <c:majorTickMark val="none"/>
        <c:minorTickMark val="none"/>
        <c:tickLblPos val="none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en-US"/>
          </a:p>
        </c:txPr>
        <c:crossAx val="973746328"/>
        <c:crosses val="autoZero"/>
        <c:auto val="1"/>
        <c:lblAlgn val="ctr"/>
        <c:lblOffset val="100"/>
        <c:noMultiLvlLbl val="0"/>
      </c:catAx>
      <c:valAx>
        <c:axId val="973746328"/>
        <c:scaling>
          <c:orientation val="minMax"/>
          <c:max val="20"/>
          <c:min val="-20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#,##0" sourceLinked="1"/>
        <c:majorTickMark val="out"/>
        <c:minorTickMark val="none"/>
        <c:tickLblPos val="nextTo"/>
        <c:spPr>
          <a:noFill/>
          <a:ln>
            <a:solidFill>
              <a:schemeClr val="bg1">
                <a:lumMod val="85000"/>
              </a:schemeClr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en-US"/>
          </a:p>
        </c:txPr>
        <c:crossAx val="973748296"/>
        <c:crosses val="max"/>
        <c:crossBetween val="between"/>
        <c:majorUnit val="10"/>
      </c:valAx>
      <c:spPr>
        <a:solidFill>
          <a:schemeClr val="bg1"/>
        </a:solidFill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>
          <a:latin typeface="Arial" panose="020B0604020202020204" pitchFamily="34" charset="0"/>
          <a:cs typeface="Arial" panose="020B0604020202020204" pitchFamily="34" charset="0"/>
        </a:defRPr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'Occ F3'!$Z$3</c:f>
          <c:strCache>
            <c:ptCount val="1"/>
            <c:pt idx="0">
              <c:v>2020-2025</c:v>
            </c:pt>
          </c:strCache>
        </c:strRef>
      </c:tx>
      <c:layout>
        <c:manualLayout>
          <c:xMode val="edge"/>
          <c:yMode val="edge"/>
          <c:x val="0.3392222222222222"/>
          <c:y val="3.6786786786786783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Arial" panose="020B0604020202020204" pitchFamily="34" charset="0"/>
              <a:ea typeface="+mn-ea"/>
              <a:cs typeface="Arial" panose="020B0604020202020204" pitchFamily="34" charset="0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0.12570166229221347"/>
          <c:y val="0.11438438438438442"/>
          <c:w val="0.79925678040244974"/>
          <c:h val="0.82496015700740111"/>
        </c:manualLayout>
      </c:layout>
      <c:barChart>
        <c:barDir val="bar"/>
        <c:grouping val="clustered"/>
        <c:varyColors val="0"/>
        <c:ser>
          <c:idx val="0"/>
          <c:order val="0"/>
          <c:spPr>
            <a:solidFill>
              <a:srgbClr val="000000"/>
            </a:solidFill>
            <a:ln>
              <a:noFill/>
            </a:ln>
            <a:effectLst/>
          </c:spPr>
          <c:invertIfNegative val="0"/>
          <c:cat>
            <c:strRef>
              <c:f>'Occ F3'!$W$4:$W$12</c:f>
              <c:strCache>
                <c:ptCount val="9"/>
                <c:pt idx="0">
                  <c:v>Managers, directors and senior officials</c:v>
                </c:pt>
                <c:pt idx="1">
                  <c:v>Professional occupations</c:v>
                </c:pt>
                <c:pt idx="2">
                  <c:v>Associate professional occupations</c:v>
                </c:pt>
                <c:pt idx="3">
                  <c:v>Administrative and secretarial occupations</c:v>
                </c:pt>
                <c:pt idx="4">
                  <c:v>Skilled trades occupations</c:v>
                </c:pt>
                <c:pt idx="5">
                  <c:v>Caring, leisure and other service occupations</c:v>
                </c:pt>
                <c:pt idx="6">
                  <c:v>Sales and customer service occupations</c:v>
                </c:pt>
                <c:pt idx="7">
                  <c:v>Process, plant and machine operatives</c:v>
                </c:pt>
                <c:pt idx="8">
                  <c:v>Elementary occupations</c:v>
                </c:pt>
              </c:strCache>
            </c:strRef>
          </c:cat>
          <c:val>
            <c:numRef>
              <c:f>'Occ F3'!$Z$4:$Z$12</c:f>
              <c:numCache>
                <c:formatCode>#,##0</c:formatCode>
                <c:ptCount val="9"/>
                <c:pt idx="0">
                  <c:v>-3.521867014739442</c:v>
                </c:pt>
                <c:pt idx="1">
                  <c:v>5.6663807319860382</c:v>
                </c:pt>
                <c:pt idx="2">
                  <c:v>2.9856331273460057</c:v>
                </c:pt>
                <c:pt idx="3">
                  <c:v>-0.12217253715361664</c:v>
                </c:pt>
                <c:pt idx="4">
                  <c:v>-1.742842145639699</c:v>
                </c:pt>
                <c:pt idx="5">
                  <c:v>0.39108047917498112</c:v>
                </c:pt>
                <c:pt idx="6">
                  <c:v>-0.24211563147542137</c:v>
                </c:pt>
                <c:pt idx="7">
                  <c:v>0.1223269940083398</c:v>
                </c:pt>
                <c:pt idx="8">
                  <c:v>1.9885759964928909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3526-4BC6-8F56-053EC6BA91D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82"/>
        <c:axId val="973748296"/>
        <c:axId val="973746328"/>
      </c:barChart>
      <c:catAx>
        <c:axId val="973748296"/>
        <c:scaling>
          <c:orientation val="maxMin"/>
        </c:scaling>
        <c:delete val="0"/>
        <c:axPos val="l"/>
        <c:numFmt formatCode="General" sourceLinked="1"/>
        <c:majorTickMark val="none"/>
        <c:minorTickMark val="none"/>
        <c:tickLblPos val="none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en-US"/>
          </a:p>
        </c:txPr>
        <c:crossAx val="973746328"/>
        <c:crosses val="autoZero"/>
        <c:auto val="1"/>
        <c:lblAlgn val="ctr"/>
        <c:lblOffset val="100"/>
        <c:noMultiLvlLbl val="0"/>
      </c:catAx>
      <c:valAx>
        <c:axId val="973746328"/>
        <c:scaling>
          <c:orientation val="minMax"/>
          <c:max val="20"/>
          <c:min val="-20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#,##0" sourceLinked="1"/>
        <c:majorTickMark val="out"/>
        <c:minorTickMark val="none"/>
        <c:tickLblPos val="nextTo"/>
        <c:spPr>
          <a:noFill/>
          <a:ln>
            <a:solidFill>
              <a:schemeClr val="bg1">
                <a:lumMod val="85000"/>
              </a:schemeClr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en-US"/>
          </a:p>
        </c:txPr>
        <c:crossAx val="973748296"/>
        <c:crosses val="max"/>
        <c:crossBetween val="between"/>
        <c:majorUnit val="10"/>
      </c:valAx>
      <c:spPr>
        <a:solidFill>
          <a:schemeClr val="bg1"/>
        </a:solidFill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>
          <a:latin typeface="Arial" panose="020B0604020202020204" pitchFamily="34" charset="0"/>
          <a:cs typeface="Arial" panose="020B0604020202020204" pitchFamily="34" charset="0"/>
        </a:defRPr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'Occ F3'!$AA$3</c:f>
          <c:strCache>
            <c:ptCount val="1"/>
            <c:pt idx="0">
              <c:v>2025-2035</c:v>
            </c:pt>
          </c:strCache>
        </c:strRef>
      </c:tx>
      <c:layout>
        <c:manualLayout>
          <c:xMode val="edge"/>
          <c:yMode val="edge"/>
          <c:x val="0.3392222222222222"/>
          <c:y val="3.6786786786786783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Arial" panose="020B0604020202020204" pitchFamily="34" charset="0"/>
              <a:ea typeface="+mn-ea"/>
              <a:cs typeface="Arial" panose="020B0604020202020204" pitchFamily="34" charset="0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0.12570166229221347"/>
          <c:y val="0.11438438438438442"/>
          <c:w val="0.79925678040244974"/>
          <c:h val="0.82496015700740111"/>
        </c:manualLayout>
      </c:layout>
      <c:barChart>
        <c:barDir val="bar"/>
        <c:grouping val="clustered"/>
        <c:varyColors val="0"/>
        <c:ser>
          <c:idx val="0"/>
          <c:order val="0"/>
          <c:spPr>
            <a:solidFill>
              <a:srgbClr val="000000"/>
            </a:solidFill>
            <a:ln>
              <a:noFill/>
            </a:ln>
            <a:effectLst/>
          </c:spPr>
          <c:invertIfNegative val="0"/>
          <c:cat>
            <c:strRef>
              <c:f>'Occ F3'!$W$4:$W$12</c:f>
              <c:strCache>
                <c:ptCount val="9"/>
                <c:pt idx="0">
                  <c:v>Managers, directors and senior officials</c:v>
                </c:pt>
                <c:pt idx="1">
                  <c:v>Professional occupations</c:v>
                </c:pt>
                <c:pt idx="2">
                  <c:v>Associate professional occupations</c:v>
                </c:pt>
                <c:pt idx="3">
                  <c:v>Administrative and secretarial occupations</c:v>
                </c:pt>
                <c:pt idx="4">
                  <c:v>Skilled trades occupations</c:v>
                </c:pt>
                <c:pt idx="5">
                  <c:v>Caring, leisure and other service occupations</c:v>
                </c:pt>
                <c:pt idx="6">
                  <c:v>Sales and customer service occupations</c:v>
                </c:pt>
                <c:pt idx="7">
                  <c:v>Process, plant and machine operatives</c:v>
                </c:pt>
                <c:pt idx="8">
                  <c:v>Elementary occupations</c:v>
                </c:pt>
              </c:strCache>
            </c:strRef>
          </c:cat>
          <c:val>
            <c:numRef>
              <c:f>'Occ F3'!$AA$4:$AA$12</c:f>
              <c:numCache>
                <c:formatCode>#,##0</c:formatCode>
                <c:ptCount val="9"/>
                <c:pt idx="0">
                  <c:v>4.5570876766389219</c:v>
                </c:pt>
                <c:pt idx="1">
                  <c:v>10.851109858173203</c:v>
                </c:pt>
                <c:pt idx="2">
                  <c:v>5.3758998915897678</c:v>
                </c:pt>
                <c:pt idx="3">
                  <c:v>-2.853341585578427</c:v>
                </c:pt>
                <c:pt idx="4">
                  <c:v>-3.5552083803519139</c:v>
                </c:pt>
                <c:pt idx="5">
                  <c:v>3.1900677171163068</c:v>
                </c:pt>
                <c:pt idx="6">
                  <c:v>-6.3860069941640063E-2</c:v>
                </c:pt>
                <c:pt idx="7">
                  <c:v>-2.3908736486648223</c:v>
                </c:pt>
                <c:pt idx="8">
                  <c:v>-2.5688814589817781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F587-435B-BBDD-CBBD5A579BC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82"/>
        <c:axId val="973748296"/>
        <c:axId val="973746328"/>
      </c:barChart>
      <c:catAx>
        <c:axId val="973748296"/>
        <c:scaling>
          <c:orientation val="maxMin"/>
        </c:scaling>
        <c:delete val="0"/>
        <c:axPos val="l"/>
        <c:numFmt formatCode="General" sourceLinked="1"/>
        <c:majorTickMark val="none"/>
        <c:minorTickMark val="none"/>
        <c:tickLblPos val="none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en-US"/>
          </a:p>
        </c:txPr>
        <c:crossAx val="973746328"/>
        <c:crosses val="autoZero"/>
        <c:auto val="1"/>
        <c:lblAlgn val="ctr"/>
        <c:lblOffset val="100"/>
        <c:noMultiLvlLbl val="0"/>
      </c:catAx>
      <c:valAx>
        <c:axId val="973746328"/>
        <c:scaling>
          <c:orientation val="minMax"/>
          <c:max val="20"/>
          <c:min val="-20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#,##0" sourceLinked="1"/>
        <c:majorTickMark val="out"/>
        <c:minorTickMark val="none"/>
        <c:tickLblPos val="nextTo"/>
        <c:spPr>
          <a:noFill/>
          <a:ln>
            <a:solidFill>
              <a:schemeClr val="bg1">
                <a:lumMod val="85000"/>
              </a:schemeClr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en-US"/>
          </a:p>
        </c:txPr>
        <c:crossAx val="973748296"/>
        <c:crosses val="max"/>
        <c:crossBetween val="between"/>
        <c:majorUnit val="10"/>
      </c:valAx>
      <c:spPr>
        <a:solidFill>
          <a:schemeClr val="bg1"/>
        </a:solidFill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>
          <a:latin typeface="Arial" panose="020B0604020202020204" pitchFamily="34" charset="0"/>
          <a:cs typeface="Arial" panose="020B0604020202020204" pitchFamily="34" charset="0"/>
        </a:defRPr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45366400348449171"/>
          <c:y val="2.3504273504273504E-2"/>
          <c:w val="0.51264010895328738"/>
          <c:h val="0.87051921394441079"/>
        </c:manualLayout>
      </c:layout>
      <c:barChart>
        <c:barDir val="bar"/>
        <c:grouping val="clustered"/>
        <c:varyColors val="0"/>
        <c:ser>
          <c:idx val="0"/>
          <c:order val="0"/>
          <c:tx>
            <c:strRef>
              <c:f>'Occ F4'!$N$2</c:f>
              <c:strCache>
                <c:ptCount val="1"/>
                <c:pt idx="0">
                  <c:v>Total</c:v>
                </c:pt>
              </c:strCache>
            </c:strRef>
          </c:tx>
          <c:spPr>
            <a:solidFill>
              <a:schemeClr val="tx1"/>
            </a:solidFill>
            <a:ln>
              <a:noFill/>
            </a:ln>
            <a:effectLst/>
          </c:spPr>
          <c:invertIfNegative val="0"/>
          <c:cat>
            <c:strRef>
              <c:f>'Occ F4'!$M$3:$M$11</c:f>
              <c:strCache>
                <c:ptCount val="9"/>
                <c:pt idx="0">
                  <c:v>Managers, directors and senior officials</c:v>
                </c:pt>
                <c:pt idx="1">
                  <c:v>Professional occupations</c:v>
                </c:pt>
                <c:pt idx="2">
                  <c:v>Associate professional occupations</c:v>
                </c:pt>
                <c:pt idx="3">
                  <c:v>Administrative and secretarial occupations</c:v>
                </c:pt>
                <c:pt idx="4">
                  <c:v>Skilled trades occupations</c:v>
                </c:pt>
                <c:pt idx="5">
                  <c:v>Caring, leisure and other service occupations</c:v>
                </c:pt>
                <c:pt idx="6">
                  <c:v>Sales and customer service occupations</c:v>
                </c:pt>
                <c:pt idx="7">
                  <c:v>Process, plant and machine operatives</c:v>
                </c:pt>
                <c:pt idx="8">
                  <c:v>Elementary occupations</c:v>
                </c:pt>
              </c:strCache>
            </c:strRef>
          </c:cat>
          <c:val>
            <c:numRef>
              <c:f>'Occ F4'!$N$3:$N$11</c:f>
              <c:numCache>
                <c:formatCode>#,##0</c:formatCode>
                <c:ptCount val="9"/>
                <c:pt idx="0">
                  <c:v>1.0352206618994799</c:v>
                </c:pt>
                <c:pt idx="1">
                  <c:v>16.517490590159241</c:v>
                </c:pt>
                <c:pt idx="2">
                  <c:v>8.3615330189357735</c:v>
                </c:pt>
                <c:pt idx="3">
                  <c:v>-2.9755141227320436</c:v>
                </c:pt>
                <c:pt idx="4">
                  <c:v>-5.2980505259916129</c:v>
                </c:pt>
                <c:pt idx="5">
                  <c:v>3.5811481962912879</c:v>
                </c:pt>
                <c:pt idx="6">
                  <c:v>-0.30597570141706143</c:v>
                </c:pt>
                <c:pt idx="7">
                  <c:v>-2.2685466546564825</c:v>
                </c:pt>
                <c:pt idx="8">
                  <c:v>-0.58030546248888726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3B42-418F-B6AC-18C214F21798}"/>
            </c:ext>
          </c:extLst>
        </c:ser>
        <c:ser>
          <c:idx val="1"/>
          <c:order val="1"/>
          <c:tx>
            <c:strRef>
              <c:f>'Occ F4'!$O$2</c:f>
              <c:strCache>
                <c:ptCount val="1"/>
                <c:pt idx="0">
                  <c:v>Females</c:v>
                </c:pt>
              </c:strCache>
            </c:strRef>
          </c:tx>
          <c:spPr>
            <a:solidFill>
              <a:schemeClr val="bg1">
                <a:lumMod val="50000"/>
              </a:schemeClr>
            </a:solidFill>
            <a:ln>
              <a:noFill/>
            </a:ln>
            <a:effectLst/>
          </c:spPr>
          <c:invertIfNegative val="0"/>
          <c:cat>
            <c:strRef>
              <c:f>'Occ F4'!$M$3:$M$11</c:f>
              <c:strCache>
                <c:ptCount val="9"/>
                <c:pt idx="0">
                  <c:v>Managers, directors and senior officials</c:v>
                </c:pt>
                <c:pt idx="1">
                  <c:v>Professional occupations</c:v>
                </c:pt>
                <c:pt idx="2">
                  <c:v>Associate professional occupations</c:v>
                </c:pt>
                <c:pt idx="3">
                  <c:v>Administrative and secretarial occupations</c:v>
                </c:pt>
                <c:pt idx="4">
                  <c:v>Skilled trades occupations</c:v>
                </c:pt>
                <c:pt idx="5">
                  <c:v>Caring, leisure and other service occupations</c:v>
                </c:pt>
                <c:pt idx="6">
                  <c:v>Sales and customer service occupations</c:v>
                </c:pt>
                <c:pt idx="7">
                  <c:v>Process, plant and machine operatives</c:v>
                </c:pt>
                <c:pt idx="8">
                  <c:v>Elementary occupations</c:v>
                </c:pt>
              </c:strCache>
            </c:strRef>
          </c:cat>
          <c:val>
            <c:numRef>
              <c:f>'Occ F4'!$O$3:$O$11</c:f>
              <c:numCache>
                <c:formatCode>#,##0</c:formatCode>
                <c:ptCount val="9"/>
                <c:pt idx="0">
                  <c:v>1.2402784220480925</c:v>
                </c:pt>
                <c:pt idx="1">
                  <c:v>6.2173367333410141</c:v>
                </c:pt>
                <c:pt idx="2">
                  <c:v>9.1850292796237412</c:v>
                </c:pt>
                <c:pt idx="3">
                  <c:v>-4.6302074365967627</c:v>
                </c:pt>
                <c:pt idx="4">
                  <c:v>1.2281903767563662E-2</c:v>
                </c:pt>
                <c:pt idx="5">
                  <c:v>1.0889216996697044</c:v>
                </c:pt>
                <c:pt idx="6">
                  <c:v>-0.88807552460857764</c:v>
                </c:pt>
                <c:pt idx="7">
                  <c:v>1.2849203765403336</c:v>
                </c:pt>
                <c:pt idx="8">
                  <c:v>-0.84006313021035339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3B42-418F-B6AC-18C214F21798}"/>
            </c:ext>
          </c:extLst>
        </c:ser>
        <c:ser>
          <c:idx val="2"/>
          <c:order val="2"/>
          <c:tx>
            <c:strRef>
              <c:f>'Occ F4'!$P$2</c:f>
              <c:strCache>
                <c:ptCount val="1"/>
                <c:pt idx="0">
                  <c:v>Males</c:v>
                </c:pt>
              </c:strCache>
            </c:strRef>
          </c:tx>
          <c:spPr>
            <a:solidFill>
              <a:schemeClr val="bg1">
                <a:lumMod val="85000"/>
              </a:schemeClr>
            </a:solidFill>
            <a:ln>
              <a:noFill/>
            </a:ln>
            <a:effectLst/>
          </c:spPr>
          <c:invertIfNegative val="0"/>
          <c:cat>
            <c:strRef>
              <c:f>'Occ F4'!$M$3:$M$11</c:f>
              <c:strCache>
                <c:ptCount val="9"/>
                <c:pt idx="0">
                  <c:v>Managers, directors and senior officials</c:v>
                </c:pt>
                <c:pt idx="1">
                  <c:v>Professional occupations</c:v>
                </c:pt>
                <c:pt idx="2">
                  <c:v>Associate professional occupations</c:v>
                </c:pt>
                <c:pt idx="3">
                  <c:v>Administrative and secretarial occupations</c:v>
                </c:pt>
                <c:pt idx="4">
                  <c:v>Skilled trades occupations</c:v>
                </c:pt>
                <c:pt idx="5">
                  <c:v>Caring, leisure and other service occupations</c:v>
                </c:pt>
                <c:pt idx="6">
                  <c:v>Sales and customer service occupations</c:v>
                </c:pt>
                <c:pt idx="7">
                  <c:v>Process, plant and machine operatives</c:v>
                </c:pt>
                <c:pt idx="8">
                  <c:v>Elementary occupations</c:v>
                </c:pt>
              </c:strCache>
            </c:strRef>
          </c:cat>
          <c:val>
            <c:numRef>
              <c:f>'Occ F4'!$P$3:$P$11</c:f>
              <c:numCache>
                <c:formatCode>#,##0</c:formatCode>
                <c:ptCount val="9"/>
                <c:pt idx="0">
                  <c:v>-0.20505776014856281</c:v>
                </c:pt>
                <c:pt idx="1">
                  <c:v>10.30015385681827</c:v>
                </c:pt>
                <c:pt idx="2">
                  <c:v>-0.82349626068803161</c:v>
                </c:pt>
                <c:pt idx="3">
                  <c:v>1.6546933138646978</c:v>
                </c:pt>
                <c:pt idx="4">
                  <c:v>-5.3103324297591925</c:v>
                </c:pt>
                <c:pt idx="5">
                  <c:v>2.4922264966216083</c:v>
                </c:pt>
                <c:pt idx="6">
                  <c:v>0.58209982319159614</c:v>
                </c:pt>
                <c:pt idx="7">
                  <c:v>-3.553467031196881</c:v>
                </c:pt>
                <c:pt idx="8">
                  <c:v>0.2597576677214164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3B42-418F-B6AC-18C214F2179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82"/>
        <c:axId val="922825288"/>
        <c:axId val="922825616"/>
      </c:barChart>
      <c:catAx>
        <c:axId val="922825288"/>
        <c:scaling>
          <c:orientation val="maxMin"/>
        </c:scaling>
        <c:delete val="0"/>
        <c:axPos val="l"/>
        <c:numFmt formatCode="General" sourceLinked="1"/>
        <c:majorTickMark val="none"/>
        <c:minorTickMark val="none"/>
        <c:tickLblPos val="low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ysClr val="windowText" lastClr="000000"/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en-US"/>
          </a:p>
        </c:txPr>
        <c:crossAx val="922825616"/>
        <c:crosses val="autoZero"/>
        <c:auto val="1"/>
        <c:lblAlgn val="ctr"/>
        <c:lblOffset val="100"/>
        <c:noMultiLvlLbl val="0"/>
      </c:catAx>
      <c:valAx>
        <c:axId val="922825616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#,##0" sourceLinked="1"/>
        <c:majorTickMark val="out"/>
        <c:minorTickMark val="none"/>
        <c:tickLblPos val="nextTo"/>
        <c:spPr>
          <a:noFill/>
          <a:ln>
            <a:solidFill>
              <a:schemeClr val="bg1">
                <a:lumMod val="65000"/>
              </a:schemeClr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en-US"/>
          </a:p>
        </c:txPr>
        <c:crossAx val="922825288"/>
        <c:crosses val="max"/>
        <c:crossBetween val="between"/>
      </c:valAx>
      <c:spPr>
        <a:noFill/>
        <a:ln>
          <a:noFill/>
        </a:ln>
        <a:effectLst/>
      </c:spPr>
    </c:plotArea>
    <c:legend>
      <c:legendPos val="b"/>
      <c:layout>
        <c:manualLayout>
          <c:xMode val="edge"/>
          <c:yMode val="edge"/>
          <c:x val="0.5121867195352986"/>
          <c:y val="0.94622434214953921"/>
          <c:w val="0.34410578899983585"/>
          <c:h val="3.8818392893196038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1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Arial" panose="020B0604020202020204" pitchFamily="34" charset="0"/>
              <a:ea typeface="+mn-ea"/>
              <a:cs typeface="Arial" panose="020B0604020202020204" pitchFamily="34" charset="0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3175" cap="flat" cmpd="sng" algn="ctr">
      <a:solidFill>
        <a:srgbClr val="000000"/>
      </a:solidFill>
      <a:round/>
    </a:ln>
    <a:effectLst/>
  </c:spPr>
  <c:txPr>
    <a:bodyPr/>
    <a:lstStyle/>
    <a:p>
      <a:pPr>
        <a:defRPr sz="1100">
          <a:latin typeface="Arial" panose="020B0604020202020204" pitchFamily="34" charset="0"/>
          <a:cs typeface="Arial" panose="020B0604020202020204" pitchFamily="34" charset="0"/>
        </a:defRPr>
      </a:pPr>
      <a:endParaRPr lang="en-US"/>
    </a:p>
  </c:txPr>
  <c:printSettings>
    <c:headerFooter/>
    <c:pageMargins b="0.75" l="0.7" r="0.7" t="0.75" header="0.3" footer="0.3"/>
    <c:pageSetup paperSize="9" orientation="landscape"/>
  </c:printSettings>
</c:chartSpace>
</file>

<file path=xl/charts/chart3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45366400348449171"/>
          <c:y val="2.3504273504273504E-2"/>
          <c:w val="0.51264010895328738"/>
          <c:h val="0.87051921394441079"/>
        </c:manualLayout>
      </c:layout>
      <c:barChart>
        <c:barDir val="bar"/>
        <c:grouping val="clustered"/>
        <c:varyColors val="0"/>
        <c:ser>
          <c:idx val="0"/>
          <c:order val="0"/>
          <c:tx>
            <c:strRef>
              <c:f>'Occ F5'!$N$2</c:f>
              <c:strCache>
                <c:ptCount val="1"/>
                <c:pt idx="0">
                  <c:v>Self-employment</c:v>
                </c:pt>
              </c:strCache>
            </c:strRef>
          </c:tx>
          <c:spPr>
            <a:solidFill>
              <a:schemeClr val="tx1"/>
            </a:solidFill>
            <a:ln>
              <a:noFill/>
            </a:ln>
            <a:effectLst/>
          </c:spPr>
          <c:invertIfNegative val="0"/>
          <c:cat>
            <c:strRef>
              <c:f>'Occ F5'!$M$3:$M$11</c:f>
              <c:strCache>
                <c:ptCount val="9"/>
                <c:pt idx="0">
                  <c:v>Managers, directors and senior officials</c:v>
                </c:pt>
                <c:pt idx="1">
                  <c:v>Professional occupations</c:v>
                </c:pt>
                <c:pt idx="2">
                  <c:v>Associate professional occupations</c:v>
                </c:pt>
                <c:pt idx="3">
                  <c:v>Administrative and secretarial occupations</c:v>
                </c:pt>
                <c:pt idx="4">
                  <c:v>Skilled trades occupations</c:v>
                </c:pt>
                <c:pt idx="5">
                  <c:v>Caring, leisure and other service occupations</c:v>
                </c:pt>
                <c:pt idx="6">
                  <c:v>Sales and customer service occupations</c:v>
                </c:pt>
                <c:pt idx="7">
                  <c:v>Process, plant and machine operatives</c:v>
                </c:pt>
                <c:pt idx="8">
                  <c:v>Elementary occupations</c:v>
                </c:pt>
              </c:strCache>
            </c:strRef>
          </c:cat>
          <c:val>
            <c:numRef>
              <c:f>'Occ F5'!$N$3:$N$11</c:f>
              <c:numCache>
                <c:formatCode>#,##0</c:formatCode>
                <c:ptCount val="9"/>
                <c:pt idx="0">
                  <c:v>1.2733507298252835</c:v>
                </c:pt>
                <c:pt idx="1">
                  <c:v>-2.13817270279133E-2</c:v>
                </c:pt>
                <c:pt idx="2">
                  <c:v>0.16111576850618015</c:v>
                </c:pt>
                <c:pt idx="3">
                  <c:v>-0.14942970672041422</c:v>
                </c:pt>
                <c:pt idx="4">
                  <c:v>-0.41853348692460202</c:v>
                </c:pt>
                <c:pt idx="5">
                  <c:v>0.65437219012120984</c:v>
                </c:pt>
                <c:pt idx="6">
                  <c:v>-0.54393575552811035</c:v>
                </c:pt>
                <c:pt idx="7">
                  <c:v>0.62649725699777559</c:v>
                </c:pt>
                <c:pt idx="8">
                  <c:v>1.073744286222782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5F18-4405-9282-83D850E19EAA}"/>
            </c:ext>
          </c:extLst>
        </c:ser>
        <c:ser>
          <c:idx val="1"/>
          <c:order val="1"/>
          <c:tx>
            <c:strRef>
              <c:f>'Occ F5'!$O$2</c:f>
              <c:strCache>
                <c:ptCount val="1"/>
                <c:pt idx="0">
                  <c:v>Part-time</c:v>
                </c:pt>
              </c:strCache>
            </c:strRef>
          </c:tx>
          <c:spPr>
            <a:solidFill>
              <a:schemeClr val="bg1">
                <a:lumMod val="50000"/>
              </a:schemeClr>
            </a:solidFill>
            <a:ln>
              <a:noFill/>
            </a:ln>
            <a:effectLst/>
          </c:spPr>
          <c:invertIfNegative val="0"/>
          <c:cat>
            <c:strRef>
              <c:f>'Occ F5'!$M$3:$M$11</c:f>
              <c:strCache>
                <c:ptCount val="9"/>
                <c:pt idx="0">
                  <c:v>Managers, directors and senior officials</c:v>
                </c:pt>
                <c:pt idx="1">
                  <c:v>Professional occupations</c:v>
                </c:pt>
                <c:pt idx="2">
                  <c:v>Associate professional occupations</c:v>
                </c:pt>
                <c:pt idx="3">
                  <c:v>Administrative and secretarial occupations</c:v>
                </c:pt>
                <c:pt idx="4">
                  <c:v>Skilled trades occupations</c:v>
                </c:pt>
                <c:pt idx="5">
                  <c:v>Caring, leisure and other service occupations</c:v>
                </c:pt>
                <c:pt idx="6">
                  <c:v>Sales and customer service occupations</c:v>
                </c:pt>
                <c:pt idx="7">
                  <c:v>Process, plant and machine operatives</c:v>
                </c:pt>
                <c:pt idx="8">
                  <c:v>Elementary occupations</c:v>
                </c:pt>
              </c:strCache>
            </c:strRef>
          </c:cat>
          <c:val>
            <c:numRef>
              <c:f>'Occ F5'!$O$3:$O$11</c:f>
              <c:numCache>
                <c:formatCode>#,##0</c:formatCode>
                <c:ptCount val="9"/>
                <c:pt idx="0">
                  <c:v>1.1409843260896659</c:v>
                </c:pt>
                <c:pt idx="1">
                  <c:v>3.0623630478545003</c:v>
                </c:pt>
                <c:pt idx="2">
                  <c:v>2.9315059363402174</c:v>
                </c:pt>
                <c:pt idx="3">
                  <c:v>-2.5701118481131324</c:v>
                </c:pt>
                <c:pt idx="4">
                  <c:v>0.46870264565185504</c:v>
                </c:pt>
                <c:pt idx="5">
                  <c:v>-0.54217595749452485</c:v>
                </c:pt>
                <c:pt idx="6">
                  <c:v>0.99349160535047076</c:v>
                </c:pt>
                <c:pt idx="7">
                  <c:v>0.82625779475861982</c:v>
                </c:pt>
                <c:pt idx="8">
                  <c:v>-4.377457657014773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5F18-4405-9282-83D850E19EAA}"/>
            </c:ext>
          </c:extLst>
        </c:ser>
        <c:ser>
          <c:idx val="2"/>
          <c:order val="2"/>
          <c:tx>
            <c:strRef>
              <c:f>'Occ F5'!$P$2</c:f>
              <c:strCache>
                <c:ptCount val="1"/>
                <c:pt idx="0">
                  <c:v>Full-time</c:v>
                </c:pt>
              </c:strCache>
            </c:strRef>
          </c:tx>
          <c:spPr>
            <a:solidFill>
              <a:schemeClr val="bg1">
                <a:lumMod val="85000"/>
              </a:schemeClr>
            </a:solidFill>
            <a:ln>
              <a:noFill/>
            </a:ln>
            <a:effectLst/>
          </c:spPr>
          <c:invertIfNegative val="0"/>
          <c:cat>
            <c:strRef>
              <c:f>'Occ F5'!$M$3:$M$11</c:f>
              <c:strCache>
                <c:ptCount val="9"/>
                <c:pt idx="0">
                  <c:v>Managers, directors and senior officials</c:v>
                </c:pt>
                <c:pt idx="1">
                  <c:v>Professional occupations</c:v>
                </c:pt>
                <c:pt idx="2">
                  <c:v>Associate professional occupations</c:v>
                </c:pt>
                <c:pt idx="3">
                  <c:v>Administrative and secretarial occupations</c:v>
                </c:pt>
                <c:pt idx="4">
                  <c:v>Skilled trades occupations</c:v>
                </c:pt>
                <c:pt idx="5">
                  <c:v>Caring, leisure and other service occupations</c:v>
                </c:pt>
                <c:pt idx="6">
                  <c:v>Sales and customer service occupations</c:v>
                </c:pt>
                <c:pt idx="7">
                  <c:v>Process, plant and machine operatives</c:v>
                </c:pt>
                <c:pt idx="8">
                  <c:v>Elementary occupations</c:v>
                </c:pt>
              </c:strCache>
            </c:strRef>
          </c:cat>
          <c:val>
            <c:numRef>
              <c:f>'Occ F5'!$P$3:$P$11</c:f>
              <c:numCache>
                <c:formatCode>#,##0</c:formatCode>
                <c:ptCount val="9"/>
                <c:pt idx="0">
                  <c:v>-1.3791143940153958</c:v>
                </c:pt>
                <c:pt idx="1">
                  <c:v>13.476509269332695</c:v>
                </c:pt>
                <c:pt idx="2">
                  <c:v>5.2689113140893014</c:v>
                </c:pt>
                <c:pt idx="3">
                  <c:v>-0.25597256789852807</c:v>
                </c:pt>
                <c:pt idx="4">
                  <c:v>-5.3482196847188348</c:v>
                </c:pt>
                <c:pt idx="5">
                  <c:v>3.4689519636647006</c:v>
                </c:pt>
                <c:pt idx="6">
                  <c:v>-0.75553155123931681</c:v>
                </c:pt>
                <c:pt idx="7">
                  <c:v>-3.7213017064129872</c:v>
                </c:pt>
                <c:pt idx="8">
                  <c:v>2.7234079083030132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5F18-4405-9282-83D850E19EA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82"/>
        <c:axId val="922825288"/>
        <c:axId val="922825616"/>
      </c:barChart>
      <c:catAx>
        <c:axId val="922825288"/>
        <c:scaling>
          <c:orientation val="maxMin"/>
        </c:scaling>
        <c:delete val="0"/>
        <c:axPos val="l"/>
        <c:numFmt formatCode="General" sourceLinked="1"/>
        <c:majorTickMark val="none"/>
        <c:minorTickMark val="none"/>
        <c:tickLblPos val="low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en-US"/>
          </a:p>
        </c:txPr>
        <c:crossAx val="922825616"/>
        <c:crosses val="autoZero"/>
        <c:auto val="1"/>
        <c:lblAlgn val="ctr"/>
        <c:lblOffset val="100"/>
        <c:noMultiLvlLbl val="0"/>
      </c:catAx>
      <c:valAx>
        <c:axId val="922825616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#,##0" sourceLinked="1"/>
        <c:majorTickMark val="out"/>
        <c:minorTickMark val="none"/>
        <c:tickLblPos val="nextTo"/>
        <c:spPr>
          <a:noFill/>
          <a:ln>
            <a:solidFill>
              <a:schemeClr val="bg1">
                <a:lumMod val="65000"/>
              </a:schemeClr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en-US"/>
          </a:p>
        </c:txPr>
        <c:crossAx val="922825288"/>
        <c:crosses val="max"/>
        <c:crossBetween val="between"/>
      </c:valAx>
      <c:spPr>
        <a:noFill/>
        <a:ln>
          <a:noFill/>
        </a:ln>
        <a:effectLst/>
      </c:spPr>
    </c:plotArea>
    <c:legend>
      <c:legendPos val="b"/>
      <c:layout>
        <c:manualLayout>
          <c:xMode val="edge"/>
          <c:yMode val="edge"/>
          <c:x val="0.47445087707431338"/>
          <c:y val="0.95049784642304325"/>
          <c:w val="0.48173062621048768"/>
          <c:h val="3.8818392893196038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1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Arial" panose="020B0604020202020204" pitchFamily="34" charset="0"/>
              <a:ea typeface="+mn-ea"/>
              <a:cs typeface="Arial" panose="020B0604020202020204" pitchFamily="34" charset="0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3175" cap="flat" cmpd="sng" algn="ctr">
      <a:solidFill>
        <a:srgbClr val="000000"/>
      </a:solidFill>
      <a:round/>
    </a:ln>
    <a:effectLst/>
  </c:spPr>
  <c:txPr>
    <a:bodyPr/>
    <a:lstStyle/>
    <a:p>
      <a:pPr>
        <a:defRPr sz="1100">
          <a:latin typeface="Arial" panose="020B0604020202020204" pitchFamily="34" charset="0"/>
          <a:cs typeface="Arial" panose="020B0604020202020204" pitchFamily="34" charset="0"/>
        </a:defRPr>
      </a:pPr>
      <a:endParaRPr lang="en-US"/>
    </a:p>
  </c:txPr>
  <c:printSettings>
    <c:headerFooter/>
    <c:pageMargins b="0.75" l="0.7" r="0.7" t="0.75" header="0.3" footer="0.3"/>
    <c:pageSetup paperSize="9" orientation="landscape"/>
  </c:printSettings>
</c:chartSpace>
</file>

<file path=xl/charts/chart3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45366400348449171"/>
          <c:y val="2.3504273504273504E-2"/>
          <c:w val="0.51264010895328738"/>
          <c:h val="0.87051921394441079"/>
        </c:manualLayout>
      </c:layout>
      <c:barChart>
        <c:barDir val="bar"/>
        <c:grouping val="clustered"/>
        <c:varyColors val="0"/>
        <c:ser>
          <c:idx val="0"/>
          <c:order val="0"/>
          <c:tx>
            <c:strRef>
              <c:f>'Occ F5'!$N$2</c:f>
              <c:strCache>
                <c:ptCount val="1"/>
                <c:pt idx="0">
                  <c:v>Self-employment</c:v>
                </c:pt>
              </c:strCache>
            </c:strRef>
          </c:tx>
          <c:spPr>
            <a:solidFill>
              <a:schemeClr val="tx1"/>
            </a:solidFill>
            <a:ln>
              <a:noFill/>
            </a:ln>
            <a:effectLst/>
          </c:spPr>
          <c:invertIfNegative val="0"/>
          <c:cat>
            <c:strRef>
              <c:f>'Occ F5'!$M$18:$M$26</c:f>
              <c:strCache>
                <c:ptCount val="9"/>
                <c:pt idx="0">
                  <c:v>Managers, directors and senior officials</c:v>
                </c:pt>
                <c:pt idx="1">
                  <c:v>Professional occupations</c:v>
                </c:pt>
                <c:pt idx="2">
                  <c:v>Associate professional occupations</c:v>
                </c:pt>
                <c:pt idx="3">
                  <c:v>Administrative and secretarial occupations</c:v>
                </c:pt>
                <c:pt idx="4">
                  <c:v>Skilled trades occupations</c:v>
                </c:pt>
                <c:pt idx="5">
                  <c:v>Caring, leisure and other service occupations</c:v>
                </c:pt>
                <c:pt idx="6">
                  <c:v>Sales and customer service occupations</c:v>
                </c:pt>
                <c:pt idx="7">
                  <c:v>Process, plant and machine operatives</c:v>
                </c:pt>
                <c:pt idx="8">
                  <c:v>Elementary occupations</c:v>
                </c:pt>
              </c:strCache>
            </c:strRef>
          </c:cat>
          <c:val>
            <c:numRef>
              <c:f>'Occ F5'!$N$18:$N$26</c:f>
              <c:numCache>
                <c:formatCode>#,##0</c:formatCode>
                <c:ptCount val="9"/>
                <c:pt idx="0">
                  <c:v>0.33395979131876485</c:v>
                </c:pt>
                <c:pt idx="1">
                  <c:v>0.75969938641051549</c:v>
                </c:pt>
                <c:pt idx="2">
                  <c:v>0.14753204639683615</c:v>
                </c:pt>
                <c:pt idx="3">
                  <c:v>-0.23305563039099875</c:v>
                </c:pt>
                <c:pt idx="4">
                  <c:v>9.1004656501139092E-2</c:v>
                </c:pt>
                <c:pt idx="5">
                  <c:v>0.28304708060598305</c:v>
                </c:pt>
                <c:pt idx="6">
                  <c:v>-0.29841701993787284</c:v>
                </c:pt>
                <c:pt idx="7">
                  <c:v>1.3479663178714851E-3</c:v>
                </c:pt>
                <c:pt idx="8">
                  <c:v>0.35768109812679416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0599-4B54-AE40-5BA4742ECC44}"/>
            </c:ext>
          </c:extLst>
        </c:ser>
        <c:ser>
          <c:idx val="1"/>
          <c:order val="1"/>
          <c:tx>
            <c:strRef>
              <c:f>'Occ F5'!$O$2</c:f>
              <c:strCache>
                <c:ptCount val="1"/>
                <c:pt idx="0">
                  <c:v>Part-time</c:v>
                </c:pt>
              </c:strCache>
            </c:strRef>
          </c:tx>
          <c:spPr>
            <a:solidFill>
              <a:schemeClr val="bg1">
                <a:lumMod val="50000"/>
              </a:schemeClr>
            </a:solidFill>
            <a:ln>
              <a:noFill/>
            </a:ln>
            <a:effectLst/>
          </c:spPr>
          <c:invertIfNegative val="0"/>
          <c:cat>
            <c:strRef>
              <c:f>'Occ F5'!$M$18:$M$26</c:f>
              <c:strCache>
                <c:ptCount val="9"/>
                <c:pt idx="0">
                  <c:v>Managers, directors and senior officials</c:v>
                </c:pt>
                <c:pt idx="1">
                  <c:v>Professional occupations</c:v>
                </c:pt>
                <c:pt idx="2">
                  <c:v>Associate professional occupations</c:v>
                </c:pt>
                <c:pt idx="3">
                  <c:v>Administrative and secretarial occupations</c:v>
                </c:pt>
                <c:pt idx="4">
                  <c:v>Skilled trades occupations</c:v>
                </c:pt>
                <c:pt idx="5">
                  <c:v>Caring, leisure and other service occupations</c:v>
                </c:pt>
                <c:pt idx="6">
                  <c:v>Sales and customer service occupations</c:v>
                </c:pt>
                <c:pt idx="7">
                  <c:v>Process, plant and machine operatives</c:v>
                </c:pt>
                <c:pt idx="8">
                  <c:v>Elementary occupations</c:v>
                </c:pt>
              </c:strCache>
            </c:strRef>
          </c:cat>
          <c:val>
            <c:numRef>
              <c:f>'Occ F5'!$O$18:$O$26</c:f>
              <c:numCache>
                <c:formatCode>#,##0</c:formatCode>
                <c:ptCount val="9"/>
                <c:pt idx="0">
                  <c:v>0.68456703085269144</c:v>
                </c:pt>
                <c:pt idx="1">
                  <c:v>1.5677084729259469</c:v>
                </c:pt>
                <c:pt idx="2">
                  <c:v>2.9078401980067525</c:v>
                </c:pt>
                <c:pt idx="3">
                  <c:v>-2.3274055266956069</c:v>
                </c:pt>
                <c:pt idx="4">
                  <c:v>-5.849120948228026E-2</c:v>
                </c:pt>
                <c:pt idx="5">
                  <c:v>-1.6449879854409488</c:v>
                </c:pt>
                <c:pt idx="6">
                  <c:v>7.7720424867244731E-2</c:v>
                </c:pt>
                <c:pt idx="7">
                  <c:v>0.58591501665824608</c:v>
                </c:pt>
                <c:pt idx="8">
                  <c:v>-2.4199931129391672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0599-4B54-AE40-5BA4742ECC44}"/>
            </c:ext>
          </c:extLst>
        </c:ser>
        <c:ser>
          <c:idx val="2"/>
          <c:order val="2"/>
          <c:tx>
            <c:strRef>
              <c:f>'Occ F5'!$P$2</c:f>
              <c:strCache>
                <c:ptCount val="1"/>
                <c:pt idx="0">
                  <c:v>Full-time</c:v>
                </c:pt>
              </c:strCache>
            </c:strRef>
          </c:tx>
          <c:spPr>
            <a:solidFill>
              <a:schemeClr val="bg1">
                <a:lumMod val="85000"/>
              </a:schemeClr>
            </a:solidFill>
            <a:ln>
              <a:noFill/>
            </a:ln>
            <a:effectLst/>
          </c:spPr>
          <c:invertIfNegative val="0"/>
          <c:cat>
            <c:strRef>
              <c:f>'Occ F5'!$M$18:$M$26</c:f>
              <c:strCache>
                <c:ptCount val="9"/>
                <c:pt idx="0">
                  <c:v>Managers, directors and senior officials</c:v>
                </c:pt>
                <c:pt idx="1">
                  <c:v>Professional occupations</c:v>
                </c:pt>
                <c:pt idx="2">
                  <c:v>Associate professional occupations</c:v>
                </c:pt>
                <c:pt idx="3">
                  <c:v>Administrative and secretarial occupations</c:v>
                </c:pt>
                <c:pt idx="4">
                  <c:v>Skilled trades occupations</c:v>
                </c:pt>
                <c:pt idx="5">
                  <c:v>Caring, leisure and other service occupations</c:v>
                </c:pt>
                <c:pt idx="6">
                  <c:v>Sales and customer service occupations</c:v>
                </c:pt>
                <c:pt idx="7">
                  <c:v>Process, plant and machine operatives</c:v>
                </c:pt>
                <c:pt idx="8">
                  <c:v>Elementary occupations</c:v>
                </c:pt>
              </c:strCache>
            </c:strRef>
          </c:cat>
          <c:val>
            <c:numRef>
              <c:f>'Occ F5'!$P$18:$P$26</c:f>
              <c:numCache>
                <c:formatCode>#,##0</c:formatCode>
                <c:ptCount val="9"/>
                <c:pt idx="0">
                  <c:v>0.22175159987664017</c:v>
                </c:pt>
                <c:pt idx="1">
                  <c:v>3.8899288740045179</c:v>
                </c:pt>
                <c:pt idx="2">
                  <c:v>6.1296570352201574</c:v>
                </c:pt>
                <c:pt idx="3">
                  <c:v>-2.06974627951017</c:v>
                </c:pt>
                <c:pt idx="4">
                  <c:v>-2.0231543251297168E-2</c:v>
                </c:pt>
                <c:pt idx="5">
                  <c:v>2.4508626045047528</c:v>
                </c:pt>
                <c:pt idx="6">
                  <c:v>-0.66737892953792333</c:v>
                </c:pt>
                <c:pt idx="7">
                  <c:v>0.6976573935642123</c:v>
                </c:pt>
                <c:pt idx="8">
                  <c:v>1.2222488846020374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0599-4B54-AE40-5BA4742ECC4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82"/>
        <c:axId val="922825288"/>
        <c:axId val="922825616"/>
      </c:barChart>
      <c:catAx>
        <c:axId val="922825288"/>
        <c:scaling>
          <c:orientation val="maxMin"/>
        </c:scaling>
        <c:delete val="0"/>
        <c:axPos val="l"/>
        <c:numFmt formatCode="General" sourceLinked="1"/>
        <c:majorTickMark val="none"/>
        <c:minorTickMark val="none"/>
        <c:tickLblPos val="low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en-US"/>
          </a:p>
        </c:txPr>
        <c:crossAx val="922825616"/>
        <c:crosses val="autoZero"/>
        <c:auto val="1"/>
        <c:lblAlgn val="ctr"/>
        <c:lblOffset val="100"/>
        <c:noMultiLvlLbl val="0"/>
      </c:catAx>
      <c:valAx>
        <c:axId val="922825616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#,##0" sourceLinked="1"/>
        <c:majorTickMark val="out"/>
        <c:minorTickMark val="none"/>
        <c:tickLblPos val="nextTo"/>
        <c:spPr>
          <a:noFill/>
          <a:ln>
            <a:solidFill>
              <a:schemeClr val="bg1">
                <a:lumMod val="65000"/>
              </a:schemeClr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en-US"/>
          </a:p>
        </c:txPr>
        <c:crossAx val="922825288"/>
        <c:crosses val="max"/>
        <c:crossBetween val="between"/>
      </c:valAx>
      <c:spPr>
        <a:noFill/>
        <a:ln>
          <a:noFill/>
        </a:ln>
        <a:effectLst/>
      </c:spPr>
    </c:plotArea>
    <c:legend>
      <c:legendPos val="b"/>
      <c:layout>
        <c:manualLayout>
          <c:xMode val="edge"/>
          <c:yMode val="edge"/>
          <c:x val="0.47445087707431338"/>
          <c:y val="0.95049784642304325"/>
          <c:w val="0.48173062621048768"/>
          <c:h val="3.8818392893196038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1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Arial" panose="020B0604020202020204" pitchFamily="34" charset="0"/>
              <a:ea typeface="+mn-ea"/>
              <a:cs typeface="Arial" panose="020B0604020202020204" pitchFamily="34" charset="0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3175" cap="flat" cmpd="sng" algn="ctr">
      <a:solidFill>
        <a:srgbClr val="000000"/>
      </a:solidFill>
      <a:round/>
    </a:ln>
    <a:effectLst/>
  </c:spPr>
  <c:txPr>
    <a:bodyPr/>
    <a:lstStyle/>
    <a:p>
      <a:pPr>
        <a:defRPr sz="1100">
          <a:latin typeface="Arial" panose="020B0604020202020204" pitchFamily="34" charset="0"/>
          <a:cs typeface="Arial" panose="020B0604020202020204" pitchFamily="34" charset="0"/>
        </a:defRPr>
      </a:pPr>
      <a:endParaRPr lang="en-US"/>
    </a:p>
  </c:txPr>
  <c:printSettings>
    <c:headerFooter/>
    <c:pageMargins b="0.75" l="0.7" r="0.7" t="0.75" header="0.3" footer="0.3"/>
    <c:pageSetup paperSize="9" orientation="landscape"/>
  </c:printSettings>
</c:chartSpace>
</file>

<file path=xl/charts/chart3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45366400348449171"/>
          <c:y val="2.3504273504273504E-2"/>
          <c:w val="0.51264010895328738"/>
          <c:h val="0.87051921394441079"/>
        </c:manualLayout>
      </c:layout>
      <c:barChart>
        <c:barDir val="bar"/>
        <c:grouping val="clustered"/>
        <c:varyColors val="0"/>
        <c:ser>
          <c:idx val="0"/>
          <c:order val="0"/>
          <c:tx>
            <c:strRef>
              <c:f>'Occ F5'!$N$2</c:f>
              <c:strCache>
                <c:ptCount val="1"/>
                <c:pt idx="0">
                  <c:v>Self-employment</c:v>
                </c:pt>
              </c:strCache>
            </c:strRef>
          </c:tx>
          <c:spPr>
            <a:solidFill>
              <a:schemeClr val="tx1"/>
            </a:solidFill>
            <a:ln>
              <a:noFill/>
            </a:ln>
            <a:effectLst/>
          </c:spPr>
          <c:invertIfNegative val="0"/>
          <c:cat>
            <c:strRef>
              <c:f>'Occ F5'!$M$33:$M$41</c:f>
              <c:strCache>
                <c:ptCount val="9"/>
                <c:pt idx="0">
                  <c:v>Managers, directors and senior officials</c:v>
                </c:pt>
                <c:pt idx="1">
                  <c:v>Professional occupations</c:v>
                </c:pt>
                <c:pt idx="2">
                  <c:v>Associate professional occupations</c:v>
                </c:pt>
                <c:pt idx="3">
                  <c:v>Administrative and secretarial occupations</c:v>
                </c:pt>
                <c:pt idx="4">
                  <c:v>Skilled trades occupations</c:v>
                </c:pt>
                <c:pt idx="5">
                  <c:v>Caring, leisure and other service occupations</c:v>
                </c:pt>
                <c:pt idx="6">
                  <c:v>Sales and customer service occupations</c:v>
                </c:pt>
                <c:pt idx="7">
                  <c:v>Process, plant and machine operatives</c:v>
                </c:pt>
                <c:pt idx="8">
                  <c:v>Elementary occupations</c:v>
                </c:pt>
              </c:strCache>
            </c:strRef>
          </c:cat>
          <c:val>
            <c:numRef>
              <c:f>'Occ F5'!$N$33:$N$41</c:f>
              <c:numCache>
                <c:formatCode>#,##0</c:formatCode>
                <c:ptCount val="9"/>
                <c:pt idx="0">
                  <c:v>0.93939093850650668</c:v>
                </c:pt>
                <c:pt idx="1">
                  <c:v>-0.78108111343843056</c:v>
                </c:pt>
                <c:pt idx="2">
                  <c:v>1.3583722109344887E-2</c:v>
                </c:pt>
                <c:pt idx="3">
                  <c:v>8.3625923670583913E-2</c:v>
                </c:pt>
                <c:pt idx="4">
                  <c:v>-0.50953814342574155</c:v>
                </c:pt>
                <c:pt idx="5">
                  <c:v>0.37132510951522668</c:v>
                </c:pt>
                <c:pt idx="6">
                  <c:v>-0.24551873559023729</c:v>
                </c:pt>
                <c:pt idx="7">
                  <c:v>0.62514929067990899</c:v>
                </c:pt>
                <c:pt idx="8">
                  <c:v>0.71606318809599001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4875-42E4-8B8F-C4A03ECE09CC}"/>
            </c:ext>
          </c:extLst>
        </c:ser>
        <c:ser>
          <c:idx val="1"/>
          <c:order val="1"/>
          <c:tx>
            <c:strRef>
              <c:f>'Occ F5'!$O$2</c:f>
              <c:strCache>
                <c:ptCount val="1"/>
                <c:pt idx="0">
                  <c:v>Part-time</c:v>
                </c:pt>
              </c:strCache>
            </c:strRef>
          </c:tx>
          <c:spPr>
            <a:solidFill>
              <a:schemeClr val="bg1">
                <a:lumMod val="50000"/>
              </a:schemeClr>
            </a:solidFill>
            <a:ln>
              <a:noFill/>
            </a:ln>
            <a:effectLst/>
          </c:spPr>
          <c:invertIfNegative val="0"/>
          <c:cat>
            <c:strRef>
              <c:f>'Occ F5'!$M$33:$M$41</c:f>
              <c:strCache>
                <c:ptCount val="9"/>
                <c:pt idx="0">
                  <c:v>Managers, directors and senior officials</c:v>
                </c:pt>
                <c:pt idx="1">
                  <c:v>Professional occupations</c:v>
                </c:pt>
                <c:pt idx="2">
                  <c:v>Associate professional occupations</c:v>
                </c:pt>
                <c:pt idx="3">
                  <c:v>Administrative and secretarial occupations</c:v>
                </c:pt>
                <c:pt idx="4">
                  <c:v>Skilled trades occupations</c:v>
                </c:pt>
                <c:pt idx="5">
                  <c:v>Caring, leisure and other service occupations</c:v>
                </c:pt>
                <c:pt idx="6">
                  <c:v>Sales and customer service occupations</c:v>
                </c:pt>
                <c:pt idx="7">
                  <c:v>Process, plant and machine operatives</c:v>
                </c:pt>
                <c:pt idx="8">
                  <c:v>Elementary occupations</c:v>
                </c:pt>
              </c:strCache>
            </c:strRef>
          </c:cat>
          <c:val>
            <c:numRef>
              <c:f>'Occ F5'!$O$33:$O$41</c:f>
              <c:numCache>
                <c:formatCode>#,##0</c:formatCode>
                <c:ptCount val="9"/>
                <c:pt idx="0">
                  <c:v>0.45641729523697538</c:v>
                </c:pt>
                <c:pt idx="1">
                  <c:v>1.4946545749285569</c:v>
                </c:pt>
                <c:pt idx="2">
                  <c:v>2.3665738333469299E-2</c:v>
                </c:pt>
                <c:pt idx="3">
                  <c:v>-0.24270632141753001</c:v>
                </c:pt>
                <c:pt idx="4">
                  <c:v>0.52719385513413375</c:v>
                </c:pt>
                <c:pt idx="5">
                  <c:v>1.10281202794642</c:v>
                </c:pt>
                <c:pt idx="6">
                  <c:v>0.91577118048323491</c:v>
                </c:pt>
                <c:pt idx="7">
                  <c:v>0.24034277810037441</c:v>
                </c:pt>
                <c:pt idx="8">
                  <c:v>-1.95746454407558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4875-42E4-8B8F-C4A03ECE09CC}"/>
            </c:ext>
          </c:extLst>
        </c:ser>
        <c:ser>
          <c:idx val="2"/>
          <c:order val="2"/>
          <c:tx>
            <c:strRef>
              <c:f>'Occ F5'!$P$2</c:f>
              <c:strCache>
                <c:ptCount val="1"/>
                <c:pt idx="0">
                  <c:v>Full-time</c:v>
                </c:pt>
              </c:strCache>
            </c:strRef>
          </c:tx>
          <c:spPr>
            <a:solidFill>
              <a:schemeClr val="bg1">
                <a:lumMod val="85000"/>
              </a:schemeClr>
            </a:solidFill>
            <a:ln>
              <a:noFill/>
            </a:ln>
            <a:effectLst/>
          </c:spPr>
          <c:invertIfNegative val="0"/>
          <c:cat>
            <c:strRef>
              <c:f>'Occ F5'!$M$33:$M$41</c:f>
              <c:strCache>
                <c:ptCount val="9"/>
                <c:pt idx="0">
                  <c:v>Managers, directors and senior officials</c:v>
                </c:pt>
                <c:pt idx="1">
                  <c:v>Professional occupations</c:v>
                </c:pt>
                <c:pt idx="2">
                  <c:v>Associate professional occupations</c:v>
                </c:pt>
                <c:pt idx="3">
                  <c:v>Administrative and secretarial occupations</c:v>
                </c:pt>
                <c:pt idx="4">
                  <c:v>Skilled trades occupations</c:v>
                </c:pt>
                <c:pt idx="5">
                  <c:v>Caring, leisure and other service occupations</c:v>
                </c:pt>
                <c:pt idx="6">
                  <c:v>Sales and customer service occupations</c:v>
                </c:pt>
                <c:pt idx="7">
                  <c:v>Process, plant and machine operatives</c:v>
                </c:pt>
                <c:pt idx="8">
                  <c:v>Elementary occupations</c:v>
                </c:pt>
              </c:strCache>
            </c:strRef>
          </c:cat>
          <c:val>
            <c:numRef>
              <c:f>'Occ F5'!$P$33:$P$41</c:f>
              <c:numCache>
                <c:formatCode>#,##0</c:formatCode>
                <c:ptCount val="9"/>
                <c:pt idx="0">
                  <c:v>-1.6008659938920005</c:v>
                </c:pt>
                <c:pt idx="1">
                  <c:v>9.5865803953281912</c:v>
                </c:pt>
                <c:pt idx="2">
                  <c:v>-0.86074572113083647</c:v>
                </c:pt>
                <c:pt idx="3">
                  <c:v>1.8137737116116686</c:v>
                </c:pt>
                <c:pt idx="4">
                  <c:v>-5.3279881414675572</c:v>
                </c:pt>
                <c:pt idx="5">
                  <c:v>1.0180893591599602</c:v>
                </c:pt>
                <c:pt idx="6">
                  <c:v>-8.8152621701403255E-2</c:v>
                </c:pt>
                <c:pt idx="7">
                  <c:v>-4.4189590999771937</c:v>
                </c:pt>
                <c:pt idx="8">
                  <c:v>1.5011590237010104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4875-42E4-8B8F-C4A03ECE09C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82"/>
        <c:axId val="922825288"/>
        <c:axId val="922825616"/>
      </c:barChart>
      <c:catAx>
        <c:axId val="922825288"/>
        <c:scaling>
          <c:orientation val="maxMin"/>
        </c:scaling>
        <c:delete val="0"/>
        <c:axPos val="l"/>
        <c:numFmt formatCode="General" sourceLinked="1"/>
        <c:majorTickMark val="none"/>
        <c:minorTickMark val="none"/>
        <c:tickLblPos val="low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en-US"/>
          </a:p>
        </c:txPr>
        <c:crossAx val="922825616"/>
        <c:crosses val="autoZero"/>
        <c:auto val="1"/>
        <c:lblAlgn val="ctr"/>
        <c:lblOffset val="100"/>
        <c:noMultiLvlLbl val="0"/>
      </c:catAx>
      <c:valAx>
        <c:axId val="922825616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#,##0" sourceLinked="1"/>
        <c:majorTickMark val="out"/>
        <c:minorTickMark val="none"/>
        <c:tickLblPos val="nextTo"/>
        <c:spPr>
          <a:noFill/>
          <a:ln>
            <a:solidFill>
              <a:schemeClr val="bg1">
                <a:lumMod val="65000"/>
              </a:schemeClr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en-US"/>
          </a:p>
        </c:txPr>
        <c:crossAx val="922825288"/>
        <c:crosses val="max"/>
        <c:crossBetween val="between"/>
      </c:valAx>
      <c:spPr>
        <a:noFill/>
        <a:ln>
          <a:noFill/>
        </a:ln>
        <a:effectLst/>
      </c:spPr>
    </c:plotArea>
    <c:legend>
      <c:legendPos val="b"/>
      <c:layout>
        <c:manualLayout>
          <c:xMode val="edge"/>
          <c:yMode val="edge"/>
          <c:x val="0.47445087707431338"/>
          <c:y val="0.95049784642304325"/>
          <c:w val="0.48173062621048768"/>
          <c:h val="3.8818392893196038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1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Arial" panose="020B0604020202020204" pitchFamily="34" charset="0"/>
              <a:ea typeface="+mn-ea"/>
              <a:cs typeface="Arial" panose="020B0604020202020204" pitchFamily="34" charset="0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3175" cap="flat" cmpd="sng" algn="ctr">
      <a:solidFill>
        <a:srgbClr val="000000"/>
      </a:solidFill>
      <a:round/>
    </a:ln>
    <a:effectLst/>
  </c:spPr>
  <c:txPr>
    <a:bodyPr/>
    <a:lstStyle/>
    <a:p>
      <a:pPr>
        <a:defRPr sz="1100">
          <a:latin typeface="Arial" panose="020B0604020202020204" pitchFamily="34" charset="0"/>
          <a:cs typeface="Arial" panose="020B0604020202020204" pitchFamily="34" charset="0"/>
        </a:defRPr>
      </a:pPr>
      <a:endParaRPr lang="en-US"/>
    </a:p>
  </c:txPr>
  <c:printSettings>
    <c:headerFooter/>
    <c:pageMargins b="0.75" l="0.7" r="0.7" t="0.75" header="0.3" footer="0.3"/>
    <c:pageSetup paperSize="9" orientation="landscape"/>
  </c:printSettings>
</c:chartSpace>
</file>

<file path=xl/charts/chart3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8.3756345177673941E-2"/>
          <c:y val="5.3177758665893755E-2"/>
          <c:w val="0.8857868020304569"/>
          <c:h val="0.81532300828808613"/>
        </c:manualLayout>
      </c:layout>
      <c:areaChart>
        <c:grouping val="stacked"/>
        <c:varyColors val="0"/>
        <c:ser>
          <c:idx val="1"/>
          <c:order val="0"/>
          <c:tx>
            <c:strRef>
              <c:f>'Qual F1'!$L$6</c:f>
              <c:strCache>
                <c:ptCount val="1"/>
                <c:pt idx="0">
                  <c:v>No Qualification</c:v>
                </c:pt>
              </c:strCache>
            </c:strRef>
          </c:tx>
          <c:spPr>
            <a:solidFill>
              <a:schemeClr val="tx1"/>
            </a:solidFill>
            <a:ln w="12700">
              <a:solidFill>
                <a:srgbClr val="000000"/>
              </a:solidFill>
              <a:prstDash val="solid"/>
            </a:ln>
          </c:spPr>
          <c:cat>
            <c:numRef>
              <c:f>'Qual F1'!$M$4:$AL$4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'Qual F1'!$M$6:$AL$6</c:f>
              <c:numCache>
                <c:formatCode>#,##0</c:formatCode>
                <c:ptCount val="26"/>
                <c:pt idx="0">
                  <c:v>38.080169948442702</c:v>
                </c:pt>
                <c:pt idx="1">
                  <c:v>35.091493351851099</c:v>
                </c:pt>
                <c:pt idx="2">
                  <c:v>31.560069816777904</c:v>
                </c:pt>
                <c:pt idx="3">
                  <c:v>29.543683885094559</c:v>
                </c:pt>
                <c:pt idx="4">
                  <c:v>28.797861842345551</c:v>
                </c:pt>
                <c:pt idx="5">
                  <c:v>25.388490945313837</c:v>
                </c:pt>
                <c:pt idx="6">
                  <c:v>24.78544772996732</c:v>
                </c:pt>
                <c:pt idx="7">
                  <c:v>25.875864851297028</c:v>
                </c:pt>
                <c:pt idx="8">
                  <c:v>27.318616432515853</c:v>
                </c:pt>
                <c:pt idx="9">
                  <c:v>23.281522322168922</c:v>
                </c:pt>
                <c:pt idx="10">
                  <c:v>19.625003721124724</c:v>
                </c:pt>
                <c:pt idx="11">
                  <c:v>26.333851813552702</c:v>
                </c:pt>
                <c:pt idx="12">
                  <c:v>20.949185435666276</c:v>
                </c:pt>
                <c:pt idx="13">
                  <c:v>19.983742105954601</c:v>
                </c:pt>
                <c:pt idx="14">
                  <c:v>19.04805259378972</c:v>
                </c:pt>
                <c:pt idx="15">
                  <c:v>18.470671246100558</c:v>
                </c:pt>
                <c:pt idx="16">
                  <c:v>17.963759925135136</c:v>
                </c:pt>
                <c:pt idx="17">
                  <c:v>17.42034474436398</c:v>
                </c:pt>
                <c:pt idx="18">
                  <c:v>16.882444997956693</c:v>
                </c:pt>
                <c:pt idx="19">
                  <c:v>16.331969687672128</c:v>
                </c:pt>
                <c:pt idx="20">
                  <c:v>15.767568460719941</c:v>
                </c:pt>
                <c:pt idx="21">
                  <c:v>15.166864150833316</c:v>
                </c:pt>
                <c:pt idx="22">
                  <c:v>14.542760328756996</c:v>
                </c:pt>
                <c:pt idx="23">
                  <c:v>13.897707289875326</c:v>
                </c:pt>
                <c:pt idx="24">
                  <c:v>13.276097401103224</c:v>
                </c:pt>
                <c:pt idx="25">
                  <c:v>13.283437900320125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AD3B-4AF5-BA54-0B96776899DB}"/>
            </c:ext>
          </c:extLst>
        </c:ser>
        <c:ser>
          <c:idx val="2"/>
          <c:order val="1"/>
          <c:tx>
            <c:strRef>
              <c:f>'Qual F1'!$L$7</c:f>
              <c:strCache>
                <c:ptCount val="1"/>
                <c:pt idx="0">
                  <c:v>RQF1 GCSE(below grade C) &amp; equivalent</c:v>
                </c:pt>
              </c:strCache>
            </c:strRef>
          </c:tx>
          <c:spPr>
            <a:solidFill>
              <a:schemeClr val="tx1">
                <a:lumMod val="85000"/>
                <a:lumOff val="15000"/>
              </a:schemeClr>
            </a:solidFill>
            <a:ln w="12700">
              <a:solidFill>
                <a:srgbClr val="000000"/>
              </a:solidFill>
              <a:prstDash val="solid"/>
            </a:ln>
          </c:spPr>
          <c:cat>
            <c:numRef>
              <c:f>'Qual F1'!$M$4:$AL$4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'Qual F1'!$M$7:$AL$7</c:f>
              <c:numCache>
                <c:formatCode>#,##0</c:formatCode>
                <c:ptCount val="26"/>
                <c:pt idx="0">
                  <c:v>84.418930622790384</c:v>
                </c:pt>
                <c:pt idx="1">
                  <c:v>85.803185207252213</c:v>
                </c:pt>
                <c:pt idx="2">
                  <c:v>88.939559858584587</c:v>
                </c:pt>
                <c:pt idx="3">
                  <c:v>75.813718363768913</c:v>
                </c:pt>
                <c:pt idx="4">
                  <c:v>79.870448363292496</c:v>
                </c:pt>
                <c:pt idx="5">
                  <c:v>83.748351231101708</c:v>
                </c:pt>
                <c:pt idx="6">
                  <c:v>77.184680200461614</c:v>
                </c:pt>
                <c:pt idx="7">
                  <c:v>83.117873133377145</c:v>
                </c:pt>
                <c:pt idx="8">
                  <c:v>80.628618469257191</c:v>
                </c:pt>
                <c:pt idx="9">
                  <c:v>70.637405708751928</c:v>
                </c:pt>
                <c:pt idx="10">
                  <c:v>70.337314116798368</c:v>
                </c:pt>
                <c:pt idx="11">
                  <c:v>72.241482787441726</c:v>
                </c:pt>
                <c:pt idx="12">
                  <c:v>67.826277916927822</c:v>
                </c:pt>
                <c:pt idx="13">
                  <c:v>65.873146226295688</c:v>
                </c:pt>
                <c:pt idx="14">
                  <c:v>64.018070508998946</c:v>
                </c:pt>
                <c:pt idx="15">
                  <c:v>61.974619444358716</c:v>
                </c:pt>
                <c:pt idx="16">
                  <c:v>59.862324639169906</c:v>
                </c:pt>
                <c:pt idx="17">
                  <c:v>57.653409097184344</c:v>
                </c:pt>
                <c:pt idx="18">
                  <c:v>55.414599610599382</c:v>
                </c:pt>
                <c:pt idx="19">
                  <c:v>53.143569401791332</c:v>
                </c:pt>
                <c:pt idx="20">
                  <c:v>50.851371333890455</c:v>
                </c:pt>
                <c:pt idx="21">
                  <c:v>48.525678161549614</c:v>
                </c:pt>
                <c:pt idx="22">
                  <c:v>46.165790877522269</c:v>
                </c:pt>
                <c:pt idx="23">
                  <c:v>43.781387219043822</c:v>
                </c:pt>
                <c:pt idx="24">
                  <c:v>41.36076179199015</c:v>
                </c:pt>
                <c:pt idx="25">
                  <c:v>38.84779721740761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AD3B-4AF5-BA54-0B96776899DB}"/>
            </c:ext>
          </c:extLst>
        </c:ser>
        <c:ser>
          <c:idx val="3"/>
          <c:order val="2"/>
          <c:tx>
            <c:strRef>
              <c:f>'Qual F1'!$L$8</c:f>
              <c:strCache>
                <c:ptCount val="1"/>
                <c:pt idx="0">
                  <c:v>RQF2 GCSE(A-C) &amp; equivalent</c:v>
                </c:pt>
              </c:strCache>
            </c:strRef>
          </c:tx>
          <c:spPr>
            <a:solidFill>
              <a:schemeClr val="tx1">
                <a:lumMod val="75000"/>
                <a:lumOff val="25000"/>
              </a:schemeClr>
            </a:solidFill>
            <a:ln w="12700">
              <a:solidFill>
                <a:srgbClr val="000000"/>
              </a:solidFill>
              <a:prstDash val="solid"/>
            </a:ln>
          </c:spPr>
          <c:cat>
            <c:numRef>
              <c:f>'Qual F1'!$M$4:$AL$4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'Qual F1'!$M$8:$AL$8</c:f>
              <c:numCache>
                <c:formatCode>#,##0</c:formatCode>
                <c:ptCount val="26"/>
                <c:pt idx="0">
                  <c:v>110.32223788832535</c:v>
                </c:pt>
                <c:pt idx="1">
                  <c:v>111.60538428014158</c:v>
                </c:pt>
                <c:pt idx="2">
                  <c:v>111.77404831446324</c:v>
                </c:pt>
                <c:pt idx="3">
                  <c:v>111.46887281488658</c:v>
                </c:pt>
                <c:pt idx="4">
                  <c:v>117.01170612981939</c:v>
                </c:pt>
                <c:pt idx="5">
                  <c:v>112.7002804319275</c:v>
                </c:pt>
                <c:pt idx="6">
                  <c:v>121.01443843747217</c:v>
                </c:pt>
                <c:pt idx="7">
                  <c:v>113.86558129166085</c:v>
                </c:pt>
                <c:pt idx="8">
                  <c:v>108.67038910833055</c:v>
                </c:pt>
                <c:pt idx="9">
                  <c:v>113.37189947872221</c:v>
                </c:pt>
                <c:pt idx="10">
                  <c:v>108.75074157184629</c:v>
                </c:pt>
                <c:pt idx="11">
                  <c:v>104.60218034383409</c:v>
                </c:pt>
                <c:pt idx="12">
                  <c:v>104.94674787725553</c:v>
                </c:pt>
                <c:pt idx="13">
                  <c:v>103.5401205337171</c:v>
                </c:pt>
                <c:pt idx="14">
                  <c:v>102.31416757266798</c:v>
                </c:pt>
                <c:pt idx="15">
                  <c:v>100.82718434429103</c:v>
                </c:pt>
                <c:pt idx="16">
                  <c:v>99.248439846725176</c:v>
                </c:pt>
                <c:pt idx="17">
                  <c:v>97.641855875741797</c:v>
                </c:pt>
                <c:pt idx="18">
                  <c:v>96.001377936628302</c:v>
                </c:pt>
                <c:pt idx="19">
                  <c:v>94.353251952035748</c:v>
                </c:pt>
                <c:pt idx="20">
                  <c:v>92.734132786502627</c:v>
                </c:pt>
                <c:pt idx="21">
                  <c:v>91.102144789863104</c:v>
                </c:pt>
                <c:pt idx="22">
                  <c:v>89.456957236487213</c:v>
                </c:pt>
                <c:pt idx="23">
                  <c:v>87.809695823125978</c:v>
                </c:pt>
                <c:pt idx="24">
                  <c:v>86.134221291014768</c:v>
                </c:pt>
                <c:pt idx="25">
                  <c:v>84.329481581221955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AD3B-4AF5-BA54-0B96776899DB}"/>
            </c:ext>
          </c:extLst>
        </c:ser>
        <c:ser>
          <c:idx val="0"/>
          <c:order val="3"/>
          <c:tx>
            <c:strRef>
              <c:f>'Qual F1'!$L$9</c:f>
              <c:strCache>
                <c:ptCount val="1"/>
                <c:pt idx="0">
                  <c:v>RQF3 A level &amp; equivalent</c:v>
                </c:pt>
              </c:strCache>
            </c:strRef>
          </c:tx>
          <c:spPr>
            <a:solidFill>
              <a:schemeClr val="tx1">
                <a:lumMod val="65000"/>
                <a:lumOff val="35000"/>
              </a:schemeClr>
            </a:solidFill>
            <a:ln>
              <a:solidFill>
                <a:srgbClr val="000000"/>
              </a:solidFill>
            </a:ln>
          </c:spPr>
          <c:cat>
            <c:numRef>
              <c:f>'Qual F1'!$M$4:$AL$4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'Qual F1'!$M$9:$AL$9</c:f>
              <c:numCache>
                <c:formatCode>#,##0</c:formatCode>
                <c:ptCount val="26"/>
                <c:pt idx="0">
                  <c:v>103.38433294477741</c:v>
                </c:pt>
                <c:pt idx="1">
                  <c:v>108.06903027285914</c:v>
                </c:pt>
                <c:pt idx="2">
                  <c:v>109.88427576637754</c:v>
                </c:pt>
                <c:pt idx="3">
                  <c:v>98.576079881303883</c:v>
                </c:pt>
                <c:pt idx="4">
                  <c:v>107.17158431358375</c:v>
                </c:pt>
                <c:pt idx="5">
                  <c:v>107.78051384441879</c:v>
                </c:pt>
                <c:pt idx="6">
                  <c:v>112.93392343034898</c:v>
                </c:pt>
                <c:pt idx="7">
                  <c:v>117.43167292909591</c:v>
                </c:pt>
                <c:pt idx="8">
                  <c:v>110.61572767581148</c:v>
                </c:pt>
                <c:pt idx="9">
                  <c:v>117.47424709820056</c:v>
                </c:pt>
                <c:pt idx="10">
                  <c:v>116.13706559485935</c:v>
                </c:pt>
                <c:pt idx="11">
                  <c:v>113.71196979280766</c:v>
                </c:pt>
                <c:pt idx="12">
                  <c:v>115.58025404468917</c:v>
                </c:pt>
                <c:pt idx="13">
                  <c:v>116.3021354049702</c:v>
                </c:pt>
                <c:pt idx="14">
                  <c:v>117.2603341057012</c:v>
                </c:pt>
                <c:pt idx="15">
                  <c:v>117.96109253537774</c:v>
                </c:pt>
                <c:pt idx="16">
                  <c:v>118.57065775075546</c:v>
                </c:pt>
                <c:pt idx="17">
                  <c:v>119.12414746398883</c:v>
                </c:pt>
                <c:pt idx="18">
                  <c:v>119.67853728224432</c:v>
                </c:pt>
                <c:pt idx="19">
                  <c:v>120.23673357525537</c:v>
                </c:pt>
                <c:pt idx="20">
                  <c:v>120.84500787772888</c:v>
                </c:pt>
                <c:pt idx="21">
                  <c:v>121.45351453848527</c:v>
                </c:pt>
                <c:pt idx="22">
                  <c:v>122.07188571541252</c:v>
                </c:pt>
                <c:pt idx="23">
                  <c:v>122.7059876352437</c:v>
                </c:pt>
                <c:pt idx="24">
                  <c:v>123.32627004327072</c:v>
                </c:pt>
                <c:pt idx="25">
                  <c:v>123.77739001921469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D50A-4241-BDC7-CAD877B6E564}"/>
            </c:ext>
          </c:extLst>
        </c:ser>
        <c:ser>
          <c:idx val="4"/>
          <c:order val="4"/>
          <c:tx>
            <c:strRef>
              <c:f>'Qual F1'!$L$10</c:f>
              <c:strCache>
                <c:ptCount val="1"/>
                <c:pt idx="0">
                  <c:v>RQF4 HE below degree level</c:v>
                </c:pt>
              </c:strCache>
            </c:strRef>
          </c:tx>
          <c:spPr>
            <a:solidFill>
              <a:schemeClr val="tx1">
                <a:lumMod val="50000"/>
                <a:lumOff val="50000"/>
              </a:schemeClr>
            </a:solidFill>
            <a:ln>
              <a:solidFill>
                <a:srgbClr val="000000"/>
              </a:solidFill>
            </a:ln>
          </c:spPr>
          <c:cat>
            <c:numRef>
              <c:f>'Qual F1'!$M$4:$AL$4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'Qual F1'!$M$10:$AL$10</c:f>
              <c:numCache>
                <c:formatCode>#,##0</c:formatCode>
                <c:ptCount val="26"/>
                <c:pt idx="0">
                  <c:v>22.661008464021563</c:v>
                </c:pt>
                <c:pt idx="1">
                  <c:v>24.387285814586217</c:v>
                </c:pt>
                <c:pt idx="2">
                  <c:v>21.819812426809058</c:v>
                </c:pt>
                <c:pt idx="3">
                  <c:v>24.389429324489498</c:v>
                </c:pt>
                <c:pt idx="4">
                  <c:v>24.75950352447515</c:v>
                </c:pt>
                <c:pt idx="5">
                  <c:v>25.568285657845244</c:v>
                </c:pt>
                <c:pt idx="6">
                  <c:v>25.841468723329413</c:v>
                </c:pt>
                <c:pt idx="7">
                  <c:v>28.369070533945123</c:v>
                </c:pt>
                <c:pt idx="8">
                  <c:v>27.896051117911167</c:v>
                </c:pt>
                <c:pt idx="9">
                  <c:v>25.362227941740873</c:v>
                </c:pt>
                <c:pt idx="10">
                  <c:v>28.7766719269659</c:v>
                </c:pt>
                <c:pt idx="11">
                  <c:v>27.798835369239015</c:v>
                </c:pt>
                <c:pt idx="12">
                  <c:v>28.702377438401623</c:v>
                </c:pt>
                <c:pt idx="13">
                  <c:v>29.208997147489875</c:v>
                </c:pt>
                <c:pt idx="14">
                  <c:v>29.786934955206657</c:v>
                </c:pt>
                <c:pt idx="15">
                  <c:v>30.311458320598025</c:v>
                </c:pt>
                <c:pt idx="16">
                  <c:v>30.841285438785363</c:v>
                </c:pt>
                <c:pt idx="17">
                  <c:v>31.384766947824339</c:v>
                </c:pt>
                <c:pt idx="18" formatCode="General">
                  <c:v>31.924364187342043</c:v>
                </c:pt>
                <c:pt idx="19" formatCode="General">
                  <c:v>32.478801609203003</c:v>
                </c:pt>
                <c:pt idx="20" formatCode="General">
                  <c:v>33.065083304548338</c:v>
                </c:pt>
                <c:pt idx="21" formatCode="General">
                  <c:v>33.665790159979892</c:v>
                </c:pt>
                <c:pt idx="22">
                  <c:v>34.28699867664033</c:v>
                </c:pt>
                <c:pt idx="23">
                  <c:v>34.927859770498131</c:v>
                </c:pt>
                <c:pt idx="24">
                  <c:v>35.594425098616441</c:v>
                </c:pt>
                <c:pt idx="25">
                  <c:v>36.225630706947001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D50A-4241-BDC7-CAD877B6E564}"/>
            </c:ext>
          </c:extLst>
        </c:ser>
        <c:ser>
          <c:idx val="5"/>
          <c:order val="5"/>
          <c:tx>
            <c:strRef>
              <c:f>'Qual F1'!$L$11</c:f>
              <c:strCache>
                <c:ptCount val="1"/>
                <c:pt idx="0">
                  <c:v>RQF5 Foundation degree;Nursing;Teaching</c:v>
                </c:pt>
              </c:strCache>
            </c:strRef>
          </c:tx>
          <c:spPr>
            <a:solidFill>
              <a:schemeClr val="bg1">
                <a:lumMod val="65000"/>
              </a:schemeClr>
            </a:solidFill>
            <a:ln>
              <a:solidFill>
                <a:srgbClr val="000000"/>
              </a:solidFill>
            </a:ln>
          </c:spPr>
          <c:cat>
            <c:numRef>
              <c:f>'Qual F1'!$M$4:$AL$4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'Qual F1'!$M$11:$AL$11</c:f>
              <c:numCache>
                <c:formatCode>#,##0</c:formatCode>
                <c:ptCount val="26"/>
                <c:pt idx="0">
                  <c:v>27.364761887902166</c:v>
                </c:pt>
                <c:pt idx="1">
                  <c:v>28.761839250388409</c:v>
                </c:pt>
                <c:pt idx="2">
                  <c:v>25.329757202107846</c:v>
                </c:pt>
                <c:pt idx="3">
                  <c:v>27.358782305870289</c:v>
                </c:pt>
                <c:pt idx="4">
                  <c:v>26.609419185577064</c:v>
                </c:pt>
                <c:pt idx="5">
                  <c:v>27.348045135760522</c:v>
                </c:pt>
                <c:pt idx="6">
                  <c:v>27.603085826214336</c:v>
                </c:pt>
                <c:pt idx="7">
                  <c:v>28.934937370059558</c:v>
                </c:pt>
                <c:pt idx="8">
                  <c:v>28.200635845458031</c:v>
                </c:pt>
                <c:pt idx="9">
                  <c:v>26.596779011418935</c:v>
                </c:pt>
                <c:pt idx="10">
                  <c:v>28.149028553170805</c:v>
                </c:pt>
                <c:pt idx="11">
                  <c:v>27.021461049601363</c:v>
                </c:pt>
                <c:pt idx="12">
                  <c:v>27.725511471721855</c:v>
                </c:pt>
                <c:pt idx="13">
                  <c:v>28.025764864820601</c:v>
                </c:pt>
                <c:pt idx="14">
                  <c:v>28.40229272751607</c:v>
                </c:pt>
                <c:pt idx="15">
                  <c:v>28.714998300947027</c:v>
                </c:pt>
                <c:pt idx="16">
                  <c:v>29.020991520769307</c:v>
                </c:pt>
                <c:pt idx="17">
                  <c:v>29.379195562082675</c:v>
                </c:pt>
                <c:pt idx="18" formatCode="General">
                  <c:v>29.762403117546089</c:v>
                </c:pt>
                <c:pt idx="19" formatCode="General">
                  <c:v>30.157741719296318</c:v>
                </c:pt>
                <c:pt idx="20" formatCode="General">
                  <c:v>30.591206510170363</c:v>
                </c:pt>
                <c:pt idx="21" formatCode="General">
                  <c:v>31.056334571270238</c:v>
                </c:pt>
                <c:pt idx="22">
                  <c:v>31.534799849228012</c:v>
                </c:pt>
                <c:pt idx="23">
                  <c:v>32.034482927746176</c:v>
                </c:pt>
                <c:pt idx="24">
                  <c:v>32.541733249741242</c:v>
                </c:pt>
                <c:pt idx="25">
                  <c:v>33.086905154250509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D50A-4241-BDC7-CAD877B6E564}"/>
            </c:ext>
          </c:extLst>
        </c:ser>
        <c:ser>
          <c:idx val="6"/>
          <c:order val="6"/>
          <c:tx>
            <c:strRef>
              <c:f>'Qual F1'!$L$12</c:f>
              <c:strCache>
                <c:ptCount val="1"/>
                <c:pt idx="0">
                  <c:v>RQF6 First degree</c:v>
                </c:pt>
              </c:strCache>
            </c:strRef>
          </c:tx>
          <c:spPr>
            <a:solidFill>
              <a:schemeClr val="bg1">
                <a:lumMod val="75000"/>
              </a:schemeClr>
            </a:solidFill>
            <a:ln>
              <a:solidFill>
                <a:sysClr val="windowText" lastClr="000000"/>
              </a:solidFill>
            </a:ln>
          </c:spPr>
          <c:cat>
            <c:numRef>
              <c:f>'Qual F1'!$M$4:$AL$4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'Qual F1'!$M$12:$AL$12</c:f>
              <c:numCache>
                <c:formatCode>#,##0</c:formatCode>
                <c:ptCount val="26"/>
                <c:pt idx="0">
                  <c:v>65.62872960391438</c:v>
                </c:pt>
                <c:pt idx="1">
                  <c:v>72.078045791960122</c:v>
                </c:pt>
                <c:pt idx="2">
                  <c:v>67.016730096045819</c:v>
                </c:pt>
                <c:pt idx="3">
                  <c:v>73.812734654618581</c:v>
                </c:pt>
                <c:pt idx="4">
                  <c:v>77.100073668557854</c:v>
                </c:pt>
                <c:pt idx="5">
                  <c:v>80.288099078753362</c:v>
                </c:pt>
                <c:pt idx="6">
                  <c:v>82.016479267192537</c:v>
                </c:pt>
                <c:pt idx="7">
                  <c:v>90.041095715166648</c:v>
                </c:pt>
                <c:pt idx="8">
                  <c:v>88.739854906679696</c:v>
                </c:pt>
                <c:pt idx="9">
                  <c:v>84.444502998161283</c:v>
                </c:pt>
                <c:pt idx="10">
                  <c:v>93.903645024450952</c:v>
                </c:pt>
                <c:pt idx="11">
                  <c:v>92.81414880700143</c:v>
                </c:pt>
                <c:pt idx="12">
                  <c:v>95.914735512662247</c:v>
                </c:pt>
                <c:pt idx="13">
                  <c:v>98.131344667201944</c:v>
                </c:pt>
                <c:pt idx="14">
                  <c:v>100.58532440995045</c:v>
                </c:pt>
                <c:pt idx="15">
                  <c:v>102.82505998507928</c:v>
                </c:pt>
                <c:pt idx="16">
                  <c:v>104.99332296192161</c:v>
                </c:pt>
                <c:pt idx="17">
                  <c:v>107.12208485542762</c:v>
                </c:pt>
                <c:pt idx="18" formatCode="General">
                  <c:v>109.31314313335561</c:v>
                </c:pt>
                <c:pt idx="19" formatCode="General">
                  <c:v>111.53465253670709</c:v>
                </c:pt>
                <c:pt idx="20" formatCode="General">
                  <c:v>113.82641901553995</c:v>
                </c:pt>
                <c:pt idx="21" formatCode="General">
                  <c:v>116.13416239871795</c:v>
                </c:pt>
                <c:pt idx="22" formatCode="General">
                  <c:v>118.48060296242318</c:v>
                </c:pt>
                <c:pt idx="23" formatCode="General">
                  <c:v>120.87063032441752</c:v>
                </c:pt>
                <c:pt idx="24" formatCode="General">
                  <c:v>123.28197185547066</c:v>
                </c:pt>
                <c:pt idx="25" formatCode="General">
                  <c:v>125.54968530465672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D50A-4241-BDC7-CAD877B6E564}"/>
            </c:ext>
          </c:extLst>
        </c:ser>
        <c:ser>
          <c:idx val="7"/>
          <c:order val="7"/>
          <c:tx>
            <c:strRef>
              <c:f>'Qual F1'!$L$13</c:f>
              <c:strCache>
                <c:ptCount val="1"/>
                <c:pt idx="0">
                  <c:v>RQF7 Other higher degree</c:v>
                </c:pt>
              </c:strCache>
            </c:strRef>
          </c:tx>
          <c:spPr>
            <a:solidFill>
              <a:schemeClr val="bg1">
                <a:lumMod val="85000"/>
              </a:schemeClr>
            </a:solidFill>
            <a:ln>
              <a:solidFill>
                <a:sysClr val="windowText" lastClr="000000"/>
              </a:solidFill>
            </a:ln>
          </c:spPr>
          <c:cat>
            <c:numRef>
              <c:f>'Qual F1'!$M$4:$AL$4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'Qual F1'!$M$13:$AL$13</c:f>
              <c:numCache>
                <c:formatCode>#,##0</c:formatCode>
                <c:ptCount val="26"/>
                <c:pt idx="0">
                  <c:v>30.028530905324097</c:v>
                </c:pt>
                <c:pt idx="1">
                  <c:v>25.743834950848708</c:v>
                </c:pt>
                <c:pt idx="2">
                  <c:v>24.327680535740541</c:v>
                </c:pt>
                <c:pt idx="3">
                  <c:v>30.670528306948</c:v>
                </c:pt>
                <c:pt idx="4">
                  <c:v>31.450453001272454</c:v>
                </c:pt>
                <c:pt idx="5">
                  <c:v>33.745861677240953</c:v>
                </c:pt>
                <c:pt idx="6">
                  <c:v>34.306201092324152</c:v>
                </c:pt>
                <c:pt idx="7">
                  <c:v>34.617245535232826</c:v>
                </c:pt>
                <c:pt idx="8">
                  <c:v>39.299804798974179</c:v>
                </c:pt>
                <c:pt idx="9">
                  <c:v>46.012739344338343</c:v>
                </c:pt>
                <c:pt idx="10">
                  <c:v>42.914344354753744</c:v>
                </c:pt>
                <c:pt idx="11">
                  <c:v>42.980820627799567</c:v>
                </c:pt>
                <c:pt idx="12">
                  <c:v>46.225696801141119</c:v>
                </c:pt>
                <c:pt idx="13">
                  <c:v>48.038386341439455</c:v>
                </c:pt>
                <c:pt idx="14">
                  <c:v>49.950399539630496</c:v>
                </c:pt>
                <c:pt idx="15">
                  <c:v>51.727743713682116</c:v>
                </c:pt>
                <c:pt idx="16">
                  <c:v>53.443946502891961</c:v>
                </c:pt>
                <c:pt idx="17">
                  <c:v>55.12931917358344</c:v>
                </c:pt>
                <c:pt idx="18" formatCode="General">
                  <c:v>56.789747454292105</c:v>
                </c:pt>
                <c:pt idx="19" formatCode="General">
                  <c:v>58.43393572698205</c:v>
                </c:pt>
                <c:pt idx="20" formatCode="General">
                  <c:v>60.083369411281161</c:v>
                </c:pt>
                <c:pt idx="21" formatCode="General">
                  <c:v>61.71203219395457</c:v>
                </c:pt>
                <c:pt idx="22" formatCode="General">
                  <c:v>63.324132017230461</c:v>
                </c:pt>
                <c:pt idx="23" formatCode="General">
                  <c:v>64.929616846333687</c:v>
                </c:pt>
                <c:pt idx="24" formatCode="General">
                  <c:v>66.506506610174142</c:v>
                </c:pt>
                <c:pt idx="25" formatCode="General">
                  <c:v>67.99366612550142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D50A-4241-BDC7-CAD877B6E564}"/>
            </c:ext>
          </c:extLst>
        </c:ser>
        <c:ser>
          <c:idx val="8"/>
          <c:order val="8"/>
          <c:tx>
            <c:strRef>
              <c:f>'Qual F1'!$L$14</c:f>
              <c:strCache>
                <c:ptCount val="1"/>
                <c:pt idx="0">
                  <c:v>RQF8 Doctorate</c:v>
                </c:pt>
              </c:strCache>
            </c:strRef>
          </c:tx>
          <c:spPr>
            <a:solidFill>
              <a:schemeClr val="bg1">
                <a:lumMod val="95000"/>
              </a:schemeClr>
            </a:solidFill>
            <a:ln>
              <a:solidFill>
                <a:sysClr val="windowText" lastClr="000000"/>
              </a:solidFill>
            </a:ln>
          </c:spPr>
          <c:cat>
            <c:numRef>
              <c:f>'Qual F1'!$M$4:$AL$4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'Qual F1'!$M$14:$AL$14</c:f>
              <c:numCache>
                <c:formatCode>#,##0</c:formatCode>
                <c:ptCount val="26"/>
                <c:pt idx="0">
                  <c:v>4.3102977345020461</c:v>
                </c:pt>
                <c:pt idx="1">
                  <c:v>3.8999010801120071</c:v>
                </c:pt>
                <c:pt idx="2">
                  <c:v>3.6090659830931195</c:v>
                </c:pt>
                <c:pt idx="3">
                  <c:v>4.5521704630195821</c:v>
                </c:pt>
                <c:pt idx="4">
                  <c:v>4.5209499710764032</c:v>
                </c:pt>
                <c:pt idx="5">
                  <c:v>5.0370719976379803</c:v>
                </c:pt>
                <c:pt idx="6">
                  <c:v>5.1492752926893814</c:v>
                </c:pt>
                <c:pt idx="7">
                  <c:v>5.0666586401648113</c:v>
                </c:pt>
                <c:pt idx="8">
                  <c:v>5.5353016450627708</c:v>
                </c:pt>
                <c:pt idx="9">
                  <c:v>6.5846760964963407</c:v>
                </c:pt>
                <c:pt idx="10">
                  <c:v>6.2511851360305242</c:v>
                </c:pt>
                <c:pt idx="11">
                  <c:v>6.4432494087223615</c:v>
                </c:pt>
                <c:pt idx="12">
                  <c:v>6.7842135015342757</c:v>
                </c:pt>
                <c:pt idx="13">
                  <c:v>7.041362708110908</c:v>
                </c:pt>
                <c:pt idx="14">
                  <c:v>7.3094235865381174</c:v>
                </c:pt>
                <c:pt idx="15">
                  <c:v>7.5571721095660678</c:v>
                </c:pt>
                <c:pt idx="16">
                  <c:v>7.7952714138455015</c:v>
                </c:pt>
                <c:pt idx="17">
                  <c:v>8.025876279803219</c:v>
                </c:pt>
                <c:pt idx="18" formatCode="General">
                  <c:v>8.2613822800354431</c:v>
                </c:pt>
                <c:pt idx="19" formatCode="General">
                  <c:v>8.492343791056717</c:v>
                </c:pt>
                <c:pt idx="20" formatCode="General">
                  <c:v>8.723841299618222</c:v>
                </c:pt>
                <c:pt idx="21" formatCode="General">
                  <c:v>8.9504790353462731</c:v>
                </c:pt>
                <c:pt idx="22" formatCode="General">
                  <c:v>9.1740723362989129</c:v>
                </c:pt>
                <c:pt idx="23" formatCode="General">
                  <c:v>9.3936321637156421</c:v>
                </c:pt>
                <c:pt idx="24" formatCode="General">
                  <c:v>9.612012658618589</c:v>
                </c:pt>
                <c:pt idx="25" formatCode="General">
                  <c:v>9.8180059904802608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D50A-4241-BDC7-CAD877B6E56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13684752"/>
        <c:axId val="313685144"/>
      </c:areaChart>
      <c:catAx>
        <c:axId val="313684752"/>
        <c:scaling>
          <c:orientation val="minMax"/>
        </c:scaling>
        <c:delete val="0"/>
        <c:axPos val="b"/>
        <c:numFmt formatCode="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-540000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13685144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313685144"/>
        <c:scaling>
          <c:orientation val="minMax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title>
          <c:tx>
            <c:rich>
              <a:bodyPr rot="0" vert="horz"/>
              <a:lstStyle/>
              <a:p>
                <a:pPr algn="ctr">
                  <a:defRPr sz="11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GB"/>
                  <a:t>thousands</a:t>
                </a:r>
              </a:p>
            </c:rich>
          </c:tx>
          <c:layout>
            <c:manualLayout>
              <c:xMode val="edge"/>
              <c:yMode val="edge"/>
              <c:x val="6.3451776649747034E-3"/>
              <c:y val="9.0791295283235568E-3"/>
            </c:manualLayout>
          </c:layout>
          <c:overlay val="0"/>
          <c:spPr>
            <a:noFill/>
            <a:ln w="25400">
              <a:noFill/>
            </a:ln>
          </c:spPr>
        </c:title>
        <c:numFmt formatCode="#,##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975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13684752"/>
        <c:crosses val="autoZero"/>
        <c:crossBetween val="midCat"/>
      </c:valAx>
      <c:spPr>
        <a:noFill/>
        <a:ln w="12700">
          <a:solidFill>
            <a:srgbClr val="808080"/>
          </a:solidFill>
          <a:prstDash val="solid"/>
        </a:ln>
      </c:spPr>
    </c:plotArea>
    <c:legend>
      <c:legendPos val="b"/>
      <c:layout>
        <c:manualLayout>
          <c:xMode val="edge"/>
          <c:yMode val="edge"/>
          <c:x val="0.10611294197620134"/>
          <c:y val="0.91619015180354346"/>
          <c:w val="0.87603013652070461"/>
          <c:h val="7.7834011206614442E-2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825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legend>
    <c:plotVisOnly val="1"/>
    <c:dispBlanksAs val="zero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9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000000000001465" r="0.75000000000001465" t="1" header="0.5" footer="0.5"/>
    <c:pageSetup paperSize="9" orientation="landscape"/>
  </c:printSettings>
</c:chartSpace>
</file>

<file path=xl/charts/chart3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8.375634517767408E-2"/>
          <c:y val="5.3177758665893755E-2"/>
          <c:w val="0.8857868020304569"/>
          <c:h val="0.7763068929360929"/>
        </c:manualLayout>
      </c:layout>
      <c:areaChart>
        <c:grouping val="percentStacked"/>
        <c:varyColors val="0"/>
        <c:ser>
          <c:idx val="1"/>
          <c:order val="0"/>
          <c:tx>
            <c:strRef>
              <c:f>'Qual F1'!$L$6</c:f>
              <c:strCache>
                <c:ptCount val="1"/>
                <c:pt idx="0">
                  <c:v>No Qualification</c:v>
                </c:pt>
              </c:strCache>
            </c:strRef>
          </c:tx>
          <c:spPr>
            <a:solidFill>
              <a:schemeClr val="tx1"/>
            </a:solidFill>
            <a:ln w="12700">
              <a:solidFill>
                <a:srgbClr val="000000"/>
              </a:solidFill>
              <a:prstDash val="solid"/>
            </a:ln>
          </c:spPr>
          <c:cat>
            <c:numRef>
              <c:f>'Qual F1'!$M$4:$AL$4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'Qual F1'!$M$6:$AL$6</c:f>
              <c:numCache>
                <c:formatCode>#,##0</c:formatCode>
                <c:ptCount val="26"/>
                <c:pt idx="0">
                  <c:v>38.080169948442702</c:v>
                </c:pt>
                <c:pt idx="1">
                  <c:v>35.091493351851099</c:v>
                </c:pt>
                <c:pt idx="2">
                  <c:v>31.560069816777904</c:v>
                </c:pt>
                <c:pt idx="3">
                  <c:v>29.543683885094559</c:v>
                </c:pt>
                <c:pt idx="4">
                  <c:v>28.797861842345551</c:v>
                </c:pt>
                <c:pt idx="5">
                  <c:v>25.388490945313837</c:v>
                </c:pt>
                <c:pt idx="6">
                  <c:v>24.78544772996732</c:v>
                </c:pt>
                <c:pt idx="7">
                  <c:v>25.875864851297028</c:v>
                </c:pt>
                <c:pt idx="8">
                  <c:v>27.318616432515853</c:v>
                </c:pt>
                <c:pt idx="9">
                  <c:v>23.281522322168922</c:v>
                </c:pt>
                <c:pt idx="10">
                  <c:v>19.625003721124724</c:v>
                </c:pt>
                <c:pt idx="11">
                  <c:v>26.333851813552702</c:v>
                </c:pt>
                <c:pt idx="12">
                  <c:v>20.949185435666276</c:v>
                </c:pt>
                <c:pt idx="13">
                  <c:v>19.983742105954601</c:v>
                </c:pt>
                <c:pt idx="14">
                  <c:v>19.04805259378972</c:v>
                </c:pt>
                <c:pt idx="15">
                  <c:v>18.470671246100558</c:v>
                </c:pt>
                <c:pt idx="16">
                  <c:v>17.963759925135136</c:v>
                </c:pt>
                <c:pt idx="17">
                  <c:v>17.42034474436398</c:v>
                </c:pt>
                <c:pt idx="18">
                  <c:v>16.882444997956693</c:v>
                </c:pt>
                <c:pt idx="19">
                  <c:v>16.331969687672128</c:v>
                </c:pt>
                <c:pt idx="20">
                  <c:v>15.767568460719941</c:v>
                </c:pt>
                <c:pt idx="21">
                  <c:v>15.166864150833316</c:v>
                </c:pt>
                <c:pt idx="22">
                  <c:v>14.542760328756996</c:v>
                </c:pt>
                <c:pt idx="23">
                  <c:v>13.897707289875326</c:v>
                </c:pt>
                <c:pt idx="24">
                  <c:v>13.276097401103224</c:v>
                </c:pt>
                <c:pt idx="25">
                  <c:v>13.283437900320125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9D8E-4884-8657-BD0E95BA20A8}"/>
            </c:ext>
          </c:extLst>
        </c:ser>
        <c:ser>
          <c:idx val="2"/>
          <c:order val="1"/>
          <c:tx>
            <c:strRef>
              <c:f>'Qual F1'!$L$7</c:f>
              <c:strCache>
                <c:ptCount val="1"/>
                <c:pt idx="0">
                  <c:v>RQF1 GCSE(below grade C) &amp; equivalent</c:v>
                </c:pt>
              </c:strCache>
            </c:strRef>
          </c:tx>
          <c:spPr>
            <a:solidFill>
              <a:schemeClr val="tx1">
                <a:lumMod val="85000"/>
                <a:lumOff val="15000"/>
              </a:schemeClr>
            </a:solidFill>
            <a:ln w="12700">
              <a:solidFill>
                <a:srgbClr val="000000"/>
              </a:solidFill>
              <a:prstDash val="solid"/>
            </a:ln>
          </c:spPr>
          <c:cat>
            <c:numRef>
              <c:f>'Qual F1'!$M$4:$AL$4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'Qual F1'!$M$7:$AL$7</c:f>
              <c:numCache>
                <c:formatCode>#,##0</c:formatCode>
                <c:ptCount val="26"/>
                <c:pt idx="0">
                  <c:v>84.418930622790384</c:v>
                </c:pt>
                <c:pt idx="1">
                  <c:v>85.803185207252213</c:v>
                </c:pt>
                <c:pt idx="2">
                  <c:v>88.939559858584587</c:v>
                </c:pt>
                <c:pt idx="3">
                  <c:v>75.813718363768913</c:v>
                </c:pt>
                <c:pt idx="4">
                  <c:v>79.870448363292496</c:v>
                </c:pt>
                <c:pt idx="5">
                  <c:v>83.748351231101708</c:v>
                </c:pt>
                <c:pt idx="6">
                  <c:v>77.184680200461614</c:v>
                </c:pt>
                <c:pt idx="7">
                  <c:v>83.117873133377145</c:v>
                </c:pt>
                <c:pt idx="8">
                  <c:v>80.628618469257191</c:v>
                </c:pt>
                <c:pt idx="9">
                  <c:v>70.637405708751928</c:v>
                </c:pt>
                <c:pt idx="10">
                  <c:v>70.337314116798368</c:v>
                </c:pt>
                <c:pt idx="11">
                  <c:v>72.241482787441726</c:v>
                </c:pt>
                <c:pt idx="12">
                  <c:v>67.826277916927822</c:v>
                </c:pt>
                <c:pt idx="13">
                  <c:v>65.873146226295688</c:v>
                </c:pt>
                <c:pt idx="14">
                  <c:v>64.018070508998946</c:v>
                </c:pt>
                <c:pt idx="15">
                  <c:v>61.974619444358716</c:v>
                </c:pt>
                <c:pt idx="16">
                  <c:v>59.862324639169906</c:v>
                </c:pt>
                <c:pt idx="17">
                  <c:v>57.653409097184344</c:v>
                </c:pt>
                <c:pt idx="18">
                  <c:v>55.414599610599382</c:v>
                </c:pt>
                <c:pt idx="19">
                  <c:v>53.143569401791332</c:v>
                </c:pt>
                <c:pt idx="20">
                  <c:v>50.851371333890455</c:v>
                </c:pt>
                <c:pt idx="21">
                  <c:v>48.525678161549614</c:v>
                </c:pt>
                <c:pt idx="22">
                  <c:v>46.165790877522269</c:v>
                </c:pt>
                <c:pt idx="23">
                  <c:v>43.781387219043822</c:v>
                </c:pt>
                <c:pt idx="24">
                  <c:v>41.36076179199015</c:v>
                </c:pt>
                <c:pt idx="25">
                  <c:v>38.84779721740761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9D8E-4884-8657-BD0E95BA20A8}"/>
            </c:ext>
          </c:extLst>
        </c:ser>
        <c:ser>
          <c:idx val="3"/>
          <c:order val="2"/>
          <c:tx>
            <c:strRef>
              <c:f>'Qual F1'!$L$8</c:f>
              <c:strCache>
                <c:ptCount val="1"/>
                <c:pt idx="0">
                  <c:v>RQF2 GCSE(A-C) &amp; equivalent</c:v>
                </c:pt>
              </c:strCache>
            </c:strRef>
          </c:tx>
          <c:spPr>
            <a:solidFill>
              <a:schemeClr val="tx1">
                <a:lumMod val="75000"/>
                <a:lumOff val="25000"/>
              </a:schemeClr>
            </a:solidFill>
            <a:ln w="12700">
              <a:solidFill>
                <a:srgbClr val="000000"/>
              </a:solidFill>
              <a:prstDash val="solid"/>
            </a:ln>
          </c:spPr>
          <c:cat>
            <c:numRef>
              <c:f>'Qual F1'!$M$4:$AL$4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'Qual F1'!$M$8:$AL$8</c:f>
              <c:numCache>
                <c:formatCode>#,##0</c:formatCode>
                <c:ptCount val="26"/>
                <c:pt idx="0">
                  <c:v>110.32223788832535</c:v>
                </c:pt>
                <c:pt idx="1">
                  <c:v>111.60538428014158</c:v>
                </c:pt>
                <c:pt idx="2">
                  <c:v>111.77404831446324</c:v>
                </c:pt>
                <c:pt idx="3">
                  <c:v>111.46887281488658</c:v>
                </c:pt>
                <c:pt idx="4">
                  <c:v>117.01170612981939</c:v>
                </c:pt>
                <c:pt idx="5">
                  <c:v>112.7002804319275</c:v>
                </c:pt>
                <c:pt idx="6">
                  <c:v>121.01443843747217</c:v>
                </c:pt>
                <c:pt idx="7">
                  <c:v>113.86558129166085</c:v>
                </c:pt>
                <c:pt idx="8">
                  <c:v>108.67038910833055</c:v>
                </c:pt>
                <c:pt idx="9">
                  <c:v>113.37189947872221</c:v>
                </c:pt>
                <c:pt idx="10">
                  <c:v>108.75074157184629</c:v>
                </c:pt>
                <c:pt idx="11">
                  <c:v>104.60218034383409</c:v>
                </c:pt>
                <c:pt idx="12">
                  <c:v>104.94674787725553</c:v>
                </c:pt>
                <c:pt idx="13">
                  <c:v>103.5401205337171</c:v>
                </c:pt>
                <c:pt idx="14">
                  <c:v>102.31416757266798</c:v>
                </c:pt>
                <c:pt idx="15">
                  <c:v>100.82718434429103</c:v>
                </c:pt>
                <c:pt idx="16">
                  <c:v>99.248439846725176</c:v>
                </c:pt>
                <c:pt idx="17">
                  <c:v>97.641855875741797</c:v>
                </c:pt>
                <c:pt idx="18">
                  <c:v>96.001377936628302</c:v>
                </c:pt>
                <c:pt idx="19">
                  <c:v>94.353251952035748</c:v>
                </c:pt>
                <c:pt idx="20">
                  <c:v>92.734132786502627</c:v>
                </c:pt>
                <c:pt idx="21">
                  <c:v>91.102144789863104</c:v>
                </c:pt>
                <c:pt idx="22">
                  <c:v>89.456957236487213</c:v>
                </c:pt>
                <c:pt idx="23">
                  <c:v>87.809695823125978</c:v>
                </c:pt>
                <c:pt idx="24">
                  <c:v>86.134221291014768</c:v>
                </c:pt>
                <c:pt idx="25">
                  <c:v>84.329481581221955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9D8E-4884-8657-BD0E95BA20A8}"/>
            </c:ext>
          </c:extLst>
        </c:ser>
        <c:ser>
          <c:idx val="0"/>
          <c:order val="3"/>
          <c:tx>
            <c:strRef>
              <c:f>'Qual F1'!$L$9</c:f>
              <c:strCache>
                <c:ptCount val="1"/>
                <c:pt idx="0">
                  <c:v>RQF3 A level &amp; equivalent</c:v>
                </c:pt>
              </c:strCache>
            </c:strRef>
          </c:tx>
          <c:spPr>
            <a:solidFill>
              <a:schemeClr val="tx1">
                <a:lumMod val="65000"/>
                <a:lumOff val="35000"/>
              </a:schemeClr>
            </a:solidFill>
            <a:ln>
              <a:solidFill>
                <a:srgbClr val="000000"/>
              </a:solidFill>
            </a:ln>
          </c:spPr>
          <c:cat>
            <c:numRef>
              <c:f>'Qual F1'!$M$4:$AL$4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'Qual F1'!$M$9:$AL$9</c:f>
              <c:numCache>
                <c:formatCode>#,##0</c:formatCode>
                <c:ptCount val="26"/>
                <c:pt idx="0">
                  <c:v>103.38433294477741</c:v>
                </c:pt>
                <c:pt idx="1">
                  <c:v>108.06903027285914</c:v>
                </c:pt>
                <c:pt idx="2">
                  <c:v>109.88427576637754</c:v>
                </c:pt>
                <c:pt idx="3">
                  <c:v>98.576079881303883</c:v>
                </c:pt>
                <c:pt idx="4">
                  <c:v>107.17158431358375</c:v>
                </c:pt>
                <c:pt idx="5">
                  <c:v>107.78051384441879</c:v>
                </c:pt>
                <c:pt idx="6">
                  <c:v>112.93392343034898</c:v>
                </c:pt>
                <c:pt idx="7">
                  <c:v>117.43167292909591</c:v>
                </c:pt>
                <c:pt idx="8">
                  <c:v>110.61572767581148</c:v>
                </c:pt>
                <c:pt idx="9">
                  <c:v>117.47424709820056</c:v>
                </c:pt>
                <c:pt idx="10">
                  <c:v>116.13706559485935</c:v>
                </c:pt>
                <c:pt idx="11">
                  <c:v>113.71196979280766</c:v>
                </c:pt>
                <c:pt idx="12">
                  <c:v>115.58025404468917</c:v>
                </c:pt>
                <c:pt idx="13">
                  <c:v>116.3021354049702</c:v>
                </c:pt>
                <c:pt idx="14">
                  <c:v>117.2603341057012</c:v>
                </c:pt>
                <c:pt idx="15">
                  <c:v>117.96109253537774</c:v>
                </c:pt>
                <c:pt idx="16">
                  <c:v>118.57065775075546</c:v>
                </c:pt>
                <c:pt idx="17">
                  <c:v>119.12414746398883</c:v>
                </c:pt>
                <c:pt idx="18">
                  <c:v>119.67853728224432</c:v>
                </c:pt>
                <c:pt idx="19">
                  <c:v>120.23673357525537</c:v>
                </c:pt>
                <c:pt idx="20">
                  <c:v>120.84500787772888</c:v>
                </c:pt>
                <c:pt idx="21">
                  <c:v>121.45351453848527</c:v>
                </c:pt>
                <c:pt idx="22">
                  <c:v>122.07188571541252</c:v>
                </c:pt>
                <c:pt idx="23">
                  <c:v>122.7059876352437</c:v>
                </c:pt>
                <c:pt idx="24">
                  <c:v>123.32627004327072</c:v>
                </c:pt>
                <c:pt idx="25">
                  <c:v>123.77739001921469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0F13-4AC5-AC3B-DF816665A51E}"/>
            </c:ext>
          </c:extLst>
        </c:ser>
        <c:ser>
          <c:idx val="4"/>
          <c:order val="4"/>
          <c:tx>
            <c:strRef>
              <c:f>'Qual F1'!$L$10</c:f>
              <c:strCache>
                <c:ptCount val="1"/>
                <c:pt idx="0">
                  <c:v>RQF4 HE below degree level</c:v>
                </c:pt>
              </c:strCache>
            </c:strRef>
          </c:tx>
          <c:spPr>
            <a:solidFill>
              <a:schemeClr val="tx1">
                <a:lumMod val="50000"/>
                <a:lumOff val="50000"/>
              </a:schemeClr>
            </a:solidFill>
            <a:ln>
              <a:solidFill>
                <a:srgbClr val="000000"/>
              </a:solidFill>
            </a:ln>
          </c:spPr>
          <c:cat>
            <c:numRef>
              <c:f>'Qual F1'!$M$4:$AL$4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'Qual F1'!$M$10:$AL$10</c:f>
              <c:numCache>
                <c:formatCode>#,##0</c:formatCode>
                <c:ptCount val="26"/>
                <c:pt idx="0">
                  <c:v>22.661008464021563</c:v>
                </c:pt>
                <c:pt idx="1">
                  <c:v>24.387285814586217</c:v>
                </c:pt>
                <c:pt idx="2">
                  <c:v>21.819812426809058</c:v>
                </c:pt>
                <c:pt idx="3">
                  <c:v>24.389429324489498</c:v>
                </c:pt>
                <c:pt idx="4">
                  <c:v>24.75950352447515</c:v>
                </c:pt>
                <c:pt idx="5">
                  <c:v>25.568285657845244</c:v>
                </c:pt>
                <c:pt idx="6">
                  <c:v>25.841468723329413</c:v>
                </c:pt>
                <c:pt idx="7">
                  <c:v>28.369070533945123</c:v>
                </c:pt>
                <c:pt idx="8">
                  <c:v>27.896051117911167</c:v>
                </c:pt>
                <c:pt idx="9">
                  <c:v>25.362227941740873</c:v>
                </c:pt>
                <c:pt idx="10">
                  <c:v>28.7766719269659</c:v>
                </c:pt>
                <c:pt idx="11">
                  <c:v>27.798835369239015</c:v>
                </c:pt>
                <c:pt idx="12">
                  <c:v>28.702377438401623</c:v>
                </c:pt>
                <c:pt idx="13">
                  <c:v>29.208997147489875</c:v>
                </c:pt>
                <c:pt idx="14">
                  <c:v>29.786934955206657</c:v>
                </c:pt>
                <c:pt idx="15">
                  <c:v>30.311458320598025</c:v>
                </c:pt>
                <c:pt idx="16">
                  <c:v>30.841285438785363</c:v>
                </c:pt>
                <c:pt idx="17">
                  <c:v>31.384766947824339</c:v>
                </c:pt>
                <c:pt idx="18" formatCode="General">
                  <c:v>31.924364187342043</c:v>
                </c:pt>
                <c:pt idx="19" formatCode="General">
                  <c:v>32.478801609203003</c:v>
                </c:pt>
                <c:pt idx="20" formatCode="General">
                  <c:v>33.065083304548338</c:v>
                </c:pt>
                <c:pt idx="21" formatCode="General">
                  <c:v>33.665790159979892</c:v>
                </c:pt>
                <c:pt idx="22">
                  <c:v>34.28699867664033</c:v>
                </c:pt>
                <c:pt idx="23">
                  <c:v>34.927859770498131</c:v>
                </c:pt>
                <c:pt idx="24">
                  <c:v>35.594425098616441</c:v>
                </c:pt>
                <c:pt idx="25">
                  <c:v>36.225630706947001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0F13-4AC5-AC3B-DF816665A51E}"/>
            </c:ext>
          </c:extLst>
        </c:ser>
        <c:ser>
          <c:idx val="5"/>
          <c:order val="5"/>
          <c:tx>
            <c:strRef>
              <c:f>'Qual F1'!$L$11</c:f>
              <c:strCache>
                <c:ptCount val="1"/>
                <c:pt idx="0">
                  <c:v>RQF5 Foundation degree;Nursing;Teaching</c:v>
                </c:pt>
              </c:strCache>
            </c:strRef>
          </c:tx>
          <c:spPr>
            <a:solidFill>
              <a:schemeClr val="bg1">
                <a:lumMod val="65000"/>
              </a:schemeClr>
            </a:solidFill>
            <a:ln>
              <a:solidFill>
                <a:srgbClr val="000000"/>
              </a:solidFill>
            </a:ln>
          </c:spPr>
          <c:cat>
            <c:numRef>
              <c:f>'Qual F1'!$M$4:$AL$4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'Qual F1'!$M$11:$AL$11</c:f>
              <c:numCache>
                <c:formatCode>#,##0</c:formatCode>
                <c:ptCount val="26"/>
                <c:pt idx="0">
                  <c:v>27.364761887902166</c:v>
                </c:pt>
                <c:pt idx="1">
                  <c:v>28.761839250388409</c:v>
                </c:pt>
                <c:pt idx="2">
                  <c:v>25.329757202107846</c:v>
                </c:pt>
                <c:pt idx="3">
                  <c:v>27.358782305870289</c:v>
                </c:pt>
                <c:pt idx="4">
                  <c:v>26.609419185577064</c:v>
                </c:pt>
                <c:pt idx="5">
                  <c:v>27.348045135760522</c:v>
                </c:pt>
                <c:pt idx="6">
                  <c:v>27.603085826214336</c:v>
                </c:pt>
                <c:pt idx="7">
                  <c:v>28.934937370059558</c:v>
                </c:pt>
                <c:pt idx="8">
                  <c:v>28.200635845458031</c:v>
                </c:pt>
                <c:pt idx="9">
                  <c:v>26.596779011418935</c:v>
                </c:pt>
                <c:pt idx="10">
                  <c:v>28.149028553170805</c:v>
                </c:pt>
                <c:pt idx="11">
                  <c:v>27.021461049601363</c:v>
                </c:pt>
                <c:pt idx="12">
                  <c:v>27.725511471721855</c:v>
                </c:pt>
                <c:pt idx="13">
                  <c:v>28.025764864820601</c:v>
                </c:pt>
                <c:pt idx="14">
                  <c:v>28.40229272751607</c:v>
                </c:pt>
                <c:pt idx="15">
                  <c:v>28.714998300947027</c:v>
                </c:pt>
                <c:pt idx="16">
                  <c:v>29.020991520769307</c:v>
                </c:pt>
                <c:pt idx="17">
                  <c:v>29.379195562082675</c:v>
                </c:pt>
                <c:pt idx="18" formatCode="General">
                  <c:v>29.762403117546089</c:v>
                </c:pt>
                <c:pt idx="19" formatCode="General">
                  <c:v>30.157741719296318</c:v>
                </c:pt>
                <c:pt idx="20" formatCode="General">
                  <c:v>30.591206510170363</c:v>
                </c:pt>
                <c:pt idx="21" formatCode="General">
                  <c:v>31.056334571270238</c:v>
                </c:pt>
                <c:pt idx="22">
                  <c:v>31.534799849228012</c:v>
                </c:pt>
                <c:pt idx="23">
                  <c:v>32.034482927746176</c:v>
                </c:pt>
                <c:pt idx="24">
                  <c:v>32.541733249741242</c:v>
                </c:pt>
                <c:pt idx="25">
                  <c:v>33.086905154250509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0F13-4AC5-AC3B-DF816665A51E}"/>
            </c:ext>
          </c:extLst>
        </c:ser>
        <c:ser>
          <c:idx val="6"/>
          <c:order val="6"/>
          <c:tx>
            <c:strRef>
              <c:f>'Qual F1'!$L$12</c:f>
              <c:strCache>
                <c:ptCount val="1"/>
                <c:pt idx="0">
                  <c:v>RQF6 First degree</c:v>
                </c:pt>
              </c:strCache>
            </c:strRef>
          </c:tx>
          <c:spPr>
            <a:solidFill>
              <a:schemeClr val="bg1">
                <a:lumMod val="75000"/>
              </a:schemeClr>
            </a:solidFill>
            <a:ln>
              <a:solidFill>
                <a:srgbClr val="000000"/>
              </a:solidFill>
            </a:ln>
          </c:spPr>
          <c:cat>
            <c:numRef>
              <c:f>'Qual F1'!$M$4:$AL$4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'Qual F1'!$M$12:$AL$12</c:f>
              <c:numCache>
                <c:formatCode>#,##0</c:formatCode>
                <c:ptCount val="26"/>
                <c:pt idx="0">
                  <c:v>65.62872960391438</c:v>
                </c:pt>
                <c:pt idx="1">
                  <c:v>72.078045791960122</c:v>
                </c:pt>
                <c:pt idx="2">
                  <c:v>67.016730096045819</c:v>
                </c:pt>
                <c:pt idx="3">
                  <c:v>73.812734654618581</c:v>
                </c:pt>
                <c:pt idx="4">
                  <c:v>77.100073668557854</c:v>
                </c:pt>
                <c:pt idx="5">
                  <c:v>80.288099078753362</c:v>
                </c:pt>
                <c:pt idx="6">
                  <c:v>82.016479267192537</c:v>
                </c:pt>
                <c:pt idx="7">
                  <c:v>90.041095715166648</c:v>
                </c:pt>
                <c:pt idx="8">
                  <c:v>88.739854906679696</c:v>
                </c:pt>
                <c:pt idx="9">
                  <c:v>84.444502998161283</c:v>
                </c:pt>
                <c:pt idx="10">
                  <c:v>93.903645024450952</c:v>
                </c:pt>
                <c:pt idx="11">
                  <c:v>92.81414880700143</c:v>
                </c:pt>
                <c:pt idx="12">
                  <c:v>95.914735512662247</c:v>
                </c:pt>
                <c:pt idx="13">
                  <c:v>98.131344667201944</c:v>
                </c:pt>
                <c:pt idx="14">
                  <c:v>100.58532440995045</c:v>
                </c:pt>
                <c:pt idx="15">
                  <c:v>102.82505998507928</c:v>
                </c:pt>
                <c:pt idx="16">
                  <c:v>104.99332296192161</c:v>
                </c:pt>
                <c:pt idx="17">
                  <c:v>107.12208485542762</c:v>
                </c:pt>
                <c:pt idx="18" formatCode="General">
                  <c:v>109.31314313335561</c:v>
                </c:pt>
                <c:pt idx="19" formatCode="General">
                  <c:v>111.53465253670709</c:v>
                </c:pt>
                <c:pt idx="20" formatCode="General">
                  <c:v>113.82641901553995</c:v>
                </c:pt>
                <c:pt idx="21" formatCode="General">
                  <c:v>116.13416239871795</c:v>
                </c:pt>
                <c:pt idx="22" formatCode="General">
                  <c:v>118.48060296242318</c:v>
                </c:pt>
                <c:pt idx="23" formatCode="General">
                  <c:v>120.87063032441752</c:v>
                </c:pt>
                <c:pt idx="24" formatCode="General">
                  <c:v>123.28197185547066</c:v>
                </c:pt>
                <c:pt idx="25" formatCode="General">
                  <c:v>125.54968530465672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0F13-4AC5-AC3B-DF816665A51E}"/>
            </c:ext>
          </c:extLst>
        </c:ser>
        <c:ser>
          <c:idx val="7"/>
          <c:order val="7"/>
          <c:tx>
            <c:strRef>
              <c:f>'Qual F1'!$L$13</c:f>
              <c:strCache>
                <c:ptCount val="1"/>
                <c:pt idx="0">
                  <c:v>RQF7 Other higher degree</c:v>
                </c:pt>
              </c:strCache>
            </c:strRef>
          </c:tx>
          <c:spPr>
            <a:solidFill>
              <a:schemeClr val="bg1">
                <a:lumMod val="85000"/>
              </a:schemeClr>
            </a:solidFill>
            <a:ln>
              <a:solidFill>
                <a:srgbClr val="000000"/>
              </a:solidFill>
            </a:ln>
          </c:spPr>
          <c:cat>
            <c:numRef>
              <c:f>'Qual F1'!$M$4:$AL$4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'Qual F1'!$M$13:$AL$13</c:f>
              <c:numCache>
                <c:formatCode>#,##0</c:formatCode>
                <c:ptCount val="26"/>
                <c:pt idx="0">
                  <c:v>30.028530905324097</c:v>
                </c:pt>
                <c:pt idx="1">
                  <c:v>25.743834950848708</c:v>
                </c:pt>
                <c:pt idx="2">
                  <c:v>24.327680535740541</c:v>
                </c:pt>
                <c:pt idx="3">
                  <c:v>30.670528306948</c:v>
                </c:pt>
                <c:pt idx="4">
                  <c:v>31.450453001272454</c:v>
                </c:pt>
                <c:pt idx="5">
                  <c:v>33.745861677240953</c:v>
                </c:pt>
                <c:pt idx="6">
                  <c:v>34.306201092324152</c:v>
                </c:pt>
                <c:pt idx="7">
                  <c:v>34.617245535232826</c:v>
                </c:pt>
                <c:pt idx="8">
                  <c:v>39.299804798974179</c:v>
                </c:pt>
                <c:pt idx="9">
                  <c:v>46.012739344338343</c:v>
                </c:pt>
                <c:pt idx="10">
                  <c:v>42.914344354753744</c:v>
                </c:pt>
                <c:pt idx="11">
                  <c:v>42.980820627799567</c:v>
                </c:pt>
                <c:pt idx="12">
                  <c:v>46.225696801141119</c:v>
                </c:pt>
                <c:pt idx="13">
                  <c:v>48.038386341439455</c:v>
                </c:pt>
                <c:pt idx="14">
                  <c:v>49.950399539630496</c:v>
                </c:pt>
                <c:pt idx="15">
                  <c:v>51.727743713682116</c:v>
                </c:pt>
                <c:pt idx="16">
                  <c:v>53.443946502891961</c:v>
                </c:pt>
                <c:pt idx="17">
                  <c:v>55.12931917358344</c:v>
                </c:pt>
                <c:pt idx="18" formatCode="General">
                  <c:v>56.789747454292105</c:v>
                </c:pt>
                <c:pt idx="19" formatCode="General">
                  <c:v>58.43393572698205</c:v>
                </c:pt>
                <c:pt idx="20" formatCode="General">
                  <c:v>60.083369411281161</c:v>
                </c:pt>
                <c:pt idx="21" formatCode="General">
                  <c:v>61.71203219395457</c:v>
                </c:pt>
                <c:pt idx="22" formatCode="General">
                  <c:v>63.324132017230461</c:v>
                </c:pt>
                <c:pt idx="23" formatCode="General">
                  <c:v>64.929616846333687</c:v>
                </c:pt>
                <c:pt idx="24" formatCode="General">
                  <c:v>66.506506610174142</c:v>
                </c:pt>
                <c:pt idx="25" formatCode="General">
                  <c:v>67.99366612550142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0F13-4AC5-AC3B-DF816665A51E}"/>
            </c:ext>
          </c:extLst>
        </c:ser>
        <c:ser>
          <c:idx val="8"/>
          <c:order val="8"/>
          <c:tx>
            <c:strRef>
              <c:f>'Qual F1'!$L$14</c:f>
              <c:strCache>
                <c:ptCount val="1"/>
                <c:pt idx="0">
                  <c:v>RQF8 Doctorate</c:v>
                </c:pt>
              </c:strCache>
            </c:strRef>
          </c:tx>
          <c:spPr>
            <a:solidFill>
              <a:schemeClr val="bg1">
                <a:lumMod val="95000"/>
              </a:schemeClr>
            </a:solidFill>
            <a:ln>
              <a:solidFill>
                <a:srgbClr val="000000"/>
              </a:solidFill>
            </a:ln>
          </c:spPr>
          <c:cat>
            <c:numRef>
              <c:f>'Qual F1'!$M$4:$AL$4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'Qual F1'!$M$14:$AL$14</c:f>
              <c:numCache>
                <c:formatCode>#,##0</c:formatCode>
                <c:ptCount val="26"/>
                <c:pt idx="0">
                  <c:v>4.3102977345020461</c:v>
                </c:pt>
                <c:pt idx="1">
                  <c:v>3.8999010801120071</c:v>
                </c:pt>
                <c:pt idx="2">
                  <c:v>3.6090659830931195</c:v>
                </c:pt>
                <c:pt idx="3">
                  <c:v>4.5521704630195821</c:v>
                </c:pt>
                <c:pt idx="4">
                  <c:v>4.5209499710764032</c:v>
                </c:pt>
                <c:pt idx="5">
                  <c:v>5.0370719976379803</c:v>
                </c:pt>
                <c:pt idx="6">
                  <c:v>5.1492752926893814</c:v>
                </c:pt>
                <c:pt idx="7">
                  <c:v>5.0666586401648113</c:v>
                </c:pt>
                <c:pt idx="8">
                  <c:v>5.5353016450627708</c:v>
                </c:pt>
                <c:pt idx="9">
                  <c:v>6.5846760964963407</c:v>
                </c:pt>
                <c:pt idx="10">
                  <c:v>6.2511851360305242</c:v>
                </c:pt>
                <c:pt idx="11">
                  <c:v>6.4432494087223615</c:v>
                </c:pt>
                <c:pt idx="12">
                  <c:v>6.7842135015342757</c:v>
                </c:pt>
                <c:pt idx="13">
                  <c:v>7.041362708110908</c:v>
                </c:pt>
                <c:pt idx="14">
                  <c:v>7.3094235865381174</c:v>
                </c:pt>
                <c:pt idx="15">
                  <c:v>7.5571721095660678</c:v>
                </c:pt>
                <c:pt idx="16">
                  <c:v>7.7952714138455015</c:v>
                </c:pt>
                <c:pt idx="17">
                  <c:v>8.025876279803219</c:v>
                </c:pt>
                <c:pt idx="18" formatCode="General">
                  <c:v>8.2613822800354431</c:v>
                </c:pt>
                <c:pt idx="19" formatCode="General">
                  <c:v>8.492343791056717</c:v>
                </c:pt>
                <c:pt idx="20" formatCode="General">
                  <c:v>8.723841299618222</c:v>
                </c:pt>
                <c:pt idx="21" formatCode="General">
                  <c:v>8.9504790353462731</c:v>
                </c:pt>
                <c:pt idx="22" formatCode="General">
                  <c:v>9.1740723362989129</c:v>
                </c:pt>
                <c:pt idx="23" formatCode="General">
                  <c:v>9.3936321637156421</c:v>
                </c:pt>
                <c:pt idx="24" formatCode="General">
                  <c:v>9.612012658618589</c:v>
                </c:pt>
                <c:pt idx="25" formatCode="General">
                  <c:v>9.8180059904802608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0F13-4AC5-AC3B-DF816665A51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13685928"/>
        <c:axId val="313686320"/>
      </c:areaChart>
      <c:catAx>
        <c:axId val="313685928"/>
        <c:scaling>
          <c:orientation val="minMax"/>
        </c:scaling>
        <c:delete val="0"/>
        <c:axPos val="b"/>
        <c:numFmt formatCode="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-540000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13686320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313686320"/>
        <c:scaling>
          <c:orientation val="minMax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0%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975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13685928"/>
        <c:crosses val="autoZero"/>
        <c:crossBetween val="midCat"/>
      </c:valAx>
      <c:spPr>
        <a:noFill/>
        <a:ln w="12700">
          <a:solidFill>
            <a:srgbClr val="808080"/>
          </a:solidFill>
          <a:prstDash val="solid"/>
        </a:ln>
      </c:spPr>
    </c:plotArea>
    <c:legend>
      <c:legendPos val="b"/>
      <c:layout>
        <c:manualLayout>
          <c:xMode val="edge"/>
          <c:yMode val="edge"/>
          <c:x val="5.194451201428852E-2"/>
          <c:y val="0.88735215349989649"/>
          <c:w val="0.85740973872129711"/>
          <c:h val="0.10010325045247206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825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legend>
    <c:plotVisOnly val="1"/>
    <c:dispBlanksAs val="zero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9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000000000001465" r="0.75000000000001465" t="1" header="0.5" footer="0.5"/>
    <c:pageSetup paperSize="9" orientation="landscape"/>
  </c:printSettings>
</c:chartSpace>
</file>

<file path=xl/charts/chart3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38787893154494418"/>
          <c:y val="4.3626565131883739E-2"/>
          <c:w val="0.58235719863626845"/>
          <c:h val="0.88058877054170548"/>
        </c:manualLayout>
      </c:layout>
      <c:barChart>
        <c:barDir val="bar"/>
        <c:grouping val="clustered"/>
        <c:varyColors val="0"/>
        <c:ser>
          <c:idx val="0"/>
          <c:order val="0"/>
          <c:tx>
            <c:strRef>
              <c:f>'ShiftShare T1'!$C$4</c:f>
              <c:strCache>
                <c:ptCount val="1"/>
                <c:pt idx="0">
                  <c:v>2015</c:v>
                </c:pt>
              </c:strCache>
            </c:strRef>
          </c:tx>
          <c:invertIfNegative val="0"/>
          <c:cat>
            <c:strRef>
              <c:f>'ShiftShare T1'!$A$8:$A$33</c:f>
              <c:strCache>
                <c:ptCount val="26"/>
                <c:pt idx="0">
                  <c:v>11 Corporate managers and directors</c:v>
                </c:pt>
                <c:pt idx="1">
                  <c:v>12 Other managers and proprietors</c:v>
                </c:pt>
                <c:pt idx="2">
                  <c:v>21 Science, research, engineering and technology professionals</c:v>
                </c:pt>
                <c:pt idx="3">
                  <c:v>22 Health professionals</c:v>
                </c:pt>
                <c:pt idx="4">
                  <c:v>23 Teaching and other educational professionals</c:v>
                </c:pt>
                <c:pt idx="5">
                  <c:v>24 Business, media and public service professionals</c:v>
                </c:pt>
                <c:pt idx="6">
                  <c:v>31 Science, engineering and technology associate professionals</c:v>
                </c:pt>
                <c:pt idx="7">
                  <c:v>32 Health and social care associate professionals</c:v>
                </c:pt>
                <c:pt idx="8">
                  <c:v>33 Protective service occupations</c:v>
                </c:pt>
                <c:pt idx="9">
                  <c:v>34 Culture, media and sports occupations</c:v>
                </c:pt>
                <c:pt idx="10">
                  <c:v>35 Business and public service associate professionals</c:v>
                </c:pt>
                <c:pt idx="11">
                  <c:v>41 Administrative occupations</c:v>
                </c:pt>
                <c:pt idx="12">
                  <c:v>42 Secretarial and related occupations</c:v>
                </c:pt>
                <c:pt idx="13">
                  <c:v>51 Skilled agricultural and related trades</c:v>
                </c:pt>
                <c:pt idx="14">
                  <c:v>52 Skilled metal, electrical and electronic trades</c:v>
                </c:pt>
                <c:pt idx="15">
                  <c:v>53 Skilled construction and building trades</c:v>
                </c:pt>
                <c:pt idx="16">
                  <c:v>54 Textiles, printing and other skilled trades</c:v>
                </c:pt>
                <c:pt idx="17">
                  <c:v>61 Caring personal service occupations</c:v>
                </c:pt>
                <c:pt idx="18">
                  <c:v>62 Leisure, travel and related personal service occupations</c:v>
                </c:pt>
                <c:pt idx="19">
                  <c:v>63 Community and civil enforcement occupations</c:v>
                </c:pt>
                <c:pt idx="20">
                  <c:v>71 Sales occupations</c:v>
                </c:pt>
                <c:pt idx="21">
                  <c:v>72 Customer service occupations</c:v>
                </c:pt>
                <c:pt idx="22">
                  <c:v>81 Process, plant and machine operatives</c:v>
                </c:pt>
                <c:pt idx="23">
                  <c:v>82 Transport and mobile machine drivers and operatives</c:v>
                </c:pt>
                <c:pt idx="24">
                  <c:v>91 Elementary trades and related occupations</c:v>
                </c:pt>
                <c:pt idx="25">
                  <c:v>92 Elementary administration and service occupations</c:v>
                </c:pt>
              </c:strCache>
            </c:strRef>
          </c:cat>
          <c:val>
            <c:numRef>
              <c:f>'ShiftShare T1'!$B$8:$B$33</c:f>
              <c:numCache>
                <c:formatCode>#,##0</c:formatCode>
                <c:ptCount val="26"/>
                <c:pt idx="0">
                  <c:v>30.247562792471243</c:v>
                </c:pt>
                <c:pt idx="1">
                  <c:v>15.483032384061453</c:v>
                </c:pt>
                <c:pt idx="2">
                  <c:v>23.25915527928213</c:v>
                </c:pt>
                <c:pt idx="3">
                  <c:v>19.148814719960843</c:v>
                </c:pt>
                <c:pt idx="4">
                  <c:v>18.259091469867247</c:v>
                </c:pt>
                <c:pt idx="5">
                  <c:v>23.48099893135856</c:v>
                </c:pt>
                <c:pt idx="6">
                  <c:v>7.8788112683670883</c:v>
                </c:pt>
                <c:pt idx="7">
                  <c:v>8.4794949970886488</c:v>
                </c:pt>
                <c:pt idx="8">
                  <c:v>5.4562316961422113</c:v>
                </c:pt>
                <c:pt idx="9">
                  <c:v>6.3591490193584974</c:v>
                </c:pt>
                <c:pt idx="10">
                  <c:v>25.75319846854515</c:v>
                </c:pt>
                <c:pt idx="11">
                  <c:v>41.363649282321632</c:v>
                </c:pt>
                <c:pt idx="12">
                  <c:v>10.002761162761342</c:v>
                </c:pt>
                <c:pt idx="13">
                  <c:v>8.9526980313788851</c:v>
                </c:pt>
                <c:pt idx="14">
                  <c:v>21.170991389265154</c:v>
                </c:pt>
                <c:pt idx="15">
                  <c:v>14.47344054106075</c:v>
                </c:pt>
                <c:pt idx="16">
                  <c:v>10.974938041399668</c:v>
                </c:pt>
                <c:pt idx="17">
                  <c:v>44.06827943212275</c:v>
                </c:pt>
                <c:pt idx="18">
                  <c:v>10.618128366267882</c:v>
                </c:pt>
                <c:pt idx="19">
                  <c:v>0.53476700853324488</c:v>
                </c:pt>
                <c:pt idx="20">
                  <c:v>38.973525313793111</c:v>
                </c:pt>
                <c:pt idx="21">
                  <c:v>7.394546856901548</c:v>
                </c:pt>
                <c:pt idx="22">
                  <c:v>23.617997881207206</c:v>
                </c:pt>
                <c:pt idx="23">
                  <c:v>21.10381423306055</c:v>
                </c:pt>
                <c:pt idx="24">
                  <c:v>13.037691425580578</c:v>
                </c:pt>
                <c:pt idx="25">
                  <c:v>51.512230007842916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F22E-4752-A244-893F04CFF91E}"/>
            </c:ext>
          </c:extLst>
        </c:ser>
        <c:ser>
          <c:idx val="1"/>
          <c:order val="1"/>
          <c:tx>
            <c:strRef>
              <c:f>'ShiftShare T1'!$F$4</c:f>
              <c:strCache>
                <c:ptCount val="1"/>
                <c:pt idx="0">
                  <c:v>2020</c:v>
                </c:pt>
              </c:strCache>
            </c:strRef>
          </c:tx>
          <c:invertIfNegative val="0"/>
          <c:cat>
            <c:strRef>
              <c:f>'ShiftShare T1'!$A$8:$A$33</c:f>
              <c:strCache>
                <c:ptCount val="26"/>
                <c:pt idx="0">
                  <c:v>11 Corporate managers and directors</c:v>
                </c:pt>
                <c:pt idx="1">
                  <c:v>12 Other managers and proprietors</c:v>
                </c:pt>
                <c:pt idx="2">
                  <c:v>21 Science, research, engineering and technology professionals</c:v>
                </c:pt>
                <c:pt idx="3">
                  <c:v>22 Health professionals</c:v>
                </c:pt>
                <c:pt idx="4">
                  <c:v>23 Teaching and other educational professionals</c:v>
                </c:pt>
                <c:pt idx="5">
                  <c:v>24 Business, media and public service professionals</c:v>
                </c:pt>
                <c:pt idx="6">
                  <c:v>31 Science, engineering and technology associate professionals</c:v>
                </c:pt>
                <c:pt idx="7">
                  <c:v>32 Health and social care associate professionals</c:v>
                </c:pt>
                <c:pt idx="8">
                  <c:v>33 Protective service occupations</c:v>
                </c:pt>
                <c:pt idx="9">
                  <c:v>34 Culture, media and sports occupations</c:v>
                </c:pt>
                <c:pt idx="10">
                  <c:v>35 Business and public service associate professionals</c:v>
                </c:pt>
                <c:pt idx="11">
                  <c:v>41 Administrative occupations</c:v>
                </c:pt>
                <c:pt idx="12">
                  <c:v>42 Secretarial and related occupations</c:v>
                </c:pt>
                <c:pt idx="13">
                  <c:v>51 Skilled agricultural and related trades</c:v>
                </c:pt>
                <c:pt idx="14">
                  <c:v>52 Skilled metal, electrical and electronic trades</c:v>
                </c:pt>
                <c:pt idx="15">
                  <c:v>53 Skilled construction and building trades</c:v>
                </c:pt>
                <c:pt idx="16">
                  <c:v>54 Textiles, printing and other skilled trades</c:v>
                </c:pt>
                <c:pt idx="17">
                  <c:v>61 Caring personal service occupations</c:v>
                </c:pt>
                <c:pt idx="18">
                  <c:v>62 Leisure, travel and related personal service occupations</c:v>
                </c:pt>
                <c:pt idx="19">
                  <c:v>63 Community and civil enforcement occupations</c:v>
                </c:pt>
                <c:pt idx="20">
                  <c:v>71 Sales occupations</c:v>
                </c:pt>
                <c:pt idx="21">
                  <c:v>72 Customer service occupations</c:v>
                </c:pt>
                <c:pt idx="22">
                  <c:v>81 Process, plant and machine operatives</c:v>
                </c:pt>
                <c:pt idx="23">
                  <c:v>82 Transport and mobile machine drivers and operatives</c:v>
                </c:pt>
                <c:pt idx="24">
                  <c:v>91 Elementary trades and related occupations</c:v>
                </c:pt>
                <c:pt idx="25">
                  <c:v>92 Elementary administration and service occupations</c:v>
                </c:pt>
              </c:strCache>
            </c:strRef>
          </c:cat>
          <c:val>
            <c:numRef>
              <c:f>'ShiftShare T1'!$E$8:$E$33</c:f>
              <c:numCache>
                <c:formatCode>#,##0</c:formatCode>
                <c:ptCount val="26"/>
                <c:pt idx="0">
                  <c:v>37.285129342999952</c:v>
                </c:pt>
                <c:pt idx="1">
                  <c:v>17.623157595105926</c:v>
                </c:pt>
                <c:pt idx="2">
                  <c:v>28.087523686209455</c:v>
                </c:pt>
                <c:pt idx="3">
                  <c:v>22.204702058713004</c:v>
                </c:pt>
                <c:pt idx="4">
                  <c:v>19.425860904777554</c:v>
                </c:pt>
                <c:pt idx="5">
                  <c:v>31.03514186240707</c:v>
                </c:pt>
                <c:pt idx="6">
                  <c:v>10.211041430849397</c:v>
                </c:pt>
                <c:pt idx="7">
                  <c:v>9.8334636122958532</c:v>
                </c:pt>
                <c:pt idx="8">
                  <c:v>5.7259729012338703</c:v>
                </c:pt>
                <c:pt idx="9">
                  <c:v>6.6380728933527591</c:v>
                </c:pt>
                <c:pt idx="10">
                  <c:v>29.028822308415432</c:v>
                </c:pt>
                <c:pt idx="11">
                  <c:v>42.015488739913941</c:v>
                </c:pt>
                <c:pt idx="12">
                  <c:v>9.1366516721423405</c:v>
                </c:pt>
                <c:pt idx="13">
                  <c:v>10.053463363622607</c:v>
                </c:pt>
                <c:pt idx="14">
                  <c:v>18.255539317999588</c:v>
                </c:pt>
                <c:pt idx="15">
                  <c:v>11.165279435266021</c:v>
                </c:pt>
                <c:pt idx="16">
                  <c:v>9.0586588304949736</c:v>
                </c:pt>
                <c:pt idx="17">
                  <c:v>43.296978489565802</c:v>
                </c:pt>
                <c:pt idx="18">
                  <c:v>12.994951688815915</c:v>
                </c:pt>
                <c:pt idx="19">
                  <c:v>0.55456784230697775</c:v>
                </c:pt>
                <c:pt idx="20">
                  <c:v>34.754105944221891</c:v>
                </c:pt>
                <c:pt idx="21">
                  <c:v>8.0733678965830684</c:v>
                </c:pt>
                <c:pt idx="22">
                  <c:v>20.118734262019561</c:v>
                </c:pt>
                <c:pt idx="23">
                  <c:v>21.410334501240857</c:v>
                </c:pt>
                <c:pt idx="24">
                  <c:v>10.615622461459582</c:v>
                </c:pt>
                <c:pt idx="25">
                  <c:v>46.242366957986754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F22E-4752-A244-893F04CFF91E}"/>
            </c:ext>
          </c:extLst>
        </c:ser>
        <c:ser>
          <c:idx val="2"/>
          <c:order val="2"/>
          <c:tx>
            <c:strRef>
              <c:f>'ShiftShare T1'!$F$40</c:f>
              <c:strCache>
                <c:ptCount val="1"/>
                <c:pt idx="0">
                  <c:v>2035</c:v>
                </c:pt>
              </c:strCache>
            </c:strRef>
          </c:tx>
          <c:invertIfNegative val="0"/>
          <c:cat>
            <c:strRef>
              <c:f>'ShiftShare T1'!$A$8:$A$33</c:f>
              <c:strCache>
                <c:ptCount val="26"/>
                <c:pt idx="0">
                  <c:v>11 Corporate managers and directors</c:v>
                </c:pt>
                <c:pt idx="1">
                  <c:v>12 Other managers and proprietors</c:v>
                </c:pt>
                <c:pt idx="2">
                  <c:v>21 Science, research, engineering and technology professionals</c:v>
                </c:pt>
                <c:pt idx="3">
                  <c:v>22 Health professionals</c:v>
                </c:pt>
                <c:pt idx="4">
                  <c:v>23 Teaching and other educational professionals</c:v>
                </c:pt>
                <c:pt idx="5">
                  <c:v>24 Business, media and public service professionals</c:v>
                </c:pt>
                <c:pt idx="6">
                  <c:v>31 Science, engineering and technology associate professionals</c:v>
                </c:pt>
                <c:pt idx="7">
                  <c:v>32 Health and social care associate professionals</c:v>
                </c:pt>
                <c:pt idx="8">
                  <c:v>33 Protective service occupations</c:v>
                </c:pt>
                <c:pt idx="9">
                  <c:v>34 Culture, media and sports occupations</c:v>
                </c:pt>
                <c:pt idx="10">
                  <c:v>35 Business and public service associate professionals</c:v>
                </c:pt>
                <c:pt idx="11">
                  <c:v>41 Administrative occupations</c:v>
                </c:pt>
                <c:pt idx="12">
                  <c:v>42 Secretarial and related occupations</c:v>
                </c:pt>
                <c:pt idx="13">
                  <c:v>51 Skilled agricultural and related trades</c:v>
                </c:pt>
                <c:pt idx="14">
                  <c:v>52 Skilled metal, electrical and electronic trades</c:v>
                </c:pt>
                <c:pt idx="15">
                  <c:v>53 Skilled construction and building trades</c:v>
                </c:pt>
                <c:pt idx="16">
                  <c:v>54 Textiles, printing and other skilled trades</c:v>
                </c:pt>
                <c:pt idx="17">
                  <c:v>61 Caring personal service occupations</c:v>
                </c:pt>
                <c:pt idx="18">
                  <c:v>62 Leisure, travel and related personal service occupations</c:v>
                </c:pt>
                <c:pt idx="19">
                  <c:v>63 Community and civil enforcement occupations</c:v>
                </c:pt>
                <c:pt idx="20">
                  <c:v>71 Sales occupations</c:v>
                </c:pt>
                <c:pt idx="21">
                  <c:v>72 Customer service occupations</c:v>
                </c:pt>
                <c:pt idx="22">
                  <c:v>81 Process, plant and machine operatives</c:v>
                </c:pt>
                <c:pt idx="23">
                  <c:v>82 Transport and mobile machine drivers and operatives</c:v>
                </c:pt>
                <c:pt idx="24">
                  <c:v>91 Elementary trades and related occupations</c:v>
                </c:pt>
                <c:pt idx="25">
                  <c:v>92 Elementary administration and service occupations</c:v>
                </c:pt>
              </c:strCache>
            </c:strRef>
          </c:cat>
          <c:val>
            <c:numRef>
              <c:f>'ShiftShare T1'!$E$44:$E$69</c:f>
              <c:numCache>
                <c:formatCode>#,##0</c:formatCode>
                <c:ptCount val="26"/>
                <c:pt idx="0">
                  <c:v>35.772891868365278</c:v>
                </c:pt>
                <c:pt idx="1">
                  <c:v>20.170615731640076</c:v>
                </c:pt>
                <c:pt idx="2">
                  <c:v>39.592228833866301</c:v>
                </c:pt>
                <c:pt idx="3">
                  <c:v>23.203332606461984</c:v>
                </c:pt>
                <c:pt idx="4">
                  <c:v>18.557734407530312</c:v>
                </c:pt>
                <c:pt idx="5">
                  <c:v>35.917423254407737</c:v>
                </c:pt>
                <c:pt idx="6">
                  <c:v>10.158891214200377</c:v>
                </c:pt>
                <c:pt idx="7">
                  <c:v>18.168057244041023</c:v>
                </c:pt>
                <c:pt idx="8">
                  <c:v>5.2269699614146221</c:v>
                </c:pt>
                <c:pt idx="9">
                  <c:v>5.9511053070607982</c:v>
                </c:pt>
                <c:pt idx="10">
                  <c:v>30.293882438366261</c:v>
                </c:pt>
                <c:pt idx="11">
                  <c:v>41.789015266300716</c:v>
                </c:pt>
                <c:pt idx="12">
                  <c:v>6.3876110230235232</c:v>
                </c:pt>
                <c:pt idx="13">
                  <c:v>9.2499649150386745</c:v>
                </c:pt>
                <c:pt idx="14">
                  <c:v>16.386563901960127</c:v>
                </c:pt>
                <c:pt idx="15">
                  <c:v>9.210750202713653</c:v>
                </c:pt>
                <c:pt idx="16">
                  <c:v>8.3876114016791306</c:v>
                </c:pt>
                <c:pt idx="17">
                  <c:v>47.910340026917289</c:v>
                </c:pt>
                <c:pt idx="18">
                  <c:v>12.043011311322823</c:v>
                </c:pt>
                <c:pt idx="19">
                  <c:v>0.47429487873987586</c:v>
                </c:pt>
                <c:pt idx="20">
                  <c:v>32.736083057927345</c:v>
                </c:pt>
                <c:pt idx="21">
                  <c:v>9.7854150814605507</c:v>
                </c:pt>
                <c:pt idx="22">
                  <c:v>18.988078793912329</c:v>
                </c:pt>
                <c:pt idx="23">
                  <c:v>20.272443314691611</c:v>
                </c:pt>
                <c:pt idx="24">
                  <c:v>19.321313381155679</c:v>
                </c:pt>
                <c:pt idx="25">
                  <c:v>36.956370575801763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F22E-4752-A244-893F04CFF91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320200496"/>
        <c:axId val="320200888"/>
      </c:barChart>
      <c:catAx>
        <c:axId val="320200496"/>
        <c:scaling>
          <c:orientation val="maxMin"/>
        </c:scaling>
        <c:delete val="0"/>
        <c:axPos val="l"/>
        <c:numFmt formatCode="General" sourceLinked="0"/>
        <c:majorTickMark val="out"/>
        <c:minorTickMark val="none"/>
        <c:tickLblPos val="nextTo"/>
        <c:crossAx val="320200888"/>
        <c:crosses val="autoZero"/>
        <c:auto val="1"/>
        <c:lblAlgn val="ctr"/>
        <c:lblOffset val="100"/>
        <c:noMultiLvlLbl val="0"/>
      </c:catAx>
      <c:valAx>
        <c:axId val="320200888"/>
        <c:scaling>
          <c:orientation val="minMax"/>
        </c:scaling>
        <c:delete val="0"/>
        <c:axPos val="t"/>
        <c:majorGridlines/>
        <c:numFmt formatCode="#,##0" sourceLinked="1"/>
        <c:majorTickMark val="out"/>
        <c:minorTickMark val="none"/>
        <c:tickLblPos val="nextTo"/>
        <c:crossAx val="320200496"/>
        <c:crosses val="autoZero"/>
        <c:crossBetween val="between"/>
      </c:valAx>
    </c:plotArea>
    <c:legend>
      <c:legendPos val="b"/>
      <c:layout>
        <c:manualLayout>
          <c:xMode val="edge"/>
          <c:yMode val="edge"/>
          <c:x val="0.54132763162669373"/>
          <c:y val="0.95527891662688502"/>
          <c:w val="0.17405791669497794"/>
          <c:h val="3.1004491913691319E-2"/>
        </c:manualLayout>
      </c:layout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3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49718540339964518"/>
          <c:y val="3.4908754382882691E-2"/>
          <c:w val="0.46370250563807996"/>
          <c:h val="0.88947796371950538"/>
        </c:manualLayout>
      </c:layout>
      <c:barChart>
        <c:barDir val="bar"/>
        <c:grouping val="clustered"/>
        <c:varyColors val="0"/>
        <c:ser>
          <c:idx val="4"/>
          <c:order val="0"/>
          <c:tx>
            <c:strRef>
              <c:f>'ShiftShare T1'!$I$4</c:f>
              <c:strCache>
                <c:ptCount val="1"/>
                <c:pt idx="0">
                  <c:v>2015-2020</c:v>
                </c:pt>
              </c:strCache>
            </c:strRef>
          </c:tx>
          <c:invertIfNegative val="0"/>
          <c:cat>
            <c:strRef>
              <c:f>'ShiftShare T1'!$A$8:$A$33</c:f>
              <c:strCache>
                <c:ptCount val="26"/>
                <c:pt idx="0">
                  <c:v>11 Corporate managers and directors</c:v>
                </c:pt>
                <c:pt idx="1">
                  <c:v>12 Other managers and proprietors</c:v>
                </c:pt>
                <c:pt idx="2">
                  <c:v>21 Science, research, engineering and technology professionals</c:v>
                </c:pt>
                <c:pt idx="3">
                  <c:v>22 Health professionals</c:v>
                </c:pt>
                <c:pt idx="4">
                  <c:v>23 Teaching and other educational professionals</c:v>
                </c:pt>
                <c:pt idx="5">
                  <c:v>24 Business, media and public service professionals</c:v>
                </c:pt>
                <c:pt idx="6">
                  <c:v>31 Science, engineering and technology associate professionals</c:v>
                </c:pt>
                <c:pt idx="7">
                  <c:v>32 Health and social care associate professionals</c:v>
                </c:pt>
                <c:pt idx="8">
                  <c:v>33 Protective service occupations</c:v>
                </c:pt>
                <c:pt idx="9">
                  <c:v>34 Culture, media and sports occupations</c:v>
                </c:pt>
                <c:pt idx="10">
                  <c:v>35 Business and public service associate professionals</c:v>
                </c:pt>
                <c:pt idx="11">
                  <c:v>41 Administrative occupations</c:v>
                </c:pt>
                <c:pt idx="12">
                  <c:v>42 Secretarial and related occupations</c:v>
                </c:pt>
                <c:pt idx="13">
                  <c:v>51 Skilled agricultural and related trades</c:v>
                </c:pt>
                <c:pt idx="14">
                  <c:v>52 Skilled metal, electrical and electronic trades</c:v>
                </c:pt>
                <c:pt idx="15">
                  <c:v>53 Skilled construction and building trades</c:v>
                </c:pt>
                <c:pt idx="16">
                  <c:v>54 Textiles, printing and other skilled trades</c:v>
                </c:pt>
                <c:pt idx="17">
                  <c:v>61 Caring personal service occupations</c:v>
                </c:pt>
                <c:pt idx="18">
                  <c:v>62 Leisure, travel and related personal service occupations</c:v>
                </c:pt>
                <c:pt idx="19">
                  <c:v>63 Community and civil enforcement occupations</c:v>
                </c:pt>
                <c:pt idx="20">
                  <c:v>71 Sales occupations</c:v>
                </c:pt>
                <c:pt idx="21">
                  <c:v>72 Customer service occupations</c:v>
                </c:pt>
                <c:pt idx="22">
                  <c:v>81 Process, plant and machine operatives</c:v>
                </c:pt>
                <c:pt idx="23">
                  <c:v>82 Transport and mobile machine drivers and operatives</c:v>
                </c:pt>
                <c:pt idx="24">
                  <c:v>91 Elementary trades and related occupations</c:v>
                </c:pt>
                <c:pt idx="25">
                  <c:v>92 Elementary administration and service occupations</c:v>
                </c:pt>
              </c:strCache>
            </c:strRef>
          </c:cat>
          <c:val>
            <c:numRef>
              <c:f>'ShiftShare T1'!$H$8:$H$33</c:f>
              <c:numCache>
                <c:formatCode>#,##0</c:formatCode>
                <c:ptCount val="26"/>
                <c:pt idx="0">
                  <c:v>7.0375665505287088</c:v>
                </c:pt>
                <c:pt idx="1">
                  <c:v>2.1401252110444737</c:v>
                </c:pt>
                <c:pt idx="2">
                  <c:v>4.8283684069273249</c:v>
                </c:pt>
                <c:pt idx="3">
                  <c:v>3.0558873387521608</c:v>
                </c:pt>
                <c:pt idx="4">
                  <c:v>1.1667694349103073</c:v>
                </c:pt>
                <c:pt idx="5">
                  <c:v>7.55414293104851</c:v>
                </c:pt>
                <c:pt idx="6">
                  <c:v>2.3322301624823085</c:v>
                </c:pt>
                <c:pt idx="7">
                  <c:v>1.3539686152072044</c:v>
                </c:pt>
                <c:pt idx="8">
                  <c:v>0.269741205091659</c:v>
                </c:pt>
                <c:pt idx="9">
                  <c:v>0.27892387399426166</c:v>
                </c:pt>
                <c:pt idx="10">
                  <c:v>3.2756238398702813</c:v>
                </c:pt>
                <c:pt idx="11">
                  <c:v>0.65183945759230966</c:v>
                </c:pt>
                <c:pt idx="12">
                  <c:v>-0.86610949061900122</c:v>
                </c:pt>
                <c:pt idx="13">
                  <c:v>1.1007653322437214</c:v>
                </c:pt>
                <c:pt idx="14">
                  <c:v>-2.915452071265566</c:v>
                </c:pt>
                <c:pt idx="15">
                  <c:v>-3.3081611057947296</c:v>
                </c:pt>
                <c:pt idx="16">
                  <c:v>-1.916279210904694</c:v>
                </c:pt>
                <c:pt idx="17">
                  <c:v>-0.77130094255694814</c:v>
                </c:pt>
                <c:pt idx="18">
                  <c:v>2.3768233225480326</c:v>
                </c:pt>
                <c:pt idx="19">
                  <c:v>1.9800833773732873E-2</c:v>
                </c:pt>
                <c:pt idx="20">
                  <c:v>-4.2194193695712201</c:v>
                </c:pt>
                <c:pt idx="21">
                  <c:v>0.67882103968152041</c:v>
                </c:pt>
                <c:pt idx="22">
                  <c:v>-3.4992636191876443</c:v>
                </c:pt>
                <c:pt idx="23">
                  <c:v>0.3065202681803072</c:v>
                </c:pt>
                <c:pt idx="24">
                  <c:v>-2.4220689641209958</c:v>
                </c:pt>
                <c:pt idx="25">
                  <c:v>-5.2698630498561627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6130-4246-8424-BFF62A2BAC31}"/>
            </c:ext>
          </c:extLst>
        </c:ser>
        <c:ser>
          <c:idx val="5"/>
          <c:order val="1"/>
          <c:tx>
            <c:strRef>
              <c:f>'ShiftShare T1'!$I$40</c:f>
              <c:strCache>
                <c:ptCount val="1"/>
                <c:pt idx="0">
                  <c:v>2020-2035</c:v>
                </c:pt>
              </c:strCache>
            </c:strRef>
          </c:tx>
          <c:invertIfNegative val="0"/>
          <c:cat>
            <c:strRef>
              <c:f>'ShiftShare T1'!$A$8:$A$33</c:f>
              <c:strCache>
                <c:ptCount val="26"/>
                <c:pt idx="0">
                  <c:v>11 Corporate managers and directors</c:v>
                </c:pt>
                <c:pt idx="1">
                  <c:v>12 Other managers and proprietors</c:v>
                </c:pt>
                <c:pt idx="2">
                  <c:v>21 Science, research, engineering and technology professionals</c:v>
                </c:pt>
                <c:pt idx="3">
                  <c:v>22 Health professionals</c:v>
                </c:pt>
                <c:pt idx="4">
                  <c:v>23 Teaching and other educational professionals</c:v>
                </c:pt>
                <c:pt idx="5">
                  <c:v>24 Business, media and public service professionals</c:v>
                </c:pt>
                <c:pt idx="6">
                  <c:v>31 Science, engineering and technology associate professionals</c:v>
                </c:pt>
                <c:pt idx="7">
                  <c:v>32 Health and social care associate professionals</c:v>
                </c:pt>
                <c:pt idx="8">
                  <c:v>33 Protective service occupations</c:v>
                </c:pt>
                <c:pt idx="9">
                  <c:v>34 Culture, media and sports occupations</c:v>
                </c:pt>
                <c:pt idx="10">
                  <c:v>35 Business and public service associate professionals</c:v>
                </c:pt>
                <c:pt idx="11">
                  <c:v>41 Administrative occupations</c:v>
                </c:pt>
                <c:pt idx="12">
                  <c:v>42 Secretarial and related occupations</c:v>
                </c:pt>
                <c:pt idx="13">
                  <c:v>51 Skilled agricultural and related trades</c:v>
                </c:pt>
                <c:pt idx="14">
                  <c:v>52 Skilled metal, electrical and electronic trades</c:v>
                </c:pt>
                <c:pt idx="15">
                  <c:v>53 Skilled construction and building trades</c:v>
                </c:pt>
                <c:pt idx="16">
                  <c:v>54 Textiles, printing and other skilled trades</c:v>
                </c:pt>
                <c:pt idx="17">
                  <c:v>61 Caring personal service occupations</c:v>
                </c:pt>
                <c:pt idx="18">
                  <c:v>62 Leisure, travel and related personal service occupations</c:v>
                </c:pt>
                <c:pt idx="19">
                  <c:v>63 Community and civil enforcement occupations</c:v>
                </c:pt>
                <c:pt idx="20">
                  <c:v>71 Sales occupations</c:v>
                </c:pt>
                <c:pt idx="21">
                  <c:v>72 Customer service occupations</c:v>
                </c:pt>
                <c:pt idx="22">
                  <c:v>81 Process, plant and machine operatives</c:v>
                </c:pt>
                <c:pt idx="23">
                  <c:v>82 Transport and mobile machine drivers and operatives</c:v>
                </c:pt>
                <c:pt idx="24">
                  <c:v>91 Elementary trades and related occupations</c:v>
                </c:pt>
                <c:pt idx="25">
                  <c:v>92 Elementary administration and service occupations</c:v>
                </c:pt>
              </c:strCache>
            </c:strRef>
          </c:cat>
          <c:val>
            <c:numRef>
              <c:f>'ShiftShare T1'!$H$44:$H$69</c:f>
              <c:numCache>
                <c:formatCode>#,##0</c:formatCode>
                <c:ptCount val="26"/>
                <c:pt idx="0">
                  <c:v>-1.5122374746346736</c:v>
                </c:pt>
                <c:pt idx="1">
                  <c:v>2.54745813653415</c:v>
                </c:pt>
                <c:pt idx="2">
                  <c:v>11.504705147656846</c:v>
                </c:pt>
                <c:pt idx="3">
                  <c:v>0.99863054774898075</c:v>
                </c:pt>
                <c:pt idx="4">
                  <c:v>-0.86812649724724267</c:v>
                </c:pt>
                <c:pt idx="5">
                  <c:v>4.8822813920006674</c:v>
                </c:pt>
                <c:pt idx="6">
                  <c:v>-5.2150216649019754E-2</c:v>
                </c:pt>
                <c:pt idx="7">
                  <c:v>8.3345936317451699</c:v>
                </c:pt>
                <c:pt idx="8">
                  <c:v>-0.49900293981924815</c:v>
                </c:pt>
                <c:pt idx="9">
                  <c:v>-0.68696758629196086</c:v>
                </c:pt>
                <c:pt idx="10">
                  <c:v>1.2650601299508288</c:v>
                </c:pt>
                <c:pt idx="11">
                  <c:v>-0.22647347361322545</c:v>
                </c:pt>
                <c:pt idx="12">
                  <c:v>-2.7490406491188173</c:v>
                </c:pt>
                <c:pt idx="13">
                  <c:v>-0.80349844858393205</c:v>
                </c:pt>
                <c:pt idx="14">
                  <c:v>-1.8689754160394614</c:v>
                </c:pt>
                <c:pt idx="15">
                  <c:v>-1.9545292325523675</c:v>
                </c:pt>
                <c:pt idx="16">
                  <c:v>-0.67104742881584301</c:v>
                </c:pt>
                <c:pt idx="17">
                  <c:v>4.6133615373514871</c:v>
                </c:pt>
                <c:pt idx="18">
                  <c:v>-0.95194037749309146</c:v>
                </c:pt>
                <c:pt idx="19">
                  <c:v>-8.0272963567101896E-2</c:v>
                </c:pt>
                <c:pt idx="20">
                  <c:v>-2.0180228862945455</c:v>
                </c:pt>
                <c:pt idx="21">
                  <c:v>1.7120471848774823</c:v>
                </c:pt>
                <c:pt idx="22">
                  <c:v>-1.1306554681072321</c:v>
                </c:pt>
                <c:pt idx="23">
                  <c:v>-1.1378911865492469</c:v>
                </c:pt>
                <c:pt idx="24">
                  <c:v>8.7056909196960977</c:v>
                </c:pt>
                <c:pt idx="25">
                  <c:v>-9.2859963821849902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6130-4246-8424-BFF62A2BAC3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320201672"/>
        <c:axId val="320202064"/>
      </c:barChart>
      <c:catAx>
        <c:axId val="320201672"/>
        <c:scaling>
          <c:orientation val="maxMin"/>
        </c:scaling>
        <c:delete val="0"/>
        <c:axPos val="l"/>
        <c:numFmt formatCode="General" sourceLinked="0"/>
        <c:majorTickMark val="out"/>
        <c:minorTickMark val="none"/>
        <c:tickLblPos val="low"/>
        <c:crossAx val="320202064"/>
        <c:crosses val="autoZero"/>
        <c:auto val="1"/>
        <c:lblAlgn val="ctr"/>
        <c:lblOffset val="1000"/>
        <c:noMultiLvlLbl val="0"/>
      </c:catAx>
      <c:valAx>
        <c:axId val="320202064"/>
        <c:scaling>
          <c:orientation val="minMax"/>
        </c:scaling>
        <c:delete val="0"/>
        <c:axPos val="t"/>
        <c:majorGridlines/>
        <c:numFmt formatCode="#,##0" sourceLinked="1"/>
        <c:majorTickMark val="out"/>
        <c:minorTickMark val="none"/>
        <c:tickLblPos val="nextTo"/>
        <c:crossAx val="320201672"/>
        <c:crosses val="autoZero"/>
        <c:crossBetween val="between"/>
      </c:valAx>
    </c:plotArea>
    <c:legend>
      <c:legendPos val="b"/>
      <c:layout>
        <c:manualLayout>
          <c:xMode val="edge"/>
          <c:yMode val="edge"/>
          <c:x val="0.6164780852212991"/>
          <c:y val="0.94823266163463993"/>
          <c:w val="0.2106189753783651"/>
          <c:h val="3.1117474689689728E-2"/>
        </c:manualLayout>
      </c:layout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 orientation="portrait"/>
  </c:printSettings>
</c:chartSpace>
</file>

<file path=xl/charts/chart4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6.9295888892981675E-2"/>
          <c:y val="3.5947604941935246E-2"/>
          <c:w val="0.90390271996709393"/>
          <c:h val="0.80496508415316914"/>
        </c:manualLayout>
      </c:layout>
      <c:lineChart>
        <c:grouping val="standard"/>
        <c:varyColors val="0"/>
        <c:ser>
          <c:idx val="1"/>
          <c:order val="0"/>
          <c:tx>
            <c:strRef>
              <c:f>'ShiftShare T1'!$A$8</c:f>
              <c:strCache>
                <c:ptCount val="1"/>
                <c:pt idx="0">
                  <c:v>11 Corporate managers and directors</c:v>
                </c:pt>
              </c:strCache>
            </c:strRef>
          </c:tx>
          <c:cat>
            <c:numRef>
              <c:f>('ShiftShare T1'!$C$4,'ShiftShare T1'!$F$4,'ShiftShare T1'!$F$40)</c:f>
              <c:numCache>
                <c:formatCode>0</c:formatCode>
                <c:ptCount val="3"/>
                <c:pt idx="0">
                  <c:v>2015</c:v>
                </c:pt>
                <c:pt idx="1">
                  <c:v>2020</c:v>
                </c:pt>
                <c:pt idx="2">
                  <c:v>2035</c:v>
                </c:pt>
              </c:numCache>
            </c:numRef>
          </c:cat>
          <c:val>
            <c:numRef>
              <c:f>('ShiftShare T1'!$C$8,'ShiftShare T1'!$F$8,'ShiftShare T1'!$F$44)</c:f>
              <c:numCache>
                <c:formatCode>0.0</c:formatCode>
                <c:ptCount val="3"/>
                <c:pt idx="0">
                  <c:v>6.0301557585094292</c:v>
                </c:pt>
                <c:pt idx="1">
                  <c:v>7.2420105746389574</c:v>
                </c:pt>
                <c:pt idx="2">
                  <c:v>6.7127202743352168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BB6E-4072-ACC3-8D57D4851C1D}"/>
            </c:ext>
          </c:extLst>
        </c:ser>
        <c:ser>
          <c:idx val="2"/>
          <c:order val="1"/>
          <c:tx>
            <c:strRef>
              <c:f>'ShiftShare T1'!$A$9</c:f>
              <c:strCache>
                <c:ptCount val="1"/>
                <c:pt idx="0">
                  <c:v>12 Other managers and proprietors</c:v>
                </c:pt>
              </c:strCache>
            </c:strRef>
          </c:tx>
          <c:cat>
            <c:numRef>
              <c:f>('ShiftShare T1'!$C$4,'ShiftShare T1'!$F$4,'ShiftShare T1'!$F$40)</c:f>
              <c:numCache>
                <c:formatCode>0</c:formatCode>
                <c:ptCount val="3"/>
                <c:pt idx="0">
                  <c:v>2015</c:v>
                </c:pt>
                <c:pt idx="1">
                  <c:v>2020</c:v>
                </c:pt>
                <c:pt idx="2">
                  <c:v>2035</c:v>
                </c:pt>
              </c:numCache>
            </c:numRef>
          </c:cat>
          <c:val>
            <c:numRef>
              <c:f>('ShiftShare T1'!$C$9,'ShiftShare T1'!$F$9,'ShiftShare T1'!$F$45)</c:f>
              <c:numCache>
                <c:formatCode>0.0</c:formatCode>
                <c:ptCount val="3"/>
                <c:pt idx="0">
                  <c:v>3.0866981756683929</c:v>
                </c:pt>
                <c:pt idx="1">
                  <c:v>3.423002572639517</c:v>
                </c:pt>
                <c:pt idx="2">
                  <c:v>3.7849805843441477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BB6E-4072-ACC3-8D57D4851C1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20202848"/>
        <c:axId val="320203240"/>
      </c:lineChart>
      <c:catAx>
        <c:axId val="320202848"/>
        <c:scaling>
          <c:orientation val="minMax"/>
        </c:scaling>
        <c:delete val="0"/>
        <c:axPos val="b"/>
        <c:numFmt formatCode="0" sourceLinked="1"/>
        <c:majorTickMark val="out"/>
        <c:minorTickMark val="none"/>
        <c:tickLblPos val="nextTo"/>
        <c:crossAx val="320203240"/>
        <c:crosses val="autoZero"/>
        <c:auto val="1"/>
        <c:lblAlgn val="ctr"/>
        <c:lblOffset val="100"/>
        <c:noMultiLvlLbl val="0"/>
      </c:catAx>
      <c:valAx>
        <c:axId val="320203240"/>
        <c:scaling>
          <c:orientation val="minMax"/>
        </c:scaling>
        <c:delete val="0"/>
        <c:axPos val="l"/>
        <c:majorGridlines/>
        <c:numFmt formatCode="0.0" sourceLinked="1"/>
        <c:majorTickMark val="out"/>
        <c:minorTickMark val="none"/>
        <c:tickLblPos val="nextTo"/>
        <c:crossAx val="320202848"/>
        <c:crosses val="autoZero"/>
        <c:crossBetween val="between"/>
      </c:valAx>
    </c:plotArea>
    <c:legend>
      <c:legendPos val="b"/>
      <c:layout>
        <c:manualLayout>
          <c:xMode val="edge"/>
          <c:yMode val="edge"/>
          <c:x val="2.367846311576052E-2"/>
          <c:y val="0.91788153826032881"/>
          <c:w val="0.95853017103776827"/>
          <c:h val="6.4621404430058801E-2"/>
        </c:manualLayout>
      </c:layout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4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8.0056854007996878E-2"/>
          <c:y val="3.1694845457226499E-2"/>
          <c:w val="0.89366434465146449"/>
          <c:h val="0.69172816728167286"/>
        </c:manualLayout>
      </c:layout>
      <c:lineChart>
        <c:grouping val="standard"/>
        <c:varyColors val="0"/>
        <c:ser>
          <c:idx val="3"/>
          <c:order val="0"/>
          <c:tx>
            <c:strRef>
              <c:f>'ShiftShare T1'!$A$14</c:f>
              <c:strCache>
                <c:ptCount val="1"/>
                <c:pt idx="0">
                  <c:v>31 Science, engineering and technology associate professionals</c:v>
                </c:pt>
              </c:strCache>
            </c:strRef>
          </c:tx>
          <c:cat>
            <c:numRef>
              <c:f>('ShiftShare T1'!$C$4,'ShiftShare T1'!$F$4,'ShiftShare T1'!$F$40)</c:f>
              <c:numCache>
                <c:formatCode>0</c:formatCode>
                <c:ptCount val="3"/>
                <c:pt idx="0">
                  <c:v>2015</c:v>
                </c:pt>
                <c:pt idx="1">
                  <c:v>2020</c:v>
                </c:pt>
                <c:pt idx="2">
                  <c:v>2035</c:v>
                </c:pt>
              </c:numCache>
            </c:numRef>
          </c:cat>
          <c:val>
            <c:numRef>
              <c:f>('ShiftShare T1'!$C$14,'ShiftShare T1'!$F$14,'ShiftShare T1'!$F$50)</c:f>
              <c:numCache>
                <c:formatCode>0.0</c:formatCode>
                <c:ptCount val="3"/>
                <c:pt idx="0">
                  <c:v>1.5707202416975672</c:v>
                </c:pt>
                <c:pt idx="1">
                  <c:v>1.9833234140079818</c:v>
                </c:pt>
                <c:pt idx="2">
                  <c:v>1.9062980781443053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CA1D-49CD-BB27-98A48CC6E552}"/>
            </c:ext>
          </c:extLst>
        </c:ser>
        <c:ser>
          <c:idx val="0"/>
          <c:order val="1"/>
          <c:tx>
            <c:strRef>
              <c:f>'ShiftShare T1'!$A$15</c:f>
              <c:strCache>
                <c:ptCount val="1"/>
                <c:pt idx="0">
                  <c:v>32 Health and social care associate professionals</c:v>
                </c:pt>
              </c:strCache>
            </c:strRef>
          </c:tx>
          <c:cat>
            <c:numRef>
              <c:f>('ShiftShare T1'!$C$4,'ShiftShare T1'!$F$4,'ShiftShare T1'!$F$40)</c:f>
              <c:numCache>
                <c:formatCode>0</c:formatCode>
                <c:ptCount val="3"/>
                <c:pt idx="0">
                  <c:v>2015</c:v>
                </c:pt>
                <c:pt idx="1">
                  <c:v>2020</c:v>
                </c:pt>
                <c:pt idx="2">
                  <c:v>2035</c:v>
                </c:pt>
              </c:numCache>
            </c:numRef>
          </c:cat>
          <c:val>
            <c:numRef>
              <c:f>('ShiftShare T1'!$C$15,'ShiftShare T1'!$F$15,'ShiftShare T1'!$F$51)</c:f>
              <c:numCache>
                <c:formatCode>0.0</c:formatCode>
                <c:ptCount val="3"/>
                <c:pt idx="0">
                  <c:v>1.6904725824281344</c:v>
                </c:pt>
                <c:pt idx="1">
                  <c:v>1.9099852600871818</c:v>
                </c:pt>
                <c:pt idx="2">
                  <c:v>3.409204004421186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CA1D-49CD-BB27-98A48CC6E552}"/>
            </c:ext>
          </c:extLst>
        </c:ser>
        <c:ser>
          <c:idx val="1"/>
          <c:order val="2"/>
          <c:tx>
            <c:strRef>
              <c:f>'ShiftShare T1'!$A$16</c:f>
              <c:strCache>
                <c:ptCount val="1"/>
                <c:pt idx="0">
                  <c:v>33 Protective service occupations</c:v>
                </c:pt>
              </c:strCache>
            </c:strRef>
          </c:tx>
          <c:cat>
            <c:numRef>
              <c:f>('ShiftShare T1'!$C$4,'ShiftShare T1'!$F$4,'ShiftShare T1'!$F$40)</c:f>
              <c:numCache>
                <c:formatCode>0</c:formatCode>
                <c:ptCount val="3"/>
                <c:pt idx="0">
                  <c:v>2015</c:v>
                </c:pt>
                <c:pt idx="1">
                  <c:v>2020</c:v>
                </c:pt>
                <c:pt idx="2">
                  <c:v>2035</c:v>
                </c:pt>
              </c:numCache>
            </c:numRef>
          </c:cat>
          <c:val>
            <c:numRef>
              <c:f>('ShiftShare T1'!$C$16,'ShiftShare T1'!$F$16,'ShiftShare T1'!$F$52)</c:f>
              <c:numCache>
                <c:formatCode>0.0</c:formatCode>
                <c:ptCount val="3"/>
                <c:pt idx="0">
                  <c:v>1.0877546468121744</c:v>
                </c:pt>
                <c:pt idx="1">
                  <c:v>1.1121741303176429</c:v>
                </c:pt>
                <c:pt idx="2">
                  <c:v>0.98083172482785597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CA1D-49CD-BB27-98A48CC6E552}"/>
            </c:ext>
          </c:extLst>
        </c:ser>
        <c:ser>
          <c:idx val="4"/>
          <c:order val="3"/>
          <c:tx>
            <c:strRef>
              <c:f>'ShiftShare T1'!$A$17</c:f>
              <c:strCache>
                <c:ptCount val="1"/>
                <c:pt idx="0">
                  <c:v>34 Culture, media and sports occupations</c:v>
                </c:pt>
              </c:strCache>
            </c:strRef>
          </c:tx>
          <c:cat>
            <c:numRef>
              <c:f>('ShiftShare T1'!$C$4,'ShiftShare T1'!$F$4,'ShiftShare T1'!$F$40)</c:f>
              <c:numCache>
                <c:formatCode>0</c:formatCode>
                <c:ptCount val="3"/>
                <c:pt idx="0">
                  <c:v>2015</c:v>
                </c:pt>
                <c:pt idx="1">
                  <c:v>2020</c:v>
                </c:pt>
                <c:pt idx="2">
                  <c:v>2035</c:v>
                </c:pt>
              </c:numCache>
            </c:numRef>
          </c:cat>
          <c:val>
            <c:numRef>
              <c:f>('ShiftShare T1'!$C$17,'ShiftShare T1'!$F$17,'ShiftShare T1'!$F$53)</c:f>
              <c:numCache>
                <c:formatCode>0.0</c:formatCode>
                <c:ptCount val="3"/>
                <c:pt idx="0">
                  <c:v>1.2677602933301089</c:v>
                </c:pt>
                <c:pt idx="1">
                  <c:v>1.2893342449383325</c:v>
                </c:pt>
                <c:pt idx="2">
                  <c:v>1.1167144494889965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4-CA1D-49CD-BB27-98A48CC6E552}"/>
            </c:ext>
          </c:extLst>
        </c:ser>
        <c:ser>
          <c:idx val="5"/>
          <c:order val="4"/>
          <c:tx>
            <c:strRef>
              <c:f>'ShiftShare T1'!$A$18</c:f>
              <c:strCache>
                <c:ptCount val="1"/>
                <c:pt idx="0">
                  <c:v>35 Business and public service associate professionals</c:v>
                </c:pt>
              </c:strCache>
            </c:strRef>
          </c:tx>
          <c:cat>
            <c:numRef>
              <c:f>('ShiftShare T1'!$C$4,'ShiftShare T1'!$F$4,'ShiftShare T1'!$F$40)</c:f>
              <c:numCache>
                <c:formatCode>0</c:formatCode>
                <c:ptCount val="3"/>
                <c:pt idx="0">
                  <c:v>2015</c:v>
                </c:pt>
                <c:pt idx="1">
                  <c:v>2020</c:v>
                </c:pt>
                <c:pt idx="2">
                  <c:v>2035</c:v>
                </c:pt>
              </c:numCache>
            </c:numRef>
          </c:cat>
          <c:val>
            <c:numRef>
              <c:f>('ShiftShare T1'!$C$18,'ShiftShare T1'!$F$18,'ShiftShare T1'!$F$54)</c:f>
              <c:numCache>
                <c:formatCode>0.0</c:formatCode>
                <c:ptCount val="3"/>
                <c:pt idx="0">
                  <c:v>5.1341590431804178</c:v>
                </c:pt>
                <c:pt idx="1">
                  <c:v>5.6383615084958434</c:v>
                </c:pt>
                <c:pt idx="2">
                  <c:v>5.6845937862848412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5-CA1D-49CD-BB27-98A48CC6E55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20204024"/>
        <c:axId val="320269064"/>
      </c:lineChart>
      <c:catAx>
        <c:axId val="320204024"/>
        <c:scaling>
          <c:orientation val="minMax"/>
        </c:scaling>
        <c:delete val="0"/>
        <c:axPos val="b"/>
        <c:numFmt formatCode="0" sourceLinked="1"/>
        <c:majorTickMark val="out"/>
        <c:minorTickMark val="none"/>
        <c:tickLblPos val="nextTo"/>
        <c:crossAx val="320269064"/>
        <c:crosses val="autoZero"/>
        <c:auto val="1"/>
        <c:lblAlgn val="ctr"/>
        <c:lblOffset val="100"/>
        <c:noMultiLvlLbl val="0"/>
      </c:catAx>
      <c:valAx>
        <c:axId val="320269064"/>
        <c:scaling>
          <c:orientation val="minMax"/>
        </c:scaling>
        <c:delete val="0"/>
        <c:axPos val="l"/>
        <c:majorGridlines/>
        <c:numFmt formatCode="0.0" sourceLinked="1"/>
        <c:majorTickMark val="out"/>
        <c:minorTickMark val="none"/>
        <c:tickLblPos val="nextTo"/>
        <c:crossAx val="320204024"/>
        <c:crosses val="autoZero"/>
        <c:crossBetween val="between"/>
      </c:valAx>
    </c:plotArea>
    <c:legend>
      <c:legendPos val="b"/>
      <c:layout>
        <c:manualLayout>
          <c:xMode val="edge"/>
          <c:yMode val="edge"/>
          <c:x val="8.4124142788133807E-2"/>
          <c:y val="0.78352008300784759"/>
          <c:w val="0.84908255569149549"/>
          <c:h val="0.20791568661300647"/>
        </c:manualLayout>
      </c:layout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4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8.2847506889025924E-2"/>
          <c:y val="2.5974457843128223E-2"/>
          <c:w val="0.89314628400895379"/>
          <c:h val="0.78565359775118182"/>
        </c:manualLayout>
      </c:layout>
      <c:lineChart>
        <c:grouping val="standard"/>
        <c:varyColors val="0"/>
        <c:ser>
          <c:idx val="4"/>
          <c:order val="0"/>
          <c:tx>
            <c:strRef>
              <c:f>'ShiftShare T1'!$A$19</c:f>
              <c:strCache>
                <c:ptCount val="1"/>
                <c:pt idx="0">
                  <c:v>41 Administrative occupations</c:v>
                </c:pt>
              </c:strCache>
            </c:strRef>
          </c:tx>
          <c:val>
            <c:numRef>
              <c:f>('ShiftShare T1'!$C$19,'ShiftShare T1'!$F$19,'ShiftShare T1'!$F$55)</c:f>
              <c:numCache>
                <c:formatCode>0.0</c:formatCode>
                <c:ptCount val="3"/>
                <c:pt idx="0">
                  <c:v>8.2462593639061819</c:v>
                </c:pt>
                <c:pt idx="1">
                  <c:v>8.1608034922965036</c:v>
                </c:pt>
                <c:pt idx="2">
                  <c:v>7.84163525428227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3E4E-489B-AA3C-D474FCE6D67C}"/>
            </c:ext>
          </c:extLst>
        </c:ser>
        <c:ser>
          <c:idx val="1"/>
          <c:order val="1"/>
          <c:tx>
            <c:strRef>
              <c:f>'ShiftShare T1'!$A$20</c:f>
              <c:strCache>
                <c:ptCount val="1"/>
                <c:pt idx="0">
                  <c:v>42 Secretarial and related occupations</c:v>
                </c:pt>
              </c:strCache>
            </c:strRef>
          </c:tx>
          <c:cat>
            <c:numRef>
              <c:f>('ShiftShare T1'!$C$4,'ShiftShare T1'!$F$4,'ShiftShare T1'!$F$40)</c:f>
              <c:numCache>
                <c:formatCode>0</c:formatCode>
                <c:ptCount val="3"/>
                <c:pt idx="0">
                  <c:v>2015</c:v>
                </c:pt>
                <c:pt idx="1">
                  <c:v>2020</c:v>
                </c:pt>
                <c:pt idx="2">
                  <c:v>2035</c:v>
                </c:pt>
              </c:numCache>
            </c:numRef>
          </c:cat>
          <c:val>
            <c:numRef>
              <c:f>('ShiftShare T1'!$C$20,'ShiftShare T1'!$F$20,'ShiftShare T1'!$F$56)</c:f>
              <c:numCache>
                <c:formatCode>0.0</c:formatCode>
                <c:ptCount val="3"/>
                <c:pt idx="0">
                  <c:v>1.9941510078171738</c:v>
                </c:pt>
                <c:pt idx="1">
                  <c:v>1.7746412361278323</c:v>
                </c:pt>
                <c:pt idx="2">
                  <c:v>1.1986239797609222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3E4E-489B-AA3C-D474FCE6D67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20269848"/>
        <c:axId val="320270240"/>
      </c:lineChart>
      <c:catAx>
        <c:axId val="320269848"/>
        <c:scaling>
          <c:orientation val="minMax"/>
        </c:scaling>
        <c:delete val="0"/>
        <c:axPos val="b"/>
        <c:numFmt formatCode="0" sourceLinked="1"/>
        <c:majorTickMark val="out"/>
        <c:minorTickMark val="none"/>
        <c:tickLblPos val="nextTo"/>
        <c:crossAx val="320270240"/>
        <c:crosses val="autoZero"/>
        <c:auto val="1"/>
        <c:lblAlgn val="ctr"/>
        <c:lblOffset val="100"/>
        <c:noMultiLvlLbl val="0"/>
      </c:catAx>
      <c:valAx>
        <c:axId val="320270240"/>
        <c:scaling>
          <c:orientation val="minMax"/>
        </c:scaling>
        <c:delete val="0"/>
        <c:axPos val="l"/>
        <c:majorGridlines/>
        <c:numFmt formatCode="0.0" sourceLinked="1"/>
        <c:majorTickMark val="out"/>
        <c:minorTickMark val="none"/>
        <c:tickLblPos val="nextTo"/>
        <c:crossAx val="320269848"/>
        <c:crosses val="autoZero"/>
        <c:crossBetween val="between"/>
      </c:valAx>
    </c:plotArea>
    <c:legend>
      <c:legendPos val="b"/>
      <c:layout>
        <c:manualLayout>
          <c:xMode val="edge"/>
          <c:yMode val="edge"/>
          <c:x val="4.4974248467898471E-2"/>
          <c:y val="0.89428044341365409"/>
          <c:w val="0.88541212612219578"/>
          <c:h val="9.6042139689575881E-2"/>
        </c:manualLayout>
      </c:layout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4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7.4098805656060376E-2"/>
          <c:y val="3.1694838332767254E-2"/>
          <c:w val="0.89724219155004581"/>
          <c:h val="0.7489724514245768"/>
        </c:manualLayout>
      </c:layout>
      <c:lineChart>
        <c:grouping val="standard"/>
        <c:varyColors val="0"/>
        <c:ser>
          <c:idx val="2"/>
          <c:order val="0"/>
          <c:tx>
            <c:strRef>
              <c:f>'ShiftShare T1'!$A$25</c:f>
              <c:strCache>
                <c:ptCount val="1"/>
                <c:pt idx="0">
                  <c:v>61 Caring personal service occupations</c:v>
                </c:pt>
              </c:strCache>
            </c:strRef>
          </c:tx>
          <c:cat>
            <c:numRef>
              <c:f>('ShiftShare T1'!$C$4,'ShiftShare T1'!$F$4,'ShiftShare T1'!$F$40)</c:f>
              <c:numCache>
                <c:formatCode>0</c:formatCode>
                <c:ptCount val="3"/>
                <c:pt idx="0">
                  <c:v>2015</c:v>
                </c:pt>
                <c:pt idx="1">
                  <c:v>2020</c:v>
                </c:pt>
                <c:pt idx="2">
                  <c:v>2035</c:v>
                </c:pt>
              </c:numCache>
            </c:numRef>
          </c:cat>
          <c:val>
            <c:numRef>
              <c:f>('ShiftShare T1'!$C$25,'ShiftShare T1'!$F$25,'ShiftShare T1'!$F$61)</c:f>
              <c:numCache>
                <c:formatCode>0.0</c:formatCode>
                <c:ptCount val="3"/>
                <c:pt idx="0">
                  <c:v>8.7854545772316293</c:v>
                </c:pt>
                <c:pt idx="1">
                  <c:v>8.4097113674146193</c:v>
                </c:pt>
                <c:pt idx="2">
                  <c:v>8.9902910850041486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53C8-4F4F-9A85-289A2A78C237}"/>
            </c:ext>
          </c:extLst>
        </c:ser>
        <c:ser>
          <c:idx val="3"/>
          <c:order val="1"/>
          <c:tx>
            <c:strRef>
              <c:f>'ShiftShare T1'!$A$26</c:f>
              <c:strCache>
                <c:ptCount val="1"/>
                <c:pt idx="0">
                  <c:v>62 Leisure, travel and related personal service occupations</c:v>
                </c:pt>
              </c:strCache>
            </c:strRef>
          </c:tx>
          <c:cat>
            <c:numRef>
              <c:f>('ShiftShare T1'!$C$4,'ShiftShare T1'!$F$4,'ShiftShare T1'!$F$40)</c:f>
              <c:numCache>
                <c:formatCode>0</c:formatCode>
                <c:ptCount val="3"/>
                <c:pt idx="0">
                  <c:v>2015</c:v>
                </c:pt>
                <c:pt idx="1">
                  <c:v>2020</c:v>
                </c:pt>
                <c:pt idx="2">
                  <c:v>2035</c:v>
                </c:pt>
              </c:numCache>
            </c:numRef>
          </c:cat>
          <c:val>
            <c:numRef>
              <c:f>('ShiftShare T1'!$C$26,'ShiftShare T1'!$F$26,'ShiftShare T1'!$F$62)</c:f>
              <c:numCache>
                <c:formatCode>0.0</c:formatCode>
                <c:ptCount val="3"/>
                <c:pt idx="0">
                  <c:v>2.1168306468770997</c:v>
                </c:pt>
                <c:pt idx="1">
                  <c:v>2.5240512559733341</c:v>
                </c:pt>
                <c:pt idx="2">
                  <c:v>2.2598499022958438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53C8-4F4F-9A85-289A2A78C237}"/>
            </c:ext>
          </c:extLst>
        </c:ser>
        <c:ser>
          <c:idx val="0"/>
          <c:order val="2"/>
          <c:tx>
            <c:strRef>
              <c:f>'ShiftShare T1'!$A$27</c:f>
              <c:strCache>
                <c:ptCount val="1"/>
                <c:pt idx="0">
                  <c:v>63 Community and civil enforcement occupations</c:v>
                </c:pt>
              </c:strCache>
            </c:strRef>
          </c:tx>
          <c:val>
            <c:numRef>
              <c:f>('ShiftShare T1'!$C$27,'ShiftShare T1'!$F$27,'ShiftShare T1'!$F$63)</c:f>
              <c:numCache>
                <c:formatCode>0.0</c:formatCode>
                <c:ptCount val="3"/>
                <c:pt idx="0">
                  <c:v>0.10661117981942854</c:v>
                </c:pt>
                <c:pt idx="1">
                  <c:v>0.10771549540288389</c:v>
                </c:pt>
                <c:pt idx="2">
                  <c:v>8.9000600237914701E-2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3F18-4F57-BBB7-C2844FF3960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20271024"/>
        <c:axId val="320271416"/>
      </c:lineChart>
      <c:catAx>
        <c:axId val="320271024"/>
        <c:scaling>
          <c:orientation val="minMax"/>
        </c:scaling>
        <c:delete val="0"/>
        <c:axPos val="b"/>
        <c:numFmt formatCode="0" sourceLinked="1"/>
        <c:majorTickMark val="out"/>
        <c:minorTickMark val="none"/>
        <c:tickLblPos val="nextTo"/>
        <c:crossAx val="320271416"/>
        <c:crosses val="autoZero"/>
        <c:auto val="1"/>
        <c:lblAlgn val="ctr"/>
        <c:lblOffset val="100"/>
        <c:noMultiLvlLbl val="0"/>
      </c:catAx>
      <c:valAx>
        <c:axId val="320271416"/>
        <c:scaling>
          <c:orientation val="minMax"/>
        </c:scaling>
        <c:delete val="0"/>
        <c:axPos val="l"/>
        <c:majorGridlines/>
        <c:numFmt formatCode="0.0" sourceLinked="1"/>
        <c:majorTickMark val="out"/>
        <c:minorTickMark val="none"/>
        <c:tickLblPos val="nextTo"/>
        <c:crossAx val="320271024"/>
        <c:crosses val="autoZero"/>
        <c:crossBetween val="between"/>
      </c:valAx>
    </c:plotArea>
    <c:legend>
      <c:legendPos val="b"/>
      <c:layout>
        <c:manualLayout>
          <c:xMode val="edge"/>
          <c:yMode val="edge"/>
          <c:x val="3.3354350200792061E-2"/>
          <c:y val="0.84966379700769423"/>
          <c:w val="0.92471690542165774"/>
          <c:h val="0.15033620299230585"/>
        </c:manualLayout>
      </c:layout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4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7.4098876564146626E-2"/>
          <c:y val="3.7432015198227891E-2"/>
          <c:w val="0.89724219155004581"/>
          <c:h val="0.82011132728884228"/>
        </c:manualLayout>
      </c:layout>
      <c:lineChart>
        <c:grouping val="standard"/>
        <c:varyColors val="0"/>
        <c:ser>
          <c:idx val="1"/>
          <c:order val="0"/>
          <c:tx>
            <c:strRef>
              <c:f>'ShiftShare T1'!$A$28</c:f>
              <c:strCache>
                <c:ptCount val="1"/>
                <c:pt idx="0">
                  <c:v>71 Sales occupations</c:v>
                </c:pt>
              </c:strCache>
            </c:strRef>
          </c:tx>
          <c:cat>
            <c:numRef>
              <c:f>('ShiftShare T1'!$C$4,'ShiftShare T1'!$F$4,'ShiftShare T1'!$F$40)</c:f>
              <c:numCache>
                <c:formatCode>0</c:formatCode>
                <c:ptCount val="3"/>
                <c:pt idx="0">
                  <c:v>2015</c:v>
                </c:pt>
                <c:pt idx="1">
                  <c:v>2020</c:v>
                </c:pt>
                <c:pt idx="2">
                  <c:v>2035</c:v>
                </c:pt>
              </c:numCache>
            </c:numRef>
          </c:cat>
          <c:val>
            <c:numRef>
              <c:f>('ShiftShare T1'!$C$28,'ShiftShare T1'!$F$28,'ShiftShare T1'!$F$64)</c:f>
              <c:numCache>
                <c:formatCode>0.0</c:formatCode>
                <c:ptCount val="3"/>
                <c:pt idx="0">
                  <c:v>7.7697641199336296</c:v>
                </c:pt>
                <c:pt idx="1">
                  <c:v>6.7504017605729647</c:v>
                </c:pt>
                <c:pt idx="2">
                  <c:v>6.1428684394285282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2D00-4934-A6E0-AD279657781B}"/>
            </c:ext>
          </c:extLst>
        </c:ser>
        <c:ser>
          <c:idx val="0"/>
          <c:order val="1"/>
          <c:tx>
            <c:strRef>
              <c:f>'ShiftShare T1'!$A$29</c:f>
              <c:strCache>
                <c:ptCount val="1"/>
                <c:pt idx="0">
                  <c:v>72 Customer service occupations</c:v>
                </c:pt>
              </c:strCache>
            </c:strRef>
          </c:tx>
          <c:val>
            <c:numRef>
              <c:f>('ShiftShare T1'!$C$29,'ShiftShare T1'!$F$29,'ShiftShare T1'!$F$65)</c:f>
              <c:numCache>
                <c:formatCode>0.0</c:formatCode>
                <c:ptCount val="3"/>
                <c:pt idx="0">
                  <c:v>1.4741772623681069</c:v>
                </c:pt>
                <c:pt idx="1">
                  <c:v>1.5681162090693443</c:v>
                </c:pt>
                <c:pt idx="2">
                  <c:v>1.8362159383651624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2D00-4934-A6E0-AD279657781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20272200"/>
        <c:axId val="320272592"/>
      </c:lineChart>
      <c:catAx>
        <c:axId val="320272200"/>
        <c:scaling>
          <c:orientation val="minMax"/>
        </c:scaling>
        <c:delete val="0"/>
        <c:axPos val="b"/>
        <c:numFmt formatCode="0" sourceLinked="1"/>
        <c:majorTickMark val="out"/>
        <c:minorTickMark val="none"/>
        <c:tickLblPos val="nextTo"/>
        <c:crossAx val="320272592"/>
        <c:crosses val="autoZero"/>
        <c:auto val="1"/>
        <c:lblAlgn val="ctr"/>
        <c:lblOffset val="100"/>
        <c:noMultiLvlLbl val="0"/>
      </c:catAx>
      <c:valAx>
        <c:axId val="320272592"/>
        <c:scaling>
          <c:orientation val="minMax"/>
        </c:scaling>
        <c:delete val="0"/>
        <c:axPos val="l"/>
        <c:majorGridlines/>
        <c:numFmt formatCode="0.0" sourceLinked="1"/>
        <c:majorTickMark val="out"/>
        <c:minorTickMark val="none"/>
        <c:tickLblPos val="nextTo"/>
        <c:crossAx val="320272200"/>
        <c:crosses val="autoZero"/>
        <c:crossBetween val="between"/>
      </c:valAx>
    </c:plotArea>
    <c:legend>
      <c:legendPos val="b"/>
      <c:layout>
        <c:manualLayout>
          <c:xMode val="edge"/>
          <c:yMode val="edge"/>
          <c:x val="0.12934200636663143"/>
          <c:y val="0.91484329410538578"/>
          <c:w val="0.71469576168901416"/>
          <c:h val="8.4585720128865061E-2"/>
        </c:manualLayout>
      </c:layout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4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lineChart>
        <c:grouping val="standard"/>
        <c:varyColors val="0"/>
        <c:ser>
          <c:idx val="4"/>
          <c:order val="0"/>
          <c:tx>
            <c:strRef>
              <c:f>'ShiftShare T1'!$A$30</c:f>
              <c:strCache>
                <c:ptCount val="1"/>
                <c:pt idx="0">
                  <c:v>81 Process, plant and machine operatives</c:v>
                </c:pt>
              </c:strCache>
            </c:strRef>
          </c:tx>
          <c:spPr>
            <a:ln>
              <a:solidFill>
                <a:schemeClr val="accent2"/>
              </a:solidFill>
            </a:ln>
          </c:spPr>
          <c:marker>
            <c:symbol val="square"/>
            <c:size val="7"/>
            <c:spPr>
              <a:solidFill>
                <a:schemeClr val="accent2"/>
              </a:solidFill>
              <a:ln>
                <a:noFill/>
              </a:ln>
            </c:spPr>
          </c:marker>
          <c:cat>
            <c:numRef>
              <c:f>('ShiftShare T1'!$C$4,'ShiftShare T1'!$F$4,'ShiftShare T1'!$F$40)</c:f>
              <c:numCache>
                <c:formatCode>0</c:formatCode>
                <c:ptCount val="3"/>
                <c:pt idx="0">
                  <c:v>2015</c:v>
                </c:pt>
                <c:pt idx="1">
                  <c:v>2020</c:v>
                </c:pt>
                <c:pt idx="2">
                  <c:v>2035</c:v>
                </c:pt>
              </c:numCache>
            </c:numRef>
          </c:cat>
          <c:val>
            <c:numRef>
              <c:f>('ShiftShare T1'!$C$30,'ShiftShare T1'!$F$30,'ShiftShare T1'!$F$66)</c:f>
              <c:numCache>
                <c:formatCode>0.0</c:formatCode>
                <c:ptCount val="3"/>
                <c:pt idx="0">
                  <c:v>4.7084853383054774</c:v>
                </c:pt>
                <c:pt idx="1">
                  <c:v>3.9077264539850933</c:v>
                </c:pt>
                <c:pt idx="2">
                  <c:v>3.5630796067478938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C043-4921-A6ED-19CFEF663EF3}"/>
            </c:ext>
          </c:extLst>
        </c:ser>
        <c:ser>
          <c:idx val="0"/>
          <c:order val="1"/>
          <c:tx>
            <c:strRef>
              <c:f>'ShiftShare T1'!$A$31</c:f>
              <c:strCache>
                <c:ptCount val="1"/>
                <c:pt idx="0">
                  <c:v>82 Transport and mobile machine drivers and operatives</c:v>
                </c:pt>
              </c:strCache>
            </c:strRef>
          </c:tx>
          <c:cat>
            <c:numRef>
              <c:f>('ShiftShare T1'!$C$4,'ShiftShare T1'!$F$4,'ShiftShare T1'!$F$40)</c:f>
              <c:numCache>
                <c:formatCode>0</c:formatCode>
                <c:ptCount val="3"/>
                <c:pt idx="0">
                  <c:v>2015</c:v>
                </c:pt>
                <c:pt idx="1">
                  <c:v>2020</c:v>
                </c:pt>
                <c:pt idx="2">
                  <c:v>2035</c:v>
                </c:pt>
              </c:numCache>
            </c:numRef>
          </c:cat>
          <c:val>
            <c:numRef>
              <c:f>('ShiftShare T1'!$C$31,'ShiftShare T1'!$F$31,'ShiftShare T1'!$F$67)</c:f>
              <c:numCache>
                <c:formatCode>0.0</c:formatCode>
                <c:ptCount val="3"/>
                <c:pt idx="0">
                  <c:v>4.207257549877002</c:v>
                </c:pt>
                <c:pt idx="1">
                  <c:v>4.1585981220058175</c:v>
                </c:pt>
                <c:pt idx="2">
                  <c:v>3.8040883513022075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C043-4921-A6ED-19CFEF663EF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20366712"/>
        <c:axId val="320367104"/>
      </c:lineChart>
      <c:catAx>
        <c:axId val="320366712"/>
        <c:scaling>
          <c:orientation val="minMax"/>
        </c:scaling>
        <c:delete val="0"/>
        <c:axPos val="b"/>
        <c:numFmt formatCode="0" sourceLinked="1"/>
        <c:majorTickMark val="out"/>
        <c:minorTickMark val="none"/>
        <c:tickLblPos val="nextTo"/>
        <c:crossAx val="320367104"/>
        <c:crosses val="autoZero"/>
        <c:auto val="1"/>
        <c:lblAlgn val="ctr"/>
        <c:lblOffset val="100"/>
        <c:noMultiLvlLbl val="0"/>
      </c:catAx>
      <c:valAx>
        <c:axId val="320367104"/>
        <c:scaling>
          <c:orientation val="minMax"/>
        </c:scaling>
        <c:delete val="0"/>
        <c:axPos val="l"/>
        <c:majorGridlines/>
        <c:numFmt formatCode="0.0" sourceLinked="1"/>
        <c:majorTickMark val="out"/>
        <c:minorTickMark val="none"/>
        <c:tickLblPos val="nextTo"/>
        <c:crossAx val="320366712"/>
        <c:crosses val="autoZero"/>
        <c:crossBetween val="between"/>
      </c:valAx>
    </c:plotArea>
    <c:legend>
      <c:legendPos val="b"/>
      <c:layout>
        <c:manualLayout>
          <c:xMode val="edge"/>
          <c:yMode val="edge"/>
          <c:x val="0.12948318894961647"/>
          <c:y val="0.88079660216829048"/>
          <c:w val="0.78098456447296272"/>
          <c:h val="0.11919508435149125"/>
        </c:manualLayout>
      </c:layout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4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8.0056854007996878E-2"/>
          <c:y val="3.1694845457226499E-2"/>
          <c:w val="0.89366434465146449"/>
          <c:h val="0.69172816728167286"/>
        </c:manualLayout>
      </c:layout>
      <c:lineChart>
        <c:grouping val="standard"/>
        <c:varyColors val="0"/>
        <c:ser>
          <c:idx val="2"/>
          <c:order val="0"/>
          <c:tx>
            <c:strRef>
              <c:f>'ShiftShare T1'!$A$10</c:f>
              <c:strCache>
                <c:ptCount val="1"/>
                <c:pt idx="0">
                  <c:v>21 Science, research, engineering and technology professionals</c:v>
                </c:pt>
              </c:strCache>
            </c:strRef>
          </c:tx>
          <c:cat>
            <c:numRef>
              <c:f>('ShiftShare T1'!$C$4,'ShiftShare T1'!$F$4,'ShiftShare T1'!$F$40)</c:f>
              <c:numCache>
                <c:formatCode>0</c:formatCode>
                <c:ptCount val="3"/>
                <c:pt idx="0">
                  <c:v>2015</c:v>
                </c:pt>
                <c:pt idx="1">
                  <c:v>2020</c:v>
                </c:pt>
                <c:pt idx="2">
                  <c:v>2035</c:v>
                </c:pt>
              </c:numCache>
            </c:numRef>
          </c:cat>
          <c:val>
            <c:numRef>
              <c:f>('ShiftShare T1'!$C$10,'ShiftShare T1'!$F$10,'ShiftShare T1'!$F$46)</c:f>
              <c:numCache>
                <c:formatCode>0.0</c:formatCode>
                <c:ptCount val="3"/>
                <c:pt idx="0">
                  <c:v>4.6369464577271184</c:v>
                </c:pt>
                <c:pt idx="1">
                  <c:v>5.4555300500557351</c:v>
                </c:pt>
                <c:pt idx="2">
                  <c:v>7.429412141942068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CA1D-49CD-BB27-98A48CC6E552}"/>
            </c:ext>
          </c:extLst>
        </c:ser>
        <c:ser>
          <c:idx val="3"/>
          <c:order val="1"/>
          <c:tx>
            <c:strRef>
              <c:f>'ShiftShare T1'!$A$11</c:f>
              <c:strCache>
                <c:ptCount val="1"/>
                <c:pt idx="0">
                  <c:v>22 Health professionals</c:v>
                </c:pt>
              </c:strCache>
            </c:strRef>
          </c:tx>
          <c:cat>
            <c:numRef>
              <c:f>('ShiftShare T1'!$C$4,'ShiftShare T1'!$F$4,'ShiftShare T1'!$F$40)</c:f>
              <c:numCache>
                <c:formatCode>0</c:formatCode>
                <c:ptCount val="3"/>
                <c:pt idx="0">
                  <c:v>2015</c:v>
                </c:pt>
                <c:pt idx="1">
                  <c:v>2020</c:v>
                </c:pt>
                <c:pt idx="2">
                  <c:v>2035</c:v>
                </c:pt>
              </c:numCache>
            </c:numRef>
          </c:cat>
          <c:val>
            <c:numRef>
              <c:f>('ShiftShare T1'!$C$11,'ShiftShare T1'!$F$11,'ShiftShare T1'!$F$47)</c:f>
              <c:numCache>
                <c:formatCode>0.0</c:formatCode>
                <c:ptCount val="3"/>
                <c:pt idx="0">
                  <c:v>3.8175087409337687</c:v>
                </c:pt>
                <c:pt idx="1">
                  <c:v>4.3128906872384887</c:v>
                </c:pt>
                <c:pt idx="2">
                  <c:v>4.3540645747256574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CA1D-49CD-BB27-98A48CC6E552}"/>
            </c:ext>
          </c:extLst>
        </c:ser>
        <c:ser>
          <c:idx val="0"/>
          <c:order val="2"/>
          <c:tx>
            <c:strRef>
              <c:f>'ShiftShare T1'!$A$12</c:f>
              <c:strCache>
                <c:ptCount val="1"/>
                <c:pt idx="0">
                  <c:v>23 Teaching and other educational professionals</c:v>
                </c:pt>
              </c:strCache>
            </c:strRef>
          </c:tx>
          <c:cat>
            <c:numRef>
              <c:f>('ShiftShare T1'!$C$4,'ShiftShare T1'!$F$4,'ShiftShare T1'!$F$40)</c:f>
              <c:numCache>
                <c:formatCode>0</c:formatCode>
                <c:ptCount val="3"/>
                <c:pt idx="0">
                  <c:v>2015</c:v>
                </c:pt>
                <c:pt idx="1">
                  <c:v>2020</c:v>
                </c:pt>
                <c:pt idx="2">
                  <c:v>2035</c:v>
                </c:pt>
              </c:numCache>
            </c:numRef>
          </c:cat>
          <c:val>
            <c:numRef>
              <c:f>('ShiftShare T1'!$C$12,'ShiftShare T1'!$F$12,'ShiftShare T1'!$F$48)</c:f>
              <c:numCache>
                <c:formatCode>0.0</c:formatCode>
                <c:ptCount val="3"/>
                <c:pt idx="0">
                  <c:v>3.6401334655490345</c:v>
                </c:pt>
                <c:pt idx="1">
                  <c:v>3.7731474336504283</c:v>
                </c:pt>
                <c:pt idx="2">
                  <c:v>3.482326239140856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CA1D-49CD-BB27-98A48CC6E552}"/>
            </c:ext>
          </c:extLst>
        </c:ser>
        <c:ser>
          <c:idx val="1"/>
          <c:order val="3"/>
          <c:tx>
            <c:strRef>
              <c:f>'ShiftShare T1'!$A$13</c:f>
              <c:strCache>
                <c:ptCount val="1"/>
                <c:pt idx="0">
                  <c:v>24 Business, media and public service professionals</c:v>
                </c:pt>
              </c:strCache>
            </c:strRef>
          </c:tx>
          <c:cat>
            <c:numRef>
              <c:f>('ShiftShare T1'!$C$4,'ShiftShare T1'!$F$4,'ShiftShare T1'!$F$40)</c:f>
              <c:numCache>
                <c:formatCode>0</c:formatCode>
                <c:ptCount val="3"/>
                <c:pt idx="0">
                  <c:v>2015</c:v>
                </c:pt>
                <c:pt idx="1">
                  <c:v>2020</c:v>
                </c:pt>
                <c:pt idx="2">
                  <c:v>2035</c:v>
                </c:pt>
              </c:numCache>
            </c:numRef>
          </c:cat>
          <c:val>
            <c:numRef>
              <c:f>('ShiftShare T1'!$C$13,'ShiftShare T1'!$F$13,'ShiftShare T1'!$F$49)</c:f>
              <c:numCache>
                <c:formatCode>0.0</c:formatCode>
                <c:ptCount val="3"/>
                <c:pt idx="0">
                  <c:v>4.6811732202347551</c:v>
                </c:pt>
                <c:pt idx="1">
                  <c:v>6.0280554074346764</c:v>
                </c:pt>
                <c:pt idx="2">
                  <c:v>6.7398413348559894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B588-46B4-8BF5-03AE8948035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20367888"/>
        <c:axId val="320368280"/>
      </c:lineChart>
      <c:catAx>
        <c:axId val="320367888"/>
        <c:scaling>
          <c:orientation val="minMax"/>
        </c:scaling>
        <c:delete val="0"/>
        <c:axPos val="b"/>
        <c:numFmt formatCode="0" sourceLinked="1"/>
        <c:majorTickMark val="out"/>
        <c:minorTickMark val="none"/>
        <c:tickLblPos val="nextTo"/>
        <c:crossAx val="320368280"/>
        <c:crosses val="autoZero"/>
        <c:auto val="1"/>
        <c:lblAlgn val="ctr"/>
        <c:lblOffset val="100"/>
        <c:noMultiLvlLbl val="0"/>
      </c:catAx>
      <c:valAx>
        <c:axId val="320368280"/>
        <c:scaling>
          <c:orientation val="minMax"/>
        </c:scaling>
        <c:delete val="0"/>
        <c:axPos val="l"/>
        <c:majorGridlines/>
        <c:numFmt formatCode="0.0" sourceLinked="1"/>
        <c:majorTickMark val="out"/>
        <c:minorTickMark val="none"/>
        <c:tickLblPos val="nextTo"/>
        <c:crossAx val="320367888"/>
        <c:crosses val="autoZero"/>
        <c:crossBetween val="between"/>
      </c:valAx>
    </c:plotArea>
    <c:legend>
      <c:legendPos val="b"/>
      <c:layout>
        <c:manualLayout>
          <c:xMode val="edge"/>
          <c:yMode val="edge"/>
          <c:x val="8.4124142788133807E-2"/>
          <c:y val="0.78352008300784759"/>
          <c:w val="0.67585879198024412"/>
          <c:h val="0.216479820742559"/>
        </c:manualLayout>
      </c:layout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4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8.2847506889025924E-2"/>
          <c:y val="2.5974457843128223E-2"/>
          <c:w val="0.89314628400895379"/>
          <c:h val="0.68242781751896942"/>
        </c:manualLayout>
      </c:layout>
      <c:lineChart>
        <c:grouping val="standard"/>
        <c:varyColors val="0"/>
        <c:ser>
          <c:idx val="2"/>
          <c:order val="0"/>
          <c:tx>
            <c:strRef>
              <c:f>'ShiftShare T1'!$A$21</c:f>
              <c:strCache>
                <c:ptCount val="1"/>
                <c:pt idx="0">
                  <c:v>51 Skilled agricultural and related trades</c:v>
                </c:pt>
              </c:strCache>
            </c:strRef>
          </c:tx>
          <c:cat>
            <c:numRef>
              <c:f>('ShiftShare T1'!$C$4,'ShiftShare T1'!$F$4,'ShiftShare T1'!$F$40)</c:f>
              <c:numCache>
                <c:formatCode>0</c:formatCode>
                <c:ptCount val="3"/>
                <c:pt idx="0">
                  <c:v>2015</c:v>
                </c:pt>
                <c:pt idx="1">
                  <c:v>2020</c:v>
                </c:pt>
                <c:pt idx="2">
                  <c:v>2035</c:v>
                </c:pt>
              </c:numCache>
            </c:numRef>
          </c:cat>
          <c:val>
            <c:numRef>
              <c:f>('ShiftShare T1'!$C$21,'ShiftShare T1'!$F$21,'ShiftShare T1'!$F$57)</c:f>
              <c:numCache>
                <c:formatCode>0.0</c:formatCode>
                <c:ptCount val="3"/>
                <c:pt idx="0">
                  <c:v>1.7848103650041125</c:v>
                </c:pt>
                <c:pt idx="1">
                  <c:v>1.9527165192674696</c:v>
                </c:pt>
                <c:pt idx="2">
                  <c:v>1.7357396558979115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3E4E-489B-AA3C-D474FCE6D67C}"/>
            </c:ext>
          </c:extLst>
        </c:ser>
        <c:ser>
          <c:idx val="3"/>
          <c:order val="1"/>
          <c:tx>
            <c:strRef>
              <c:f>'ShiftShare T1'!$A$22</c:f>
              <c:strCache>
                <c:ptCount val="1"/>
                <c:pt idx="0">
                  <c:v>52 Skilled metal, electrical and electronic trades</c:v>
                </c:pt>
              </c:strCache>
            </c:strRef>
          </c:tx>
          <c:cat>
            <c:numRef>
              <c:f>('ShiftShare T1'!$C$4,'ShiftShare T1'!$F$4,'ShiftShare T1'!$F$40)</c:f>
              <c:numCache>
                <c:formatCode>0</c:formatCode>
                <c:ptCount val="3"/>
                <c:pt idx="0">
                  <c:v>2015</c:v>
                </c:pt>
                <c:pt idx="1">
                  <c:v>2020</c:v>
                </c:pt>
                <c:pt idx="2">
                  <c:v>2035</c:v>
                </c:pt>
              </c:numCache>
            </c:numRef>
          </c:cat>
          <c:val>
            <c:numRef>
              <c:f>('ShiftShare T1'!$C$22,'ShiftShare T1'!$F$22,'ShiftShare T1'!$F$58)</c:f>
              <c:numCache>
                <c:formatCode>0.0</c:formatCode>
                <c:ptCount val="3"/>
                <c:pt idx="0">
                  <c:v>4.2206499913806956</c:v>
                </c:pt>
                <c:pt idx="1">
                  <c:v>3.54583210830436</c:v>
                </c:pt>
                <c:pt idx="2">
                  <c:v>3.0749099104467779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3E4E-489B-AA3C-D474FCE6D67C}"/>
            </c:ext>
          </c:extLst>
        </c:ser>
        <c:ser>
          <c:idx val="0"/>
          <c:order val="2"/>
          <c:tx>
            <c:strRef>
              <c:f>'ShiftShare T1'!$A$23</c:f>
              <c:strCache>
                <c:ptCount val="1"/>
                <c:pt idx="0">
                  <c:v>53 Skilled construction and building trades</c:v>
                </c:pt>
              </c:strCache>
            </c:strRef>
          </c:tx>
          <c:cat>
            <c:numRef>
              <c:f>('ShiftShare T1'!$C$4,'ShiftShare T1'!$F$4,'ShiftShare T1'!$F$40)</c:f>
              <c:numCache>
                <c:formatCode>0</c:formatCode>
                <c:ptCount val="3"/>
                <c:pt idx="0">
                  <c:v>2015</c:v>
                </c:pt>
                <c:pt idx="1">
                  <c:v>2020</c:v>
                </c:pt>
                <c:pt idx="2">
                  <c:v>2035</c:v>
                </c:pt>
              </c:numCache>
            </c:numRef>
          </c:cat>
          <c:val>
            <c:numRef>
              <c:f>('ShiftShare T1'!$C$23,'ShiftShare T1'!$F$23,'ShiftShare T1'!$F$59)</c:f>
              <c:numCache>
                <c:formatCode>0.0</c:formatCode>
                <c:ptCount val="3"/>
                <c:pt idx="0">
                  <c:v>2.8854258911017112</c:v>
                </c:pt>
                <c:pt idx="1">
                  <c:v>2.1686681302656172</c:v>
                </c:pt>
                <c:pt idx="2">
                  <c:v>1.7283810840652221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4-3E4E-489B-AA3C-D474FCE6D67C}"/>
            </c:ext>
          </c:extLst>
        </c:ser>
        <c:ser>
          <c:idx val="1"/>
          <c:order val="3"/>
          <c:tx>
            <c:strRef>
              <c:f>'ShiftShare T1'!$A$24</c:f>
              <c:strCache>
                <c:ptCount val="1"/>
                <c:pt idx="0">
                  <c:v>54 Textiles, printing and other skilled trades</c:v>
                </c:pt>
              </c:strCache>
            </c:strRef>
          </c:tx>
          <c:cat>
            <c:numRef>
              <c:f>('ShiftShare T1'!$C$4,'ShiftShare T1'!$F$4,'ShiftShare T1'!$F$40)</c:f>
              <c:numCache>
                <c:formatCode>0</c:formatCode>
                <c:ptCount val="3"/>
                <c:pt idx="0">
                  <c:v>2015</c:v>
                </c:pt>
                <c:pt idx="1">
                  <c:v>2020</c:v>
                </c:pt>
                <c:pt idx="2">
                  <c:v>2035</c:v>
                </c:pt>
              </c:numCache>
            </c:numRef>
          </c:cat>
          <c:val>
            <c:numRef>
              <c:f>('ShiftShare T1'!$C$24,'ShiftShare T1'!$F$24,'ShiftShare T1'!$F$60)</c:f>
              <c:numCache>
                <c:formatCode>0.0</c:formatCode>
                <c:ptCount val="3"/>
                <c:pt idx="0">
                  <c:v>2.1879642430597106</c:v>
                </c:pt>
                <c:pt idx="1">
                  <c:v>1.7594924356835497</c:v>
                </c:pt>
                <c:pt idx="2">
                  <c:v>1.5739205350375172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6A1E-4A90-85D0-2B206F59013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20369064"/>
        <c:axId val="320369456"/>
      </c:lineChart>
      <c:catAx>
        <c:axId val="320369064"/>
        <c:scaling>
          <c:orientation val="minMax"/>
        </c:scaling>
        <c:delete val="0"/>
        <c:axPos val="b"/>
        <c:numFmt formatCode="0" sourceLinked="1"/>
        <c:majorTickMark val="out"/>
        <c:minorTickMark val="none"/>
        <c:tickLblPos val="nextTo"/>
        <c:crossAx val="320369456"/>
        <c:crosses val="autoZero"/>
        <c:auto val="1"/>
        <c:lblAlgn val="ctr"/>
        <c:lblOffset val="100"/>
        <c:noMultiLvlLbl val="0"/>
      </c:catAx>
      <c:valAx>
        <c:axId val="320369456"/>
        <c:scaling>
          <c:orientation val="minMax"/>
        </c:scaling>
        <c:delete val="0"/>
        <c:axPos val="l"/>
        <c:majorGridlines/>
        <c:numFmt formatCode="0.0" sourceLinked="1"/>
        <c:majorTickMark val="out"/>
        <c:minorTickMark val="none"/>
        <c:tickLblPos val="nextTo"/>
        <c:crossAx val="320369064"/>
        <c:crosses val="autoZero"/>
        <c:crossBetween val="between"/>
      </c:valAx>
    </c:plotArea>
    <c:legend>
      <c:legendPos val="b"/>
      <c:layout>
        <c:manualLayout>
          <c:xMode val="edge"/>
          <c:yMode val="edge"/>
          <c:x val="9.1071051195981773E-2"/>
          <c:y val="0.80073229115401567"/>
          <c:w val="0.53487078385524123"/>
          <c:h val="0.19926791992178819"/>
        </c:manualLayout>
      </c:layout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4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lineChart>
        <c:grouping val="standard"/>
        <c:varyColors val="0"/>
        <c:ser>
          <c:idx val="4"/>
          <c:order val="0"/>
          <c:tx>
            <c:strRef>
              <c:f>'ShiftShare T1'!$A$32</c:f>
              <c:strCache>
                <c:ptCount val="1"/>
                <c:pt idx="0">
                  <c:v>91 Elementary trades and related occupations</c:v>
                </c:pt>
              </c:strCache>
            </c:strRef>
          </c:tx>
          <c:spPr>
            <a:ln>
              <a:solidFill>
                <a:schemeClr val="accent2"/>
              </a:solidFill>
            </a:ln>
          </c:spPr>
          <c:marker>
            <c:symbol val="square"/>
            <c:size val="7"/>
            <c:spPr>
              <a:solidFill>
                <a:schemeClr val="accent2"/>
              </a:solidFill>
              <a:ln>
                <a:noFill/>
              </a:ln>
            </c:spPr>
          </c:marker>
          <c:cat>
            <c:numRef>
              <c:f>('ShiftShare T1'!$C$4,'ShiftShare T1'!$F$4,'ShiftShare T1'!$F$40)</c:f>
              <c:numCache>
                <c:formatCode>0</c:formatCode>
                <c:ptCount val="3"/>
                <c:pt idx="0">
                  <c:v>2015</c:v>
                </c:pt>
                <c:pt idx="1">
                  <c:v>2020</c:v>
                </c:pt>
                <c:pt idx="2">
                  <c:v>2035</c:v>
                </c:pt>
              </c:numCache>
            </c:numRef>
          </c:cat>
          <c:val>
            <c:numRef>
              <c:f>('ShiftShare T1'!$C$32,'ShiftShare T1'!$F$32,'ShiftShare T1'!$F$68)</c:f>
              <c:numCache>
                <c:formatCode>0.0</c:formatCode>
                <c:ptCount val="3"/>
                <c:pt idx="0">
                  <c:v>2.5991948695847467</c:v>
                </c:pt>
                <c:pt idx="1">
                  <c:v>2.0619064886440732</c:v>
                </c:pt>
                <c:pt idx="2">
                  <c:v>3.6256104912547826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C043-4921-A6ED-19CFEF663EF3}"/>
            </c:ext>
          </c:extLst>
        </c:ser>
        <c:ser>
          <c:idx val="0"/>
          <c:order val="1"/>
          <c:tx>
            <c:strRef>
              <c:f>'ShiftShare T1'!$A$33</c:f>
              <c:strCache>
                <c:ptCount val="1"/>
                <c:pt idx="0">
                  <c:v>92 Elementary administration and service occupations</c:v>
                </c:pt>
              </c:strCache>
            </c:strRef>
          </c:tx>
          <c:cat>
            <c:numRef>
              <c:f>('ShiftShare T1'!$C$4,'ShiftShare T1'!$F$4,'ShiftShare T1'!$F$40)</c:f>
              <c:numCache>
                <c:formatCode>0</c:formatCode>
                <c:ptCount val="3"/>
                <c:pt idx="0">
                  <c:v>2015</c:v>
                </c:pt>
                <c:pt idx="1">
                  <c:v>2020</c:v>
                </c:pt>
                <c:pt idx="2">
                  <c:v>2035</c:v>
                </c:pt>
              </c:numCache>
            </c:numRef>
          </c:cat>
          <c:val>
            <c:numRef>
              <c:f>('ShiftShare T1'!$C$33,'ShiftShare T1'!$F$33,'ShiftShare T1'!$F$69)</c:f>
              <c:numCache>
                <c:formatCode>0.0</c:formatCode>
                <c:ptCount val="3"/>
                <c:pt idx="0">
                  <c:v>10.26948096766238</c:v>
                </c:pt>
                <c:pt idx="1">
                  <c:v>8.9818036414817541</c:v>
                </c:pt>
                <c:pt idx="2">
                  <c:v>6.934797973361789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C043-4921-A6ED-19CFEF663EF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20597792"/>
        <c:axId val="320598184"/>
      </c:lineChart>
      <c:catAx>
        <c:axId val="320597792"/>
        <c:scaling>
          <c:orientation val="minMax"/>
        </c:scaling>
        <c:delete val="0"/>
        <c:axPos val="b"/>
        <c:numFmt formatCode="0" sourceLinked="1"/>
        <c:majorTickMark val="out"/>
        <c:minorTickMark val="none"/>
        <c:tickLblPos val="nextTo"/>
        <c:crossAx val="320598184"/>
        <c:crosses val="autoZero"/>
        <c:auto val="1"/>
        <c:lblAlgn val="ctr"/>
        <c:lblOffset val="100"/>
        <c:noMultiLvlLbl val="0"/>
      </c:catAx>
      <c:valAx>
        <c:axId val="320598184"/>
        <c:scaling>
          <c:orientation val="minMax"/>
        </c:scaling>
        <c:delete val="0"/>
        <c:axPos val="l"/>
        <c:majorGridlines/>
        <c:numFmt formatCode="0.0" sourceLinked="1"/>
        <c:majorTickMark val="out"/>
        <c:minorTickMark val="none"/>
        <c:tickLblPos val="nextTo"/>
        <c:crossAx val="320597792"/>
        <c:crosses val="autoZero"/>
        <c:crossBetween val="between"/>
      </c:valAx>
    </c:plotArea>
    <c:legend>
      <c:legendPos val="b"/>
      <c:layout>
        <c:manualLayout>
          <c:xMode val="edge"/>
          <c:yMode val="edge"/>
          <c:x val="0.12948318894961647"/>
          <c:y val="0.88079660216829048"/>
          <c:w val="0.78098456447296272"/>
          <c:h val="0.11919508435149125"/>
        </c:manualLayout>
      </c:layout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4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25195838515216912"/>
          <c:y val="3.420523138833001E-2"/>
          <c:w val="0.71932160735152795"/>
          <c:h val="0.83702213279678073"/>
        </c:manualLayout>
      </c:layout>
      <c:barChart>
        <c:barDir val="bar"/>
        <c:grouping val="clustered"/>
        <c:varyColors val="0"/>
        <c:ser>
          <c:idx val="0"/>
          <c:order val="0"/>
          <c:tx>
            <c:strRef>
              <c:f>'RD F1'!$P$5</c:f>
              <c:strCache>
                <c:ptCount val="1"/>
                <c:pt idx="0">
                  <c:v>Net Change</c:v>
                </c:pt>
              </c:strCache>
            </c:strRef>
          </c:tx>
          <c:spPr>
            <a:solidFill>
              <a:srgbClr val="000000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numFmt formatCode="#,##0" sourceLinked="0"/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7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'RD F1'!$O$7:$O$15</c:f>
              <c:strCache>
                <c:ptCount val="9"/>
                <c:pt idx="0">
                  <c:v>Elementary occupations</c:v>
                </c:pt>
                <c:pt idx="1">
                  <c:v>Process, plant and machine operatives</c:v>
                </c:pt>
                <c:pt idx="2">
                  <c:v>Sales and customer service occupations</c:v>
                </c:pt>
                <c:pt idx="3">
                  <c:v>Caring, leisure and other service occupations</c:v>
                </c:pt>
                <c:pt idx="4">
                  <c:v>Skilled trades occupations</c:v>
                </c:pt>
                <c:pt idx="5">
                  <c:v>Administrative and secretarial occupations</c:v>
                </c:pt>
                <c:pt idx="6">
                  <c:v>Associate professional occupations</c:v>
                </c:pt>
                <c:pt idx="7">
                  <c:v>Professional occupations</c:v>
                </c:pt>
                <c:pt idx="8">
                  <c:v>Managers, directors and senior officials</c:v>
                </c:pt>
              </c:strCache>
            </c:strRef>
          </c:cat>
          <c:val>
            <c:numRef>
              <c:f>'RD F1'!$P$7:$P$15</c:f>
              <c:numCache>
                <c:formatCode>#,##0</c:formatCode>
                <c:ptCount val="9"/>
                <c:pt idx="0">
                  <c:v>-0.58030546248888726</c:v>
                </c:pt>
                <c:pt idx="1">
                  <c:v>-2.2685466546564825</c:v>
                </c:pt>
                <c:pt idx="2">
                  <c:v>-0.30597570141706143</c:v>
                </c:pt>
                <c:pt idx="3">
                  <c:v>3.5811481962912879</c:v>
                </c:pt>
                <c:pt idx="4">
                  <c:v>-5.2980505259916129</c:v>
                </c:pt>
                <c:pt idx="5">
                  <c:v>-2.9755141227320436</c:v>
                </c:pt>
                <c:pt idx="6">
                  <c:v>8.3615330189357735</c:v>
                </c:pt>
                <c:pt idx="7">
                  <c:v>16.517490590159241</c:v>
                </c:pt>
                <c:pt idx="8">
                  <c:v>1.0352206618994799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391C-463B-A3CC-2301F74E2AFA}"/>
            </c:ext>
          </c:extLst>
        </c:ser>
        <c:ser>
          <c:idx val="1"/>
          <c:order val="1"/>
          <c:tx>
            <c:strRef>
              <c:f>'RD F1'!$Q$5</c:f>
              <c:strCache>
                <c:ptCount val="1"/>
                <c:pt idx="0">
                  <c:v>Total Requirement</c:v>
                </c:pt>
              </c:strCache>
            </c:strRef>
          </c:tx>
          <c:spPr>
            <a:solidFill>
              <a:srgbClr val="FFFF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numFmt formatCode="#,##0" sourceLinked="0"/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7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'RD F1'!$O$7:$O$15</c:f>
              <c:strCache>
                <c:ptCount val="9"/>
                <c:pt idx="0">
                  <c:v>Elementary occupations</c:v>
                </c:pt>
                <c:pt idx="1">
                  <c:v>Process, plant and machine operatives</c:v>
                </c:pt>
                <c:pt idx="2">
                  <c:v>Sales and customer service occupations</c:v>
                </c:pt>
                <c:pt idx="3">
                  <c:v>Caring, leisure and other service occupations</c:v>
                </c:pt>
                <c:pt idx="4">
                  <c:v>Skilled trades occupations</c:v>
                </c:pt>
                <c:pt idx="5">
                  <c:v>Administrative and secretarial occupations</c:v>
                </c:pt>
                <c:pt idx="6">
                  <c:v>Associate professional occupations</c:v>
                </c:pt>
                <c:pt idx="7">
                  <c:v>Professional occupations</c:v>
                </c:pt>
                <c:pt idx="8">
                  <c:v>Managers, directors and senior officials</c:v>
                </c:pt>
              </c:strCache>
            </c:strRef>
          </c:cat>
          <c:val>
            <c:numRef>
              <c:f>'RD F1'!$Q$7:$Q$15</c:f>
              <c:numCache>
                <c:formatCode>#,##0</c:formatCode>
                <c:ptCount val="9"/>
                <c:pt idx="0">
                  <c:v>26.448018092752484</c:v>
                </c:pt>
                <c:pt idx="1">
                  <c:v>16.675661588018862</c:v>
                </c:pt>
                <c:pt idx="2">
                  <c:v>19.659036551660179</c:v>
                </c:pt>
                <c:pt idx="3">
                  <c:v>35.171174379665068</c:v>
                </c:pt>
                <c:pt idx="4">
                  <c:v>14.247051746782827</c:v>
                </c:pt>
                <c:pt idx="5">
                  <c:v>22.426326149377196</c:v>
                </c:pt>
                <c:pt idx="6">
                  <c:v>38.89908591550045</c:v>
                </c:pt>
                <c:pt idx="7">
                  <c:v>65.760557711882441</c:v>
                </c:pt>
                <c:pt idx="8">
                  <c:v>28.31743888931123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391C-463B-A3CC-2301F74E2AFA}"/>
            </c:ext>
          </c:extLst>
        </c:ser>
        <c:dLbls>
          <c:showLegendKey val="0"/>
          <c:showVal val="1"/>
          <c:showCatName val="0"/>
          <c:showSerName val="0"/>
          <c:showPercent val="0"/>
          <c:showBubbleSize val="0"/>
        </c:dLbls>
        <c:gapWidth val="60"/>
        <c:axId val="313683184"/>
        <c:axId val="313683576"/>
      </c:barChart>
      <c:catAx>
        <c:axId val="313683184"/>
        <c:scaling>
          <c:orientation val="minMax"/>
        </c:scaling>
        <c:delete val="0"/>
        <c:axPos val="l"/>
        <c:numFmt formatCode="General" sourceLinked="1"/>
        <c:majorTickMark val="cross"/>
        <c:minorTickMark val="none"/>
        <c:tickLblPos val="low"/>
        <c:spPr>
          <a:ln w="12700">
            <a:solidFill>
              <a:srgbClr val="333333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13683576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313683576"/>
        <c:scaling>
          <c:orientation val="minMax"/>
        </c:scaling>
        <c:delete val="0"/>
        <c:axPos val="b"/>
        <c:numFmt formatCode="#,##0" sourceLinked="1"/>
        <c:majorTickMark val="out"/>
        <c:minorTickMark val="none"/>
        <c:tickLblPos val="low"/>
        <c:spPr>
          <a:ln w="12700">
            <a:solidFill>
              <a:srgbClr val="333333"/>
            </a:solidFill>
            <a:prstDash val="solid"/>
          </a:ln>
        </c:spPr>
        <c:txPr>
          <a:bodyPr rot="0" vert="horz"/>
          <a:lstStyle/>
          <a:p>
            <a:pPr>
              <a:defRPr sz="9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13683184"/>
        <c:crosses val="autoZero"/>
        <c:crossBetween val="between"/>
      </c:valAx>
      <c:spPr>
        <a:solidFill>
          <a:srgbClr val="FFFFFF"/>
        </a:solidFill>
        <a:ln w="25400">
          <a:noFill/>
        </a:ln>
      </c:spPr>
    </c:plotArea>
    <c:legend>
      <c:legendPos val="b"/>
      <c:layout>
        <c:manualLayout>
          <c:xMode val="edge"/>
          <c:yMode val="edge"/>
          <c:x val="0.3387492920127439"/>
          <c:y val="0.94214950973126332"/>
          <c:w val="0.55287045856034256"/>
          <c:h val="4.0241448692150461E-2"/>
        </c:manualLayout>
      </c:layout>
      <c:overlay val="0"/>
      <c:spPr>
        <a:noFill/>
        <a:ln w="25400">
          <a:noFill/>
        </a:ln>
      </c:spPr>
      <c:txPr>
        <a:bodyPr/>
        <a:lstStyle/>
        <a:p>
          <a:pPr>
            <a:defRPr sz="1000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rgbClr val="FFFFFF"/>
    </a:solidFill>
    <a:ln w="12700">
      <a:solidFill>
        <a:srgbClr val="000000"/>
      </a:solidFill>
      <a:prstDash val="solid"/>
    </a:ln>
  </c:spPr>
  <c:txPr>
    <a:bodyPr/>
    <a:lstStyle/>
    <a:p>
      <a:pPr>
        <a:defRPr sz="12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000000000001465" r="0.75000000000001465" t="1" header="0.5" footer="0.5"/>
    <c:pageSetup paperSize="9" orientation="landscape"/>
  </c:printSettings>
  <c:userShapes r:id="rId1"/>
</c:chartSpace>
</file>

<file path=xl/charts/chart5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25195838515216912"/>
          <c:y val="3.420523138833001E-2"/>
          <c:w val="0.71932160735152795"/>
          <c:h val="0.88160123311870753"/>
        </c:manualLayout>
      </c:layout>
      <c:barChart>
        <c:barDir val="bar"/>
        <c:grouping val="clustered"/>
        <c:varyColors val="0"/>
        <c:ser>
          <c:idx val="0"/>
          <c:order val="0"/>
          <c:tx>
            <c:strRef>
              <c:f>'RD F1'!$P$5</c:f>
              <c:strCache>
                <c:ptCount val="1"/>
                <c:pt idx="0">
                  <c:v>Net Change</c:v>
                </c:pt>
              </c:strCache>
            </c:strRef>
          </c:tx>
          <c:spPr>
            <a:solidFill>
              <a:srgbClr val="000000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numFmt formatCode="#,##0" sourceLinked="0"/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7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'RD F1'!$O$37:$O$62</c:f>
              <c:strCache>
                <c:ptCount val="26"/>
                <c:pt idx="0">
                  <c:v>11 Corporate managers and directors</c:v>
                </c:pt>
                <c:pt idx="1">
                  <c:v>12 Other managers and proprietors</c:v>
                </c:pt>
                <c:pt idx="2">
                  <c:v>21 Science, research, engineering and technology professionals</c:v>
                </c:pt>
                <c:pt idx="3">
                  <c:v>22 Health professionals</c:v>
                </c:pt>
                <c:pt idx="4">
                  <c:v>23 Teaching and other educational professionals</c:v>
                </c:pt>
                <c:pt idx="5">
                  <c:v>24 Business, media and public service professionals</c:v>
                </c:pt>
                <c:pt idx="6">
                  <c:v>31 Science, engineering and technology associate professionals</c:v>
                </c:pt>
                <c:pt idx="7">
                  <c:v>32 Health and social care associate professionals</c:v>
                </c:pt>
                <c:pt idx="8">
                  <c:v>33 Protective service occupations</c:v>
                </c:pt>
                <c:pt idx="9">
                  <c:v>34 Culture, media and sports occupations</c:v>
                </c:pt>
                <c:pt idx="10">
                  <c:v>35 Business and public service associate professionals</c:v>
                </c:pt>
                <c:pt idx="11">
                  <c:v>41 Administrative occupations</c:v>
                </c:pt>
                <c:pt idx="12">
                  <c:v>42 Secretarial and related occupations</c:v>
                </c:pt>
                <c:pt idx="13">
                  <c:v>51 Skilled agricultural and related trades</c:v>
                </c:pt>
                <c:pt idx="14">
                  <c:v>52 Skilled metal, electrical and electronic trades</c:v>
                </c:pt>
                <c:pt idx="15">
                  <c:v>53 Skilled construction and building trades</c:v>
                </c:pt>
                <c:pt idx="16">
                  <c:v>54 Textiles, printing and other skilled trades</c:v>
                </c:pt>
                <c:pt idx="17">
                  <c:v>61 Caring personal service occupations</c:v>
                </c:pt>
                <c:pt idx="18">
                  <c:v>62 Leisure, travel and related personal service occupations</c:v>
                </c:pt>
                <c:pt idx="19">
                  <c:v>63 Community and civil enforcement occupations</c:v>
                </c:pt>
                <c:pt idx="20">
                  <c:v>71 Sales occupations</c:v>
                </c:pt>
                <c:pt idx="21">
                  <c:v>72 Customer service occupations</c:v>
                </c:pt>
                <c:pt idx="22">
                  <c:v>81 Process, plant and machine operatives</c:v>
                </c:pt>
                <c:pt idx="23">
                  <c:v>82 Transport and mobile machine drivers and operatives</c:v>
                </c:pt>
                <c:pt idx="24">
                  <c:v>91 Elementary trades and related occupations</c:v>
                </c:pt>
                <c:pt idx="25">
                  <c:v>92 Elementary administration and service occupations</c:v>
                </c:pt>
              </c:strCache>
            </c:strRef>
          </c:cat>
          <c:val>
            <c:numRef>
              <c:f>'RD F1'!$P$37:$P$62</c:f>
              <c:numCache>
                <c:formatCode>#,##0</c:formatCode>
                <c:ptCount val="26"/>
                <c:pt idx="0">
                  <c:v>-1.5122374746346736</c:v>
                </c:pt>
                <c:pt idx="1">
                  <c:v>2.54745813653415</c:v>
                </c:pt>
                <c:pt idx="2">
                  <c:v>11.504705147656846</c:v>
                </c:pt>
                <c:pt idx="3">
                  <c:v>0.99863054774898075</c:v>
                </c:pt>
                <c:pt idx="4">
                  <c:v>-0.86812649724724267</c:v>
                </c:pt>
                <c:pt idx="5">
                  <c:v>4.8822813920006674</c:v>
                </c:pt>
                <c:pt idx="6">
                  <c:v>-5.2150216649019754E-2</c:v>
                </c:pt>
                <c:pt idx="7">
                  <c:v>8.3345936317451699</c:v>
                </c:pt>
                <c:pt idx="8">
                  <c:v>-0.49900293981924815</c:v>
                </c:pt>
                <c:pt idx="9">
                  <c:v>-0.68696758629196086</c:v>
                </c:pt>
                <c:pt idx="10">
                  <c:v>1.2650601299508288</c:v>
                </c:pt>
                <c:pt idx="11">
                  <c:v>-0.22647347361322545</c:v>
                </c:pt>
                <c:pt idx="12">
                  <c:v>-2.7490406491188173</c:v>
                </c:pt>
                <c:pt idx="13">
                  <c:v>-0.80349844858393205</c:v>
                </c:pt>
                <c:pt idx="14">
                  <c:v>-1.8689754160394614</c:v>
                </c:pt>
                <c:pt idx="15">
                  <c:v>-1.9545292325523675</c:v>
                </c:pt>
                <c:pt idx="16">
                  <c:v>-0.67104742881584301</c:v>
                </c:pt>
                <c:pt idx="17">
                  <c:v>4.6133615373514871</c:v>
                </c:pt>
                <c:pt idx="18">
                  <c:v>-0.95194037749309146</c:v>
                </c:pt>
                <c:pt idx="19">
                  <c:v>-8.0272963567101896E-2</c:v>
                </c:pt>
                <c:pt idx="20">
                  <c:v>-2.0180228862945455</c:v>
                </c:pt>
                <c:pt idx="21">
                  <c:v>1.7120471848774823</c:v>
                </c:pt>
                <c:pt idx="22">
                  <c:v>-1.1306554681072321</c:v>
                </c:pt>
                <c:pt idx="23">
                  <c:v>-1.1378911865492469</c:v>
                </c:pt>
                <c:pt idx="24">
                  <c:v>8.7056909196960977</c:v>
                </c:pt>
                <c:pt idx="25">
                  <c:v>-9.2859963821849902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6FC9-4190-A82C-A7B3F7C4586D}"/>
            </c:ext>
          </c:extLst>
        </c:ser>
        <c:ser>
          <c:idx val="1"/>
          <c:order val="1"/>
          <c:tx>
            <c:strRef>
              <c:f>'RD F1'!$Q$5</c:f>
              <c:strCache>
                <c:ptCount val="1"/>
                <c:pt idx="0">
                  <c:v>Total Requirement</c:v>
                </c:pt>
              </c:strCache>
            </c:strRef>
          </c:tx>
          <c:spPr>
            <a:solidFill>
              <a:srgbClr val="FFFF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numFmt formatCode="#,##0" sourceLinked="0"/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7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'RD F1'!$O$37:$O$62</c:f>
              <c:strCache>
                <c:ptCount val="26"/>
                <c:pt idx="0">
                  <c:v>11 Corporate managers and directors</c:v>
                </c:pt>
                <c:pt idx="1">
                  <c:v>12 Other managers and proprietors</c:v>
                </c:pt>
                <c:pt idx="2">
                  <c:v>21 Science, research, engineering and technology professionals</c:v>
                </c:pt>
                <c:pt idx="3">
                  <c:v>22 Health professionals</c:v>
                </c:pt>
                <c:pt idx="4">
                  <c:v>23 Teaching and other educational professionals</c:v>
                </c:pt>
                <c:pt idx="5">
                  <c:v>24 Business, media and public service professionals</c:v>
                </c:pt>
                <c:pt idx="6">
                  <c:v>31 Science, engineering and technology associate professionals</c:v>
                </c:pt>
                <c:pt idx="7">
                  <c:v>32 Health and social care associate professionals</c:v>
                </c:pt>
                <c:pt idx="8">
                  <c:v>33 Protective service occupations</c:v>
                </c:pt>
                <c:pt idx="9">
                  <c:v>34 Culture, media and sports occupations</c:v>
                </c:pt>
                <c:pt idx="10">
                  <c:v>35 Business and public service associate professionals</c:v>
                </c:pt>
                <c:pt idx="11">
                  <c:v>41 Administrative occupations</c:v>
                </c:pt>
                <c:pt idx="12">
                  <c:v>42 Secretarial and related occupations</c:v>
                </c:pt>
                <c:pt idx="13">
                  <c:v>51 Skilled agricultural and related trades</c:v>
                </c:pt>
                <c:pt idx="14">
                  <c:v>52 Skilled metal, electrical and electronic trades</c:v>
                </c:pt>
                <c:pt idx="15">
                  <c:v>53 Skilled construction and building trades</c:v>
                </c:pt>
                <c:pt idx="16">
                  <c:v>54 Textiles, printing and other skilled trades</c:v>
                </c:pt>
                <c:pt idx="17">
                  <c:v>61 Caring personal service occupations</c:v>
                </c:pt>
                <c:pt idx="18">
                  <c:v>62 Leisure, travel and related personal service occupations</c:v>
                </c:pt>
                <c:pt idx="19">
                  <c:v>63 Community and civil enforcement occupations</c:v>
                </c:pt>
                <c:pt idx="20">
                  <c:v>71 Sales occupations</c:v>
                </c:pt>
                <c:pt idx="21">
                  <c:v>72 Customer service occupations</c:v>
                </c:pt>
                <c:pt idx="22">
                  <c:v>81 Process, plant and machine operatives</c:v>
                </c:pt>
                <c:pt idx="23">
                  <c:v>82 Transport and mobile machine drivers and operatives</c:v>
                </c:pt>
                <c:pt idx="24">
                  <c:v>91 Elementary trades and related occupations</c:v>
                </c:pt>
                <c:pt idx="25">
                  <c:v>92 Elementary administration and service occupations</c:v>
                </c:pt>
              </c:strCache>
            </c:strRef>
          </c:cat>
          <c:val>
            <c:numRef>
              <c:f>'RD F1'!$Q$37:$Q$62</c:f>
              <c:numCache>
                <c:formatCode>#,##0</c:formatCode>
                <c:ptCount val="26"/>
                <c:pt idx="0">
                  <c:v>15.874129639220463</c:v>
                </c:pt>
                <c:pt idx="1">
                  <c:v>12.443309250090763</c:v>
                </c:pt>
                <c:pt idx="2">
                  <c:v>24.461021465265205</c:v>
                </c:pt>
                <c:pt idx="3">
                  <c:v>12.592021938011236</c:v>
                </c:pt>
                <c:pt idx="4">
                  <c:v>7.9888539887299377</c:v>
                </c:pt>
                <c:pt idx="5">
                  <c:v>20.718660319876079</c:v>
                </c:pt>
                <c:pt idx="6">
                  <c:v>3.8241574758025783</c:v>
                </c:pt>
                <c:pt idx="7">
                  <c:v>17.439248724971392</c:v>
                </c:pt>
                <c:pt idx="8">
                  <c:v>1.1487963395088319</c:v>
                </c:pt>
                <c:pt idx="9">
                  <c:v>1.9482153523382268</c:v>
                </c:pt>
                <c:pt idx="10">
                  <c:v>14.538668022879419</c:v>
                </c:pt>
                <c:pt idx="11">
                  <c:v>21.088994006103967</c:v>
                </c:pt>
                <c:pt idx="12">
                  <c:v>1.3373321432732288</c:v>
                </c:pt>
                <c:pt idx="13">
                  <c:v>4.3542064508781193</c:v>
                </c:pt>
                <c:pt idx="14">
                  <c:v>4.6268767766520558</c:v>
                </c:pt>
                <c:pt idx="15">
                  <c:v>2.2484306670683853</c:v>
                </c:pt>
                <c:pt idx="16">
                  <c:v>3.0175378521842742</c:v>
                </c:pt>
                <c:pt idx="17">
                  <c:v>29.919980207305876</c:v>
                </c:pt>
                <c:pt idx="18">
                  <c:v>5.1271998357619113</c:v>
                </c:pt>
                <c:pt idx="19">
                  <c:v>0.12399433659728687</c:v>
                </c:pt>
                <c:pt idx="20">
                  <c:v>13.713412141986909</c:v>
                </c:pt>
                <c:pt idx="21">
                  <c:v>5.9456244096732664</c:v>
                </c:pt>
                <c:pt idx="22">
                  <c:v>6.8258529098488392</c:v>
                </c:pt>
                <c:pt idx="23">
                  <c:v>9.8498086781700245</c:v>
                </c:pt>
                <c:pt idx="24">
                  <c:v>17.133047996881508</c:v>
                </c:pt>
                <c:pt idx="25">
                  <c:v>9.3149700958709722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6FC9-4190-A82C-A7B3F7C4586D}"/>
            </c:ext>
          </c:extLst>
        </c:ser>
        <c:dLbls>
          <c:showLegendKey val="0"/>
          <c:showVal val="1"/>
          <c:showCatName val="0"/>
          <c:showSerName val="0"/>
          <c:showPercent val="0"/>
          <c:showBubbleSize val="0"/>
        </c:dLbls>
        <c:gapWidth val="60"/>
        <c:axId val="313683184"/>
        <c:axId val="313683576"/>
      </c:barChart>
      <c:catAx>
        <c:axId val="313683184"/>
        <c:scaling>
          <c:orientation val="maxMin"/>
        </c:scaling>
        <c:delete val="0"/>
        <c:axPos val="l"/>
        <c:numFmt formatCode="General" sourceLinked="1"/>
        <c:majorTickMark val="cross"/>
        <c:minorTickMark val="none"/>
        <c:tickLblPos val="low"/>
        <c:spPr>
          <a:ln w="12700">
            <a:solidFill>
              <a:srgbClr val="333333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13683576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313683576"/>
        <c:scaling>
          <c:orientation val="minMax"/>
        </c:scaling>
        <c:delete val="0"/>
        <c:axPos val="b"/>
        <c:numFmt formatCode="#,##0" sourceLinked="1"/>
        <c:majorTickMark val="out"/>
        <c:minorTickMark val="none"/>
        <c:tickLblPos val="nextTo"/>
        <c:spPr>
          <a:ln w="12700">
            <a:solidFill>
              <a:srgbClr val="333333"/>
            </a:solidFill>
            <a:prstDash val="solid"/>
          </a:ln>
        </c:spPr>
        <c:txPr>
          <a:bodyPr rot="0" vert="horz"/>
          <a:lstStyle/>
          <a:p>
            <a:pPr>
              <a:defRPr sz="9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13683184"/>
        <c:crosses val="max"/>
        <c:crossBetween val="between"/>
      </c:valAx>
      <c:spPr>
        <a:solidFill>
          <a:srgbClr val="FFFFFF"/>
        </a:solidFill>
        <a:ln w="25400">
          <a:noFill/>
        </a:ln>
      </c:spPr>
    </c:plotArea>
    <c:legend>
      <c:legendPos val="b"/>
      <c:layout>
        <c:manualLayout>
          <c:xMode val="edge"/>
          <c:yMode val="edge"/>
          <c:x val="0.21775285466260869"/>
          <c:y val="0.9476861167002012"/>
          <c:w val="0.55287045856034256"/>
          <c:h val="4.0241448692150461E-2"/>
        </c:manualLayout>
      </c:layout>
      <c:overlay val="0"/>
      <c:spPr>
        <a:noFill/>
        <a:ln w="25400">
          <a:noFill/>
        </a:ln>
      </c:spPr>
      <c:txPr>
        <a:bodyPr/>
        <a:lstStyle/>
        <a:p>
          <a:pPr>
            <a:defRPr sz="1000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rgbClr val="FFFFFF"/>
    </a:solidFill>
    <a:ln w="12700">
      <a:solidFill>
        <a:srgbClr val="000000"/>
      </a:solidFill>
      <a:prstDash val="solid"/>
    </a:ln>
  </c:spPr>
  <c:txPr>
    <a:bodyPr/>
    <a:lstStyle/>
    <a:p>
      <a:pPr>
        <a:defRPr sz="12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000000000001465" r="0.75000000000001465" t="1" header="0.5" footer="0.5"/>
    <c:pageSetup paperSize="9" orientation="landscape"/>
  </c:printSettings>
  <c:userShapes r:id="rId1"/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7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8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2.xml.rels><?xml version="1.0" encoding="UTF-8" standalone="yes"?>
<Relationships xmlns="http://schemas.openxmlformats.org/package/2006/relationships"><Relationship Id="rId2" Type="http://schemas.openxmlformats.org/officeDocument/2006/relationships/image" Target="../media/image3.png"/><Relationship Id="rId1" Type="http://schemas.openxmlformats.org/officeDocument/2006/relationships/hyperlink" Target="#Contents!A1"/></Relationships>
</file>

<file path=xl/drawings/_rels/drawing3.xml.rels><?xml version="1.0" encoding="UTF-8" standalone="yes"?>
<Relationships xmlns="http://schemas.openxmlformats.org/package/2006/relationships"><Relationship Id="rId2" Type="http://schemas.openxmlformats.org/officeDocument/2006/relationships/image" Target="../media/image3.png"/><Relationship Id="rId1" Type="http://schemas.openxmlformats.org/officeDocument/2006/relationships/hyperlink" Target="#Contents!A1"/></Relationships>
</file>

<file path=xl/drawings/_rels/drawing4.xml.rels><?xml version="1.0" encoding="UTF-8" standalone="yes"?>
<Relationships xmlns="http://schemas.openxmlformats.org/package/2006/relationships"><Relationship Id="rId2" Type="http://schemas.openxmlformats.org/officeDocument/2006/relationships/image" Target="../media/image3.png"/><Relationship Id="rId1" Type="http://schemas.openxmlformats.org/officeDocument/2006/relationships/hyperlink" Target="#Contents!A1"/></Relationships>
</file>

<file path=xl/drawings/_rels/drawing5.xml.rels><?xml version="1.0" encoding="UTF-8" standalone="yes"?>
<Relationships xmlns="http://schemas.openxmlformats.org/package/2006/relationships"><Relationship Id="rId2" Type="http://schemas.openxmlformats.org/officeDocument/2006/relationships/image" Target="../media/image3.png"/><Relationship Id="rId1" Type="http://schemas.openxmlformats.org/officeDocument/2006/relationships/hyperlink" Target="#Contents!A1"/></Relationships>
</file>

<file path=xl/drawings/_rels/drawing6.xml.rels><?xml version="1.0" encoding="UTF-8" standalone="yes"?>
<Relationships xmlns="http://schemas.openxmlformats.org/package/2006/relationships"><Relationship Id="rId2" Type="http://schemas.openxmlformats.org/officeDocument/2006/relationships/image" Target="../media/image3.png"/><Relationship Id="rId1" Type="http://schemas.openxmlformats.org/officeDocument/2006/relationships/hyperlink" Target="#Contents!A1"/></Relationships>
</file>

<file path=xl/drawings/_rels/drawing7.xml.rels><?xml version="1.0" encoding="UTF-8" standalone="yes"?>
<Relationships xmlns="http://schemas.openxmlformats.org/package/2006/relationships"><Relationship Id="rId2" Type="http://schemas.openxmlformats.org/officeDocument/2006/relationships/image" Target="../media/image3.png"/><Relationship Id="rId1" Type="http://schemas.openxmlformats.org/officeDocument/2006/relationships/hyperlink" Target="#Contents!A1"/></Relationships>
</file>

<file path=xl/drawings/_rels/drawing8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png"/><Relationship Id="rId2" Type="http://schemas.openxmlformats.org/officeDocument/2006/relationships/hyperlink" Target="#Contents!A1"/><Relationship Id="rId1" Type="http://schemas.openxmlformats.org/officeDocument/2006/relationships/chart" Target="../charts/chart1.xml"/></Relationships>
</file>

<file path=xl/drawings/_rels/drawing9.xml.rels><?xml version="1.0" encoding="UTF-8" standalone="yes"?>
<Relationships xmlns="http://schemas.openxmlformats.org/package/2006/relationships"><Relationship Id="rId8" Type="http://schemas.openxmlformats.org/officeDocument/2006/relationships/chart" Target="../charts/chart9.xml"/><Relationship Id="rId3" Type="http://schemas.openxmlformats.org/officeDocument/2006/relationships/chart" Target="../charts/chart4.xml"/><Relationship Id="rId7" Type="http://schemas.openxmlformats.org/officeDocument/2006/relationships/chart" Target="../charts/chart8.xml"/><Relationship Id="rId2" Type="http://schemas.openxmlformats.org/officeDocument/2006/relationships/chart" Target="../charts/chart3.xml"/><Relationship Id="rId1" Type="http://schemas.openxmlformats.org/officeDocument/2006/relationships/chart" Target="../charts/chart2.xml"/><Relationship Id="rId6" Type="http://schemas.openxmlformats.org/officeDocument/2006/relationships/chart" Target="../charts/chart7.xml"/><Relationship Id="rId11" Type="http://schemas.openxmlformats.org/officeDocument/2006/relationships/image" Target="../media/image3.png"/><Relationship Id="rId5" Type="http://schemas.openxmlformats.org/officeDocument/2006/relationships/chart" Target="../charts/chart6.xml"/><Relationship Id="rId10" Type="http://schemas.openxmlformats.org/officeDocument/2006/relationships/hyperlink" Target="#Contents!A1"/><Relationship Id="rId4" Type="http://schemas.openxmlformats.org/officeDocument/2006/relationships/chart" Target="../charts/chart5.xml"/><Relationship Id="rId9" Type="http://schemas.openxmlformats.org/officeDocument/2006/relationships/chart" Target="../charts/chart10.xml"/></Relationships>
</file>

<file path=xl/drawings/_rels/drawing10.xml.rels><?xml version="1.0" encoding="UTF-8" standalone="yes"?>
<Relationships xmlns="http://schemas.openxmlformats.org/package/2006/relationships"><Relationship Id="rId2" Type="http://schemas.openxmlformats.org/officeDocument/2006/relationships/image" Target="../media/image3.png"/><Relationship Id="rId1" Type="http://schemas.openxmlformats.org/officeDocument/2006/relationships/hyperlink" Target="#Contents!A1"/></Relationships>
</file>

<file path=xl/drawings/_rels/drawing11.xml.rels><?xml version="1.0" encoding="UTF-8" standalone="yes"?>
<Relationships xmlns="http://schemas.openxmlformats.org/package/2006/relationships"><Relationship Id="rId2" Type="http://schemas.openxmlformats.org/officeDocument/2006/relationships/image" Target="../media/image3.png"/><Relationship Id="rId1" Type="http://schemas.openxmlformats.org/officeDocument/2006/relationships/hyperlink" Target="#Contents!A1"/></Relationships>
</file>

<file path=xl/drawings/_rels/drawing12.xml.rels><?xml version="1.0" encoding="UTF-8" standalone="yes"?>
<Relationships xmlns="http://schemas.openxmlformats.org/package/2006/relationships"><Relationship Id="rId2" Type="http://schemas.openxmlformats.org/officeDocument/2006/relationships/image" Target="../media/image3.png"/><Relationship Id="rId1" Type="http://schemas.openxmlformats.org/officeDocument/2006/relationships/hyperlink" Target="#Contents!A1"/></Relationships>
</file>

<file path=xl/drawings/_rels/drawing13.xml.rels><?xml version="1.0" encoding="UTF-8" standalone="yes"?>
<Relationships xmlns="http://schemas.openxmlformats.org/package/2006/relationships"><Relationship Id="rId2" Type="http://schemas.openxmlformats.org/officeDocument/2006/relationships/image" Target="../media/image3.png"/><Relationship Id="rId1" Type="http://schemas.openxmlformats.org/officeDocument/2006/relationships/hyperlink" Target="#Contents!A1"/></Relationships>
</file>

<file path=xl/drawings/_rels/drawing14.xml.rels><?xml version="1.0" encoding="UTF-8" standalone="yes"?>
<Relationships xmlns="http://schemas.openxmlformats.org/package/2006/relationships"><Relationship Id="rId2" Type="http://schemas.openxmlformats.org/officeDocument/2006/relationships/image" Target="../media/image3.png"/><Relationship Id="rId1" Type="http://schemas.openxmlformats.org/officeDocument/2006/relationships/hyperlink" Target="#Contents!A1"/></Relationships>
</file>

<file path=xl/drawings/_rels/drawing15.xml.rels><?xml version="1.0" encoding="UTF-8" standalone="yes"?>
<Relationships xmlns="http://schemas.openxmlformats.org/package/2006/relationships"><Relationship Id="rId2" Type="http://schemas.openxmlformats.org/officeDocument/2006/relationships/image" Target="../media/image3.png"/><Relationship Id="rId1" Type="http://schemas.openxmlformats.org/officeDocument/2006/relationships/hyperlink" Target="#Contents!A1"/></Relationships>
</file>

<file path=xl/drawings/_rels/drawing16.xml.rels><?xml version="1.0" encoding="UTF-8" standalone="yes"?>
<Relationships xmlns="http://schemas.openxmlformats.org/package/2006/relationships"><Relationship Id="rId2" Type="http://schemas.openxmlformats.org/officeDocument/2006/relationships/image" Target="../media/image3.png"/><Relationship Id="rId1" Type="http://schemas.openxmlformats.org/officeDocument/2006/relationships/hyperlink" Target="#Contents!A1"/></Relationships>
</file>

<file path=xl/drawings/_rels/drawing17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png"/><Relationship Id="rId2" Type="http://schemas.openxmlformats.org/officeDocument/2006/relationships/hyperlink" Target="#Contents!A1"/><Relationship Id="rId1" Type="http://schemas.openxmlformats.org/officeDocument/2006/relationships/chart" Target="../charts/chart11.xml"/><Relationship Id="rId5" Type="http://schemas.openxmlformats.org/officeDocument/2006/relationships/chart" Target="../charts/chart13.xml"/><Relationship Id="rId4" Type="http://schemas.openxmlformats.org/officeDocument/2006/relationships/chart" Target="../charts/chart12.xml"/></Relationships>
</file>

<file path=xl/drawings/_rels/drawing18.xml.rels><?xml version="1.0" encoding="UTF-8" standalone="yes"?>
<Relationships xmlns="http://schemas.openxmlformats.org/package/2006/relationships"><Relationship Id="rId8" Type="http://schemas.openxmlformats.org/officeDocument/2006/relationships/chart" Target="../charts/chart21.xml"/><Relationship Id="rId13" Type="http://schemas.openxmlformats.org/officeDocument/2006/relationships/chart" Target="../charts/chart26.xml"/><Relationship Id="rId3" Type="http://schemas.openxmlformats.org/officeDocument/2006/relationships/chart" Target="../charts/chart16.xml"/><Relationship Id="rId7" Type="http://schemas.openxmlformats.org/officeDocument/2006/relationships/chart" Target="../charts/chart20.xml"/><Relationship Id="rId12" Type="http://schemas.openxmlformats.org/officeDocument/2006/relationships/chart" Target="../charts/chart25.xml"/><Relationship Id="rId2" Type="http://schemas.openxmlformats.org/officeDocument/2006/relationships/chart" Target="../charts/chart15.xml"/><Relationship Id="rId16" Type="http://schemas.openxmlformats.org/officeDocument/2006/relationships/chart" Target="../charts/chart27.xml"/><Relationship Id="rId1" Type="http://schemas.openxmlformats.org/officeDocument/2006/relationships/chart" Target="../charts/chart14.xml"/><Relationship Id="rId6" Type="http://schemas.openxmlformats.org/officeDocument/2006/relationships/chart" Target="../charts/chart19.xml"/><Relationship Id="rId11" Type="http://schemas.openxmlformats.org/officeDocument/2006/relationships/chart" Target="../charts/chart24.xml"/><Relationship Id="rId5" Type="http://schemas.openxmlformats.org/officeDocument/2006/relationships/chart" Target="../charts/chart18.xml"/><Relationship Id="rId15" Type="http://schemas.openxmlformats.org/officeDocument/2006/relationships/image" Target="../media/image3.png"/><Relationship Id="rId10" Type="http://schemas.openxmlformats.org/officeDocument/2006/relationships/chart" Target="../charts/chart23.xml"/><Relationship Id="rId4" Type="http://schemas.openxmlformats.org/officeDocument/2006/relationships/chart" Target="../charts/chart17.xml"/><Relationship Id="rId9" Type="http://schemas.openxmlformats.org/officeDocument/2006/relationships/chart" Target="../charts/chart22.xml"/><Relationship Id="rId14" Type="http://schemas.openxmlformats.org/officeDocument/2006/relationships/hyperlink" Target="#Contents!A1"/></Relationships>
</file>

<file path=xl/drawings/_rels/drawing19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0.xml"/><Relationship Id="rId2" Type="http://schemas.openxmlformats.org/officeDocument/2006/relationships/chart" Target="../charts/chart29.xml"/><Relationship Id="rId1" Type="http://schemas.openxmlformats.org/officeDocument/2006/relationships/chart" Target="../charts/chart28.xml"/><Relationship Id="rId6" Type="http://schemas.openxmlformats.org/officeDocument/2006/relationships/image" Target="../media/image3.png"/><Relationship Id="rId5" Type="http://schemas.openxmlformats.org/officeDocument/2006/relationships/hyperlink" Target="#Contents!A1"/><Relationship Id="rId4" Type="http://schemas.openxmlformats.org/officeDocument/2006/relationships/chart" Target="../charts/chart31.xml"/></Relationships>
</file>

<file path=xl/drawings/_rels/drawing20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png"/><Relationship Id="rId2" Type="http://schemas.openxmlformats.org/officeDocument/2006/relationships/hyperlink" Target="#Contents!A1"/><Relationship Id="rId1" Type="http://schemas.openxmlformats.org/officeDocument/2006/relationships/chart" Target="../charts/chart32.xml"/></Relationships>
</file>

<file path=xl/drawings/_rels/drawing21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png"/><Relationship Id="rId2" Type="http://schemas.openxmlformats.org/officeDocument/2006/relationships/hyperlink" Target="#Contents!A1"/><Relationship Id="rId1" Type="http://schemas.openxmlformats.org/officeDocument/2006/relationships/chart" Target="../charts/chart33.xml"/><Relationship Id="rId5" Type="http://schemas.openxmlformats.org/officeDocument/2006/relationships/chart" Target="../charts/chart35.xml"/><Relationship Id="rId4" Type="http://schemas.openxmlformats.org/officeDocument/2006/relationships/chart" Target="../charts/chart34.xml"/></Relationships>
</file>

<file path=xl/drawings/_rels/drawing22.xml.rels><?xml version="1.0" encoding="UTF-8" standalone="yes"?>
<Relationships xmlns="http://schemas.openxmlformats.org/package/2006/relationships"><Relationship Id="rId2" Type="http://schemas.openxmlformats.org/officeDocument/2006/relationships/image" Target="../media/image3.png"/><Relationship Id="rId1" Type="http://schemas.openxmlformats.org/officeDocument/2006/relationships/hyperlink" Target="#Contents!A1"/></Relationships>
</file>

<file path=xl/drawings/_rels/drawing23.xml.rels><?xml version="1.0" encoding="UTF-8" standalone="yes"?>
<Relationships xmlns="http://schemas.openxmlformats.org/package/2006/relationships"><Relationship Id="rId3" Type="http://schemas.openxmlformats.org/officeDocument/2006/relationships/hyperlink" Target="#Contents!A1"/><Relationship Id="rId2" Type="http://schemas.openxmlformats.org/officeDocument/2006/relationships/chart" Target="../charts/chart37.xml"/><Relationship Id="rId1" Type="http://schemas.openxmlformats.org/officeDocument/2006/relationships/chart" Target="../charts/chart36.xml"/><Relationship Id="rId4" Type="http://schemas.openxmlformats.org/officeDocument/2006/relationships/image" Target="../media/image3.png"/></Relationships>
</file>

<file path=xl/drawings/_rels/drawing24.xml.rels><?xml version="1.0" encoding="UTF-8" standalone="yes"?>
<Relationships xmlns="http://schemas.openxmlformats.org/package/2006/relationships"><Relationship Id="rId8" Type="http://schemas.openxmlformats.org/officeDocument/2006/relationships/chart" Target="../charts/chart45.xml"/><Relationship Id="rId13" Type="http://schemas.openxmlformats.org/officeDocument/2006/relationships/chart" Target="../charts/chart48.xml"/><Relationship Id="rId3" Type="http://schemas.openxmlformats.org/officeDocument/2006/relationships/chart" Target="../charts/chart40.xml"/><Relationship Id="rId7" Type="http://schemas.openxmlformats.org/officeDocument/2006/relationships/chart" Target="../charts/chart44.xml"/><Relationship Id="rId12" Type="http://schemas.openxmlformats.org/officeDocument/2006/relationships/chart" Target="../charts/chart47.xml"/><Relationship Id="rId2" Type="http://schemas.openxmlformats.org/officeDocument/2006/relationships/chart" Target="../charts/chart39.xml"/><Relationship Id="rId1" Type="http://schemas.openxmlformats.org/officeDocument/2006/relationships/chart" Target="../charts/chart38.xml"/><Relationship Id="rId6" Type="http://schemas.openxmlformats.org/officeDocument/2006/relationships/chart" Target="../charts/chart43.xml"/><Relationship Id="rId11" Type="http://schemas.openxmlformats.org/officeDocument/2006/relationships/chart" Target="../charts/chart46.xml"/><Relationship Id="rId5" Type="http://schemas.openxmlformats.org/officeDocument/2006/relationships/chart" Target="../charts/chart42.xml"/><Relationship Id="rId10" Type="http://schemas.openxmlformats.org/officeDocument/2006/relationships/image" Target="../media/image3.png"/><Relationship Id="rId4" Type="http://schemas.openxmlformats.org/officeDocument/2006/relationships/chart" Target="../charts/chart41.xml"/><Relationship Id="rId9" Type="http://schemas.openxmlformats.org/officeDocument/2006/relationships/hyperlink" Target="#Contents!A1"/></Relationships>
</file>

<file path=xl/drawings/_rels/drawing25.xml.rels><?xml version="1.0" encoding="UTF-8" standalone="yes"?>
<Relationships xmlns="http://schemas.openxmlformats.org/package/2006/relationships"><Relationship Id="rId2" Type="http://schemas.openxmlformats.org/officeDocument/2006/relationships/image" Target="../media/image3.png"/><Relationship Id="rId1" Type="http://schemas.openxmlformats.org/officeDocument/2006/relationships/hyperlink" Target="#Contents!A1"/></Relationships>
</file>

<file path=xl/drawings/_rels/drawing26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png"/><Relationship Id="rId2" Type="http://schemas.openxmlformats.org/officeDocument/2006/relationships/hyperlink" Target="#Contents!A1"/><Relationship Id="rId1" Type="http://schemas.openxmlformats.org/officeDocument/2006/relationships/chart" Target="../charts/chart49.xml"/><Relationship Id="rId4" Type="http://schemas.openxmlformats.org/officeDocument/2006/relationships/chart" Target="../charts/chart50.xml"/></Relationships>
</file>

<file path=xl/drawings/_rels/drawing29.xml.rels><?xml version="1.0" encoding="UTF-8" standalone="yes"?>
<Relationships xmlns="http://schemas.openxmlformats.org/package/2006/relationships"><Relationship Id="rId2" Type="http://schemas.openxmlformats.org/officeDocument/2006/relationships/image" Target="../media/image3.png"/><Relationship Id="rId1" Type="http://schemas.openxmlformats.org/officeDocument/2006/relationships/hyperlink" Target="#Contents!A1"/></Relationships>
</file>

<file path=xl/drawings/_rels/drawing30.xml.rels><?xml version="1.0" encoding="UTF-8" standalone="yes"?>
<Relationships xmlns="http://schemas.openxmlformats.org/package/2006/relationships"><Relationship Id="rId2" Type="http://schemas.openxmlformats.org/officeDocument/2006/relationships/image" Target="../media/image3.png"/><Relationship Id="rId1" Type="http://schemas.openxmlformats.org/officeDocument/2006/relationships/hyperlink" Target="#Contents!A1"/></Relationships>
</file>

<file path=xl/drawings/_rels/drawing31.xml.rels><?xml version="1.0" encoding="UTF-8" standalone="yes"?>
<Relationships xmlns="http://schemas.openxmlformats.org/package/2006/relationships"><Relationship Id="rId2" Type="http://schemas.openxmlformats.org/officeDocument/2006/relationships/image" Target="../media/image3.png"/><Relationship Id="rId1" Type="http://schemas.openxmlformats.org/officeDocument/2006/relationships/hyperlink" Target="#Contents!A1"/></Relationships>
</file>

<file path=xl/drawings/_rels/vmlDrawing1.vml.rels><?xml version="1.0" encoding="UTF-8" standalone="yes"?>
<Relationships xmlns="http://schemas.openxmlformats.org/package/2006/relationships"><Relationship Id="rId2" Type="http://schemas.openxmlformats.org/officeDocument/2006/relationships/image" Target="../media/image2.emf"/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38100</xdr:colOff>
          <xdr:row>10</xdr:row>
          <xdr:rowOff>95250</xdr:rowOff>
        </xdr:from>
        <xdr:to>
          <xdr:col>7</xdr:col>
          <xdr:colOff>609600</xdr:colOff>
          <xdr:row>12</xdr:row>
          <xdr:rowOff>76200</xdr:rowOff>
        </xdr:to>
        <xdr:sp macro="" textlink="">
          <xdr:nvSpPr>
            <xdr:cNvPr id="1025" name="SummaryTablesA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3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85725</xdr:colOff>
          <xdr:row>6</xdr:row>
          <xdr:rowOff>85725</xdr:rowOff>
        </xdr:from>
        <xdr:to>
          <xdr:col>1</xdr:col>
          <xdr:colOff>657225</xdr:colOff>
          <xdr:row>7</xdr:row>
          <xdr:rowOff>190500</xdr:rowOff>
        </xdr:to>
        <xdr:sp macro="" textlink="">
          <xdr:nvSpPr>
            <xdr:cNvPr id="1029" name="installDataButton" hidden="1">
              <a:extLst>
                <a:ext uri="{63B3BB69-23CF-44E3-9099-C40C66FF867C}">
                  <a14:compatExt spid="_x0000_s1029"/>
                </a:ext>
                <a:ext uri="{FF2B5EF4-FFF2-40B4-BE49-F238E27FC236}">
                  <a16:creationId xmlns:a16="http://schemas.microsoft.com/office/drawing/2014/main" id="{00000000-0008-0000-0300-00000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2609850</xdr:colOff>
      <xdr:row>1</xdr:row>
      <xdr:rowOff>9525</xdr:rowOff>
    </xdr:from>
    <xdr:to>
      <xdr:col>1</xdr:col>
      <xdr:colOff>2771775</xdr:colOff>
      <xdr:row>2</xdr:row>
      <xdr:rowOff>9525</xdr:rowOff>
    </xdr:to>
    <xdr:pic>
      <xdr:nvPicPr>
        <xdr:cNvPr id="2" name="Picture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04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552825" y="200025"/>
          <a:ext cx="161925" cy="161925"/>
        </a:xfrm>
        <a:prstGeom prst="rect">
          <a:avLst/>
        </a:prstGeom>
      </xdr:spPr>
    </xdr:pic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oneCell">
    <xdr:from>
      <xdr:col>20</xdr:col>
      <xdr:colOff>246531</xdr:colOff>
      <xdr:row>0</xdr:row>
      <xdr:rowOff>33618</xdr:rowOff>
    </xdr:from>
    <xdr:to>
      <xdr:col>21</xdr:col>
      <xdr:colOff>9302</xdr:colOff>
      <xdr:row>2</xdr:row>
      <xdr:rowOff>35859</xdr:rowOff>
    </xdr:to>
    <xdr:pic>
      <xdr:nvPicPr>
        <xdr:cNvPr id="2" name="Picture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05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6696766" y="33618"/>
          <a:ext cx="369794" cy="369794"/>
        </a:xfrm>
        <a:prstGeom prst="rect">
          <a:avLst/>
        </a:prstGeom>
      </xdr:spPr>
    </xdr:pic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 editAs="oneCell">
    <xdr:from>
      <xdr:col>9</xdr:col>
      <xdr:colOff>179296</xdr:colOff>
      <xdr:row>0</xdr:row>
      <xdr:rowOff>22412</xdr:rowOff>
    </xdr:from>
    <xdr:to>
      <xdr:col>9</xdr:col>
      <xdr:colOff>552900</xdr:colOff>
      <xdr:row>2</xdr:row>
      <xdr:rowOff>33618</xdr:rowOff>
    </xdr:to>
    <xdr:pic>
      <xdr:nvPicPr>
        <xdr:cNvPr id="2" name="Picture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06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597590" y="22412"/>
          <a:ext cx="369794" cy="369794"/>
        </a:xfrm>
        <a:prstGeom prst="rect">
          <a:avLst/>
        </a:prstGeom>
      </xdr:spPr>
    </xdr:pic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 editAs="oneCell">
    <xdr:from>
      <xdr:col>12</xdr:col>
      <xdr:colOff>235323</xdr:colOff>
      <xdr:row>0</xdr:row>
      <xdr:rowOff>0</xdr:rowOff>
    </xdr:from>
    <xdr:to>
      <xdr:col>12</xdr:col>
      <xdr:colOff>605154</xdr:colOff>
      <xdr:row>2</xdr:row>
      <xdr:rowOff>9301</xdr:rowOff>
    </xdr:to>
    <xdr:pic>
      <xdr:nvPicPr>
        <xdr:cNvPr id="2" name="Picture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07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0242176" y="0"/>
          <a:ext cx="369794" cy="369794"/>
        </a:xfrm>
        <a:prstGeom prst="rect">
          <a:avLst/>
        </a:prstGeom>
      </xdr:spPr>
    </xdr:pic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112060</xdr:colOff>
      <xdr:row>0</xdr:row>
      <xdr:rowOff>33618</xdr:rowOff>
    </xdr:from>
    <xdr:to>
      <xdr:col>14</xdr:col>
      <xdr:colOff>483796</xdr:colOff>
      <xdr:row>2</xdr:row>
      <xdr:rowOff>42919</xdr:rowOff>
    </xdr:to>
    <xdr:pic>
      <xdr:nvPicPr>
        <xdr:cNvPr id="2" name="Picture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08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312089" y="33618"/>
          <a:ext cx="367926" cy="369794"/>
        </a:xfrm>
        <a:prstGeom prst="rect">
          <a:avLst/>
        </a:prstGeom>
      </xdr:spPr>
    </xdr:pic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 editAs="oneCell">
    <xdr:from>
      <xdr:col>25</xdr:col>
      <xdr:colOff>89647</xdr:colOff>
      <xdr:row>0</xdr:row>
      <xdr:rowOff>56029</xdr:rowOff>
    </xdr:from>
    <xdr:to>
      <xdr:col>25</xdr:col>
      <xdr:colOff>457573</xdr:colOff>
      <xdr:row>2</xdr:row>
      <xdr:rowOff>69140</xdr:rowOff>
    </xdr:to>
    <xdr:pic>
      <xdr:nvPicPr>
        <xdr:cNvPr id="2" name="Picture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09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2752294" y="56029"/>
          <a:ext cx="367926" cy="369794"/>
        </a:xfrm>
        <a:prstGeom prst="rect">
          <a:avLst/>
        </a:prstGeom>
      </xdr:spPr>
    </xdr:pic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1</xdr:row>
      <xdr:rowOff>149860</xdr:rowOff>
    </xdr:from>
    <xdr:to>
      <xdr:col>9</xdr:col>
      <xdr:colOff>990600</xdr:colOff>
      <xdr:row>62</xdr:row>
      <xdr:rowOff>25400</xdr:rowOff>
    </xdr:to>
    <xdr:graphicFrame macro="">
      <xdr:nvGraphicFramePr>
        <xdr:cNvPr id="2051" name="Chart 3">
          <a:extLst>
            <a:ext uri="{FF2B5EF4-FFF2-40B4-BE49-F238E27FC236}">
              <a16:creationId xmlns:a16="http://schemas.microsoft.com/office/drawing/2014/main" id="{00000000-0008-0000-0A00-00000308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13</xdr:col>
      <xdr:colOff>266700</xdr:colOff>
      <xdr:row>0</xdr:row>
      <xdr:rowOff>0</xdr:rowOff>
    </xdr:from>
    <xdr:to>
      <xdr:col>13</xdr:col>
      <xdr:colOff>638399</xdr:colOff>
      <xdr:row>2</xdr:row>
      <xdr:rowOff>1494</xdr:rowOff>
    </xdr:to>
    <xdr:pic>
      <xdr:nvPicPr>
        <xdr:cNvPr id="3" name="Picture 2">
          <a:hlinkClick xmlns:r="http://schemas.openxmlformats.org/officeDocument/2006/relationships" r:id="rId2"/>
          <a:extLst>
            <a:ext uri="{FF2B5EF4-FFF2-40B4-BE49-F238E27FC236}">
              <a16:creationId xmlns:a16="http://schemas.microsoft.com/office/drawing/2014/main" id="{00000000-0008-0000-0A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0160000" y="0"/>
          <a:ext cx="369794" cy="369794"/>
        </a:xfrm>
        <a:prstGeom prst="rect">
          <a:avLst/>
        </a:prstGeom>
      </xdr:spPr>
    </xdr:pic>
    <xdr:clientData/>
  </xdr:twoCellAnchor>
</xdr:wsDr>
</file>

<file path=xl/drawings/drawing9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9525</xdr:colOff>
      <xdr:row>47</xdr:row>
      <xdr:rowOff>28575</xdr:rowOff>
    </xdr:from>
    <xdr:to>
      <xdr:col>9</xdr:col>
      <xdr:colOff>38100</xdr:colOff>
      <xdr:row>75</xdr:row>
      <xdr:rowOff>38100</xdr:rowOff>
    </xdr:to>
    <xdr:graphicFrame macro="">
      <xdr:nvGraphicFramePr>
        <xdr:cNvPr id="3082" name="Sector 1">
          <a:extLst>
            <a:ext uri="{FF2B5EF4-FFF2-40B4-BE49-F238E27FC236}">
              <a16:creationId xmlns:a16="http://schemas.microsoft.com/office/drawing/2014/main" id="{00000000-0008-0000-0B00-00000A0C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0</xdr:col>
      <xdr:colOff>9525</xdr:colOff>
      <xdr:row>77</xdr:row>
      <xdr:rowOff>28575</xdr:rowOff>
    </xdr:from>
    <xdr:to>
      <xdr:col>9</xdr:col>
      <xdr:colOff>38100</xdr:colOff>
      <xdr:row>105</xdr:row>
      <xdr:rowOff>47625</xdr:rowOff>
    </xdr:to>
    <xdr:graphicFrame macro="">
      <xdr:nvGraphicFramePr>
        <xdr:cNvPr id="3083" name="Sector 2">
          <a:extLst>
            <a:ext uri="{FF2B5EF4-FFF2-40B4-BE49-F238E27FC236}">
              <a16:creationId xmlns:a16="http://schemas.microsoft.com/office/drawing/2014/main" id="{00000000-0008-0000-0B00-00000B0C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0</xdr:col>
      <xdr:colOff>28575</xdr:colOff>
      <xdr:row>107</xdr:row>
      <xdr:rowOff>9525</xdr:rowOff>
    </xdr:from>
    <xdr:to>
      <xdr:col>9</xdr:col>
      <xdr:colOff>57150</xdr:colOff>
      <xdr:row>135</xdr:row>
      <xdr:rowOff>28575</xdr:rowOff>
    </xdr:to>
    <xdr:graphicFrame macro="">
      <xdr:nvGraphicFramePr>
        <xdr:cNvPr id="3084" name="Sector 3">
          <a:extLst>
            <a:ext uri="{FF2B5EF4-FFF2-40B4-BE49-F238E27FC236}">
              <a16:creationId xmlns:a16="http://schemas.microsoft.com/office/drawing/2014/main" id="{00000000-0008-0000-0B00-00000C0C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0</xdr:col>
      <xdr:colOff>28575</xdr:colOff>
      <xdr:row>137</xdr:row>
      <xdr:rowOff>28575</xdr:rowOff>
    </xdr:from>
    <xdr:to>
      <xdr:col>9</xdr:col>
      <xdr:colOff>28575</xdr:colOff>
      <xdr:row>165</xdr:row>
      <xdr:rowOff>47625</xdr:rowOff>
    </xdr:to>
    <xdr:graphicFrame macro="">
      <xdr:nvGraphicFramePr>
        <xdr:cNvPr id="3085" name="Sector 4">
          <a:extLst>
            <a:ext uri="{FF2B5EF4-FFF2-40B4-BE49-F238E27FC236}">
              <a16:creationId xmlns:a16="http://schemas.microsoft.com/office/drawing/2014/main" id="{00000000-0008-0000-0B00-00000D0C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0</xdr:col>
      <xdr:colOff>0</xdr:colOff>
      <xdr:row>167</xdr:row>
      <xdr:rowOff>9525</xdr:rowOff>
    </xdr:from>
    <xdr:to>
      <xdr:col>9</xdr:col>
      <xdr:colOff>28575</xdr:colOff>
      <xdr:row>195</xdr:row>
      <xdr:rowOff>19050</xdr:rowOff>
    </xdr:to>
    <xdr:graphicFrame macro="">
      <xdr:nvGraphicFramePr>
        <xdr:cNvPr id="3086" name="Sector 5">
          <a:extLst>
            <a:ext uri="{FF2B5EF4-FFF2-40B4-BE49-F238E27FC236}">
              <a16:creationId xmlns:a16="http://schemas.microsoft.com/office/drawing/2014/main" id="{00000000-0008-0000-0B00-00000E0C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0</xdr:col>
      <xdr:colOff>0</xdr:colOff>
      <xdr:row>197</xdr:row>
      <xdr:rowOff>0</xdr:rowOff>
    </xdr:from>
    <xdr:to>
      <xdr:col>9</xdr:col>
      <xdr:colOff>28575</xdr:colOff>
      <xdr:row>225</xdr:row>
      <xdr:rowOff>28575</xdr:rowOff>
    </xdr:to>
    <xdr:graphicFrame macro="">
      <xdr:nvGraphicFramePr>
        <xdr:cNvPr id="3087" name="Sector 6">
          <a:extLst>
            <a:ext uri="{FF2B5EF4-FFF2-40B4-BE49-F238E27FC236}">
              <a16:creationId xmlns:a16="http://schemas.microsoft.com/office/drawing/2014/main" id="{00000000-0008-0000-0B00-00000F0C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0</xdr:col>
      <xdr:colOff>0</xdr:colOff>
      <xdr:row>2</xdr:row>
      <xdr:rowOff>17780</xdr:rowOff>
    </xdr:from>
    <xdr:to>
      <xdr:col>9</xdr:col>
      <xdr:colOff>30480</xdr:colOff>
      <xdr:row>45</xdr:row>
      <xdr:rowOff>17780</xdr:rowOff>
    </xdr:to>
    <xdr:graphicFrame macro="">
      <xdr:nvGraphicFramePr>
        <xdr:cNvPr id="3088" name="Sector 7">
          <a:extLst>
            <a:ext uri="{FF2B5EF4-FFF2-40B4-BE49-F238E27FC236}">
              <a16:creationId xmlns:a16="http://schemas.microsoft.com/office/drawing/2014/main" id="{00000000-0008-0000-0B00-0000100C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>
    <xdr:from>
      <xdr:col>0</xdr:col>
      <xdr:colOff>38100</xdr:colOff>
      <xdr:row>226</xdr:row>
      <xdr:rowOff>177800</xdr:rowOff>
    </xdr:from>
    <xdr:to>
      <xdr:col>9</xdr:col>
      <xdr:colOff>28575</xdr:colOff>
      <xdr:row>255</xdr:row>
      <xdr:rowOff>22225</xdr:rowOff>
    </xdr:to>
    <xdr:graphicFrame macro="">
      <xdr:nvGraphicFramePr>
        <xdr:cNvPr id="3089" name="Chart 17">
          <a:extLst>
            <a:ext uri="{FF2B5EF4-FFF2-40B4-BE49-F238E27FC236}">
              <a16:creationId xmlns:a16="http://schemas.microsoft.com/office/drawing/2014/main" id="{00000000-0008-0000-0B00-0000110C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  <xdr:twoCellAnchor>
    <xdr:from>
      <xdr:col>0</xdr:col>
      <xdr:colOff>0</xdr:colOff>
      <xdr:row>257</xdr:row>
      <xdr:rowOff>0</xdr:rowOff>
    </xdr:from>
    <xdr:to>
      <xdr:col>8</xdr:col>
      <xdr:colOff>600075</xdr:colOff>
      <xdr:row>285</xdr:row>
      <xdr:rowOff>28575</xdr:rowOff>
    </xdr:to>
    <xdr:graphicFrame macro="">
      <xdr:nvGraphicFramePr>
        <xdr:cNvPr id="3090" name="Chart 18">
          <a:extLst>
            <a:ext uri="{FF2B5EF4-FFF2-40B4-BE49-F238E27FC236}">
              <a16:creationId xmlns:a16="http://schemas.microsoft.com/office/drawing/2014/main" id="{00000000-0008-0000-0B00-0000120C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9"/>
        </a:graphicData>
      </a:graphic>
    </xdr:graphicFrame>
    <xdr:clientData/>
  </xdr:twoCellAnchor>
  <xdr:twoCellAnchor editAs="oneCell">
    <xdr:from>
      <xdr:col>10</xdr:col>
      <xdr:colOff>1231900</xdr:colOff>
      <xdr:row>0</xdr:row>
      <xdr:rowOff>38100</xdr:rowOff>
    </xdr:from>
    <xdr:to>
      <xdr:col>10</xdr:col>
      <xdr:colOff>1601694</xdr:colOff>
      <xdr:row>2</xdr:row>
      <xdr:rowOff>39594</xdr:rowOff>
    </xdr:to>
    <xdr:pic>
      <xdr:nvPicPr>
        <xdr:cNvPr id="11" name="Picture 10">
          <a:hlinkClick xmlns:r="http://schemas.openxmlformats.org/officeDocument/2006/relationships" r:id="rId10"/>
          <a:extLst>
            <a:ext uri="{FF2B5EF4-FFF2-40B4-BE49-F238E27FC236}">
              <a16:creationId xmlns:a16="http://schemas.microsoft.com/office/drawing/2014/main" id="{00000000-0008-0000-0B00-00000B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848600" y="38100"/>
          <a:ext cx="369794" cy="369794"/>
        </a:xfrm>
        <a:prstGeom prst="rect">
          <a:avLst/>
        </a:prstGeom>
      </xdr:spPr>
    </xdr:pic>
    <xdr:clientData/>
  </xdr:twoCellAnchor>
</xdr:wsDr>
</file>

<file path=xl/drawings/drawing10.xml><?xml version="1.0" encoding="utf-8"?>
<xdr:wsDr xmlns:xdr="http://schemas.openxmlformats.org/drawingml/2006/spreadsheetDrawing" xmlns:a="http://schemas.openxmlformats.org/drawingml/2006/main">
  <xdr:twoCellAnchor editAs="oneCell">
    <xdr:from>
      <xdr:col>16</xdr:col>
      <xdr:colOff>235323</xdr:colOff>
      <xdr:row>0</xdr:row>
      <xdr:rowOff>0</xdr:rowOff>
    </xdr:from>
    <xdr:to>
      <xdr:col>17</xdr:col>
      <xdr:colOff>36</xdr:colOff>
      <xdr:row>2</xdr:row>
      <xdr:rowOff>9301</xdr:rowOff>
    </xdr:to>
    <xdr:pic>
      <xdr:nvPicPr>
        <xdr:cNvPr id="2" name="Picture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0C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054352" y="0"/>
          <a:ext cx="367926" cy="369794"/>
        </a:xfrm>
        <a:prstGeom prst="rect">
          <a:avLst/>
        </a:prstGeom>
      </xdr:spPr>
    </xdr:pic>
    <xdr:clientData/>
  </xdr:twoCellAnchor>
</xdr:wsDr>
</file>

<file path=xl/drawings/drawing11.xml><?xml version="1.0" encoding="utf-8"?>
<xdr:wsDr xmlns:xdr="http://schemas.openxmlformats.org/drawingml/2006/spreadsheetDrawing" xmlns:a="http://schemas.openxmlformats.org/drawingml/2006/main">
  <xdr:twoCellAnchor editAs="oneCell">
    <xdr:from>
      <xdr:col>19</xdr:col>
      <xdr:colOff>235324</xdr:colOff>
      <xdr:row>0</xdr:row>
      <xdr:rowOff>0</xdr:rowOff>
    </xdr:from>
    <xdr:to>
      <xdr:col>20</xdr:col>
      <xdr:colOff>37</xdr:colOff>
      <xdr:row>2</xdr:row>
      <xdr:rowOff>9301</xdr:rowOff>
    </xdr:to>
    <xdr:pic>
      <xdr:nvPicPr>
        <xdr:cNvPr id="2" name="Picture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0D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0197353" y="0"/>
          <a:ext cx="367926" cy="369794"/>
        </a:xfrm>
        <a:prstGeom prst="rect">
          <a:avLst/>
        </a:prstGeom>
      </xdr:spPr>
    </xdr:pic>
    <xdr:clientData/>
  </xdr:twoCellAnchor>
</xdr:wsDr>
</file>

<file path=xl/drawings/drawing12.xml><?xml version="1.0" encoding="utf-8"?>
<xdr:wsDr xmlns:xdr="http://schemas.openxmlformats.org/drawingml/2006/spreadsheetDrawing" xmlns:a="http://schemas.openxmlformats.org/drawingml/2006/main">
  <xdr:twoCellAnchor editAs="oneCell">
    <xdr:from>
      <xdr:col>35</xdr:col>
      <xdr:colOff>224118</xdr:colOff>
      <xdr:row>0</xdr:row>
      <xdr:rowOff>0</xdr:rowOff>
    </xdr:from>
    <xdr:to>
      <xdr:col>35</xdr:col>
      <xdr:colOff>593912</xdr:colOff>
      <xdr:row>2</xdr:row>
      <xdr:rowOff>11206</xdr:rowOff>
    </xdr:to>
    <xdr:pic>
      <xdr:nvPicPr>
        <xdr:cNvPr id="2" name="Picture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0E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1230794" y="0"/>
          <a:ext cx="369794" cy="369794"/>
        </a:xfrm>
        <a:prstGeom prst="rect">
          <a:avLst/>
        </a:prstGeom>
      </xdr:spPr>
    </xdr:pic>
    <xdr:clientData/>
  </xdr:twoCellAnchor>
</xdr:wsDr>
</file>

<file path=xl/drawings/drawing13.xml><?xml version="1.0" encoding="utf-8"?>
<xdr:wsDr xmlns:xdr="http://schemas.openxmlformats.org/drawingml/2006/spreadsheetDrawing" xmlns:a="http://schemas.openxmlformats.org/drawingml/2006/main">
  <xdr:twoCellAnchor editAs="oneCell">
    <xdr:from>
      <xdr:col>33</xdr:col>
      <xdr:colOff>224117</xdr:colOff>
      <xdr:row>0</xdr:row>
      <xdr:rowOff>0</xdr:rowOff>
    </xdr:from>
    <xdr:to>
      <xdr:col>33</xdr:col>
      <xdr:colOff>597721</xdr:colOff>
      <xdr:row>2</xdr:row>
      <xdr:rowOff>9301</xdr:rowOff>
    </xdr:to>
    <xdr:pic>
      <xdr:nvPicPr>
        <xdr:cNvPr id="2" name="Picture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0F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2396205" y="0"/>
          <a:ext cx="369794" cy="369794"/>
        </a:xfrm>
        <a:prstGeom prst="rect">
          <a:avLst/>
        </a:prstGeom>
      </xdr:spPr>
    </xdr:pic>
    <xdr:clientData/>
  </xdr:twoCellAnchor>
</xdr:wsDr>
</file>

<file path=xl/drawings/drawing14.xml><?xml version="1.0" encoding="utf-8"?>
<xdr:wsDr xmlns:xdr="http://schemas.openxmlformats.org/drawingml/2006/spreadsheetDrawing" xmlns:a="http://schemas.openxmlformats.org/drawingml/2006/main">
  <xdr:twoCellAnchor editAs="oneCell">
    <xdr:from>
      <xdr:col>12</xdr:col>
      <xdr:colOff>235323</xdr:colOff>
      <xdr:row>0</xdr:row>
      <xdr:rowOff>0</xdr:rowOff>
    </xdr:from>
    <xdr:to>
      <xdr:col>13</xdr:col>
      <xdr:colOff>1867</xdr:colOff>
      <xdr:row>2</xdr:row>
      <xdr:rowOff>9301</xdr:rowOff>
    </xdr:to>
    <xdr:pic>
      <xdr:nvPicPr>
        <xdr:cNvPr id="2" name="Picture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10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2113558" y="0"/>
          <a:ext cx="369794" cy="369794"/>
        </a:xfrm>
        <a:prstGeom prst="rect">
          <a:avLst/>
        </a:prstGeom>
      </xdr:spPr>
    </xdr:pic>
    <xdr:clientData/>
  </xdr:twoCellAnchor>
</xdr:wsDr>
</file>

<file path=xl/drawings/drawing15.xml><?xml version="1.0" encoding="utf-8"?>
<xdr:wsDr xmlns:xdr="http://schemas.openxmlformats.org/drawingml/2006/spreadsheetDrawing" xmlns:a="http://schemas.openxmlformats.org/drawingml/2006/main">
  <xdr:twoCellAnchor editAs="oneCell">
    <xdr:from>
      <xdr:col>21</xdr:col>
      <xdr:colOff>89647</xdr:colOff>
      <xdr:row>0</xdr:row>
      <xdr:rowOff>56029</xdr:rowOff>
    </xdr:from>
    <xdr:to>
      <xdr:col>21</xdr:col>
      <xdr:colOff>457573</xdr:colOff>
      <xdr:row>2</xdr:row>
      <xdr:rowOff>72950</xdr:rowOff>
    </xdr:to>
    <xdr:pic>
      <xdr:nvPicPr>
        <xdr:cNvPr id="2" name="Picture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11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530853" y="56029"/>
          <a:ext cx="367926" cy="369794"/>
        </a:xfrm>
        <a:prstGeom prst="rect">
          <a:avLst/>
        </a:prstGeom>
      </xdr:spPr>
    </xdr:pic>
    <xdr:clientData/>
  </xdr:twoCellAnchor>
</xdr:wsDr>
</file>

<file path=xl/drawings/drawing16.xml><?xml version="1.0" encoding="utf-8"?>
<xdr:wsDr xmlns:xdr="http://schemas.openxmlformats.org/drawingml/2006/spreadsheetDrawing" xmlns:a="http://schemas.openxmlformats.org/drawingml/2006/main">
  <xdr:twoCellAnchor editAs="oneCell">
    <xdr:from>
      <xdr:col>48</xdr:col>
      <xdr:colOff>224118</xdr:colOff>
      <xdr:row>0</xdr:row>
      <xdr:rowOff>33619</xdr:rowOff>
    </xdr:from>
    <xdr:to>
      <xdr:col>48</xdr:col>
      <xdr:colOff>597722</xdr:colOff>
      <xdr:row>2</xdr:row>
      <xdr:rowOff>42920</xdr:rowOff>
    </xdr:to>
    <xdr:pic>
      <xdr:nvPicPr>
        <xdr:cNvPr id="2" name="Picture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12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6726030" y="33619"/>
          <a:ext cx="369794" cy="369794"/>
        </a:xfrm>
        <a:prstGeom prst="rect">
          <a:avLst/>
        </a:prstGeom>
      </xdr:spPr>
    </xdr:pic>
    <xdr:clientData/>
  </xdr:twoCellAnchor>
</xdr:wsDr>
</file>

<file path=xl/drawings/drawing17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2</xdr:row>
      <xdr:rowOff>12700</xdr:rowOff>
    </xdr:from>
    <xdr:to>
      <xdr:col>9</xdr:col>
      <xdr:colOff>1057275</xdr:colOff>
      <xdr:row>78</xdr:row>
      <xdr:rowOff>79375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13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13</xdr:col>
      <xdr:colOff>279400</xdr:colOff>
      <xdr:row>0</xdr:row>
      <xdr:rowOff>0</xdr:rowOff>
    </xdr:from>
    <xdr:to>
      <xdr:col>13</xdr:col>
      <xdr:colOff>651062</xdr:colOff>
      <xdr:row>2</xdr:row>
      <xdr:rowOff>1494</xdr:rowOff>
    </xdr:to>
    <xdr:pic>
      <xdr:nvPicPr>
        <xdr:cNvPr id="3" name="Picture 2">
          <a:hlinkClick xmlns:r="http://schemas.openxmlformats.org/officeDocument/2006/relationships" r:id="rId2"/>
          <a:extLst>
            <a:ext uri="{FF2B5EF4-FFF2-40B4-BE49-F238E27FC236}">
              <a16:creationId xmlns:a16="http://schemas.microsoft.com/office/drawing/2014/main" id="{00000000-0008-0000-13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811000" y="0"/>
          <a:ext cx="371662" cy="369794"/>
        </a:xfrm>
        <a:prstGeom prst="rect">
          <a:avLst/>
        </a:prstGeom>
      </xdr:spPr>
    </xdr:pic>
    <xdr:clientData/>
  </xdr:twoCellAnchor>
  <xdr:twoCellAnchor>
    <xdr:from>
      <xdr:col>0</xdr:col>
      <xdr:colOff>0</xdr:colOff>
      <xdr:row>80</xdr:row>
      <xdr:rowOff>41276</xdr:rowOff>
    </xdr:from>
    <xdr:to>
      <xdr:col>9</xdr:col>
      <xdr:colOff>1057275</xdr:colOff>
      <xdr:row>147</xdr:row>
      <xdr:rowOff>155576</xdr:rowOff>
    </xdr:to>
    <xdr:graphicFrame macro="">
      <xdr:nvGraphicFramePr>
        <xdr:cNvPr id="4" name="Chart 3">
          <a:extLst>
            <a:ext uri="{FF2B5EF4-FFF2-40B4-BE49-F238E27FC236}">
              <a16:creationId xmlns:a16="http://schemas.microsoft.com/office/drawing/2014/main" id="{00000000-0008-0000-13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0</xdr:col>
      <xdr:colOff>0</xdr:colOff>
      <xdr:row>150</xdr:row>
      <xdr:rowOff>0</xdr:rowOff>
    </xdr:from>
    <xdr:to>
      <xdr:col>9</xdr:col>
      <xdr:colOff>1057275</xdr:colOff>
      <xdr:row>184</xdr:row>
      <xdr:rowOff>101600</xdr:rowOff>
    </xdr:to>
    <xdr:graphicFrame macro="">
      <xdr:nvGraphicFramePr>
        <xdr:cNvPr id="5" name="Chart 4">
          <a:extLst>
            <a:ext uri="{FF2B5EF4-FFF2-40B4-BE49-F238E27FC236}">
              <a16:creationId xmlns:a16="http://schemas.microsoft.com/office/drawing/2014/main" id="{00000000-0008-0000-1300-000005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</xdr:wsDr>
</file>

<file path=xl/drawings/drawing18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9525</xdr:colOff>
      <xdr:row>162</xdr:row>
      <xdr:rowOff>9525</xdr:rowOff>
    </xdr:from>
    <xdr:to>
      <xdr:col>9</xdr:col>
      <xdr:colOff>9525</xdr:colOff>
      <xdr:row>194</xdr:row>
      <xdr:rowOff>57150</xdr:rowOff>
    </xdr:to>
    <xdr:graphicFrame macro="">
      <xdr:nvGraphicFramePr>
        <xdr:cNvPr id="2" name="OccGroup 1">
          <a:extLst>
            <a:ext uri="{FF2B5EF4-FFF2-40B4-BE49-F238E27FC236}">
              <a16:creationId xmlns:a16="http://schemas.microsoft.com/office/drawing/2014/main" id="{00000000-0008-0000-14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0</xdr:col>
      <xdr:colOff>28575</xdr:colOff>
      <xdr:row>196</xdr:row>
      <xdr:rowOff>190500</xdr:rowOff>
    </xdr:from>
    <xdr:to>
      <xdr:col>9</xdr:col>
      <xdr:colOff>9525</xdr:colOff>
      <xdr:row>229</xdr:row>
      <xdr:rowOff>28575</xdr:rowOff>
    </xdr:to>
    <xdr:graphicFrame macro="">
      <xdr:nvGraphicFramePr>
        <xdr:cNvPr id="3" name="OccGroup 2">
          <a:extLst>
            <a:ext uri="{FF2B5EF4-FFF2-40B4-BE49-F238E27FC236}">
              <a16:creationId xmlns:a16="http://schemas.microsoft.com/office/drawing/2014/main" id="{00000000-0008-0000-14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0</xdr:col>
      <xdr:colOff>73025</xdr:colOff>
      <xdr:row>232</xdr:row>
      <xdr:rowOff>50800</xdr:rowOff>
    </xdr:from>
    <xdr:to>
      <xdr:col>9</xdr:col>
      <xdr:colOff>57150</xdr:colOff>
      <xdr:row>264</xdr:row>
      <xdr:rowOff>69850</xdr:rowOff>
    </xdr:to>
    <xdr:graphicFrame macro="">
      <xdr:nvGraphicFramePr>
        <xdr:cNvPr id="4" name="OccGroup 3">
          <a:extLst>
            <a:ext uri="{FF2B5EF4-FFF2-40B4-BE49-F238E27FC236}">
              <a16:creationId xmlns:a16="http://schemas.microsoft.com/office/drawing/2014/main" id="{00000000-0008-0000-14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0</xdr:col>
      <xdr:colOff>9525</xdr:colOff>
      <xdr:row>267</xdr:row>
      <xdr:rowOff>0</xdr:rowOff>
    </xdr:from>
    <xdr:to>
      <xdr:col>9</xdr:col>
      <xdr:colOff>9525</xdr:colOff>
      <xdr:row>299</xdr:row>
      <xdr:rowOff>47625</xdr:rowOff>
    </xdr:to>
    <xdr:graphicFrame macro="">
      <xdr:nvGraphicFramePr>
        <xdr:cNvPr id="5" name="OccGroup 4">
          <a:extLst>
            <a:ext uri="{FF2B5EF4-FFF2-40B4-BE49-F238E27FC236}">
              <a16:creationId xmlns:a16="http://schemas.microsoft.com/office/drawing/2014/main" id="{00000000-0008-0000-1400-000005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0</xdr:col>
      <xdr:colOff>0</xdr:colOff>
      <xdr:row>302</xdr:row>
      <xdr:rowOff>0</xdr:rowOff>
    </xdr:from>
    <xdr:to>
      <xdr:col>8</xdr:col>
      <xdr:colOff>2105025</xdr:colOff>
      <xdr:row>334</xdr:row>
      <xdr:rowOff>38100</xdr:rowOff>
    </xdr:to>
    <xdr:graphicFrame macro="">
      <xdr:nvGraphicFramePr>
        <xdr:cNvPr id="6" name="OccGroup 5">
          <a:extLst>
            <a:ext uri="{FF2B5EF4-FFF2-40B4-BE49-F238E27FC236}">
              <a16:creationId xmlns:a16="http://schemas.microsoft.com/office/drawing/2014/main" id="{00000000-0008-0000-1400-000006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0</xdr:col>
      <xdr:colOff>9525</xdr:colOff>
      <xdr:row>337</xdr:row>
      <xdr:rowOff>0</xdr:rowOff>
    </xdr:from>
    <xdr:to>
      <xdr:col>8</xdr:col>
      <xdr:colOff>2114550</xdr:colOff>
      <xdr:row>369</xdr:row>
      <xdr:rowOff>9525</xdr:rowOff>
    </xdr:to>
    <xdr:graphicFrame macro="">
      <xdr:nvGraphicFramePr>
        <xdr:cNvPr id="7" name="OccGroup 6">
          <a:extLst>
            <a:ext uri="{FF2B5EF4-FFF2-40B4-BE49-F238E27FC236}">
              <a16:creationId xmlns:a16="http://schemas.microsoft.com/office/drawing/2014/main" id="{00000000-0008-0000-1400-000007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0</xdr:col>
      <xdr:colOff>9525</xdr:colOff>
      <xdr:row>372</xdr:row>
      <xdr:rowOff>0</xdr:rowOff>
    </xdr:from>
    <xdr:to>
      <xdr:col>9</xdr:col>
      <xdr:colOff>9525</xdr:colOff>
      <xdr:row>404</xdr:row>
      <xdr:rowOff>38100</xdr:rowOff>
    </xdr:to>
    <xdr:graphicFrame macro="">
      <xdr:nvGraphicFramePr>
        <xdr:cNvPr id="8" name="OccGroup 7">
          <a:extLst>
            <a:ext uri="{FF2B5EF4-FFF2-40B4-BE49-F238E27FC236}">
              <a16:creationId xmlns:a16="http://schemas.microsoft.com/office/drawing/2014/main" id="{00000000-0008-0000-1400-000008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>
    <xdr:from>
      <xdr:col>0</xdr:col>
      <xdr:colOff>0</xdr:colOff>
      <xdr:row>406</xdr:row>
      <xdr:rowOff>200025</xdr:rowOff>
    </xdr:from>
    <xdr:to>
      <xdr:col>9</xdr:col>
      <xdr:colOff>0</xdr:colOff>
      <xdr:row>437</xdr:row>
      <xdr:rowOff>114300</xdr:rowOff>
    </xdr:to>
    <xdr:graphicFrame macro="">
      <xdr:nvGraphicFramePr>
        <xdr:cNvPr id="9" name="OccGroup 8">
          <a:extLst>
            <a:ext uri="{FF2B5EF4-FFF2-40B4-BE49-F238E27FC236}">
              <a16:creationId xmlns:a16="http://schemas.microsoft.com/office/drawing/2014/main" id="{00000000-0008-0000-1400-000009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  <xdr:twoCellAnchor>
    <xdr:from>
      <xdr:col>0</xdr:col>
      <xdr:colOff>28575</xdr:colOff>
      <xdr:row>442</xdr:row>
      <xdr:rowOff>0</xdr:rowOff>
    </xdr:from>
    <xdr:to>
      <xdr:col>9</xdr:col>
      <xdr:colOff>9525</xdr:colOff>
      <xdr:row>474</xdr:row>
      <xdr:rowOff>0</xdr:rowOff>
    </xdr:to>
    <xdr:graphicFrame macro="">
      <xdr:nvGraphicFramePr>
        <xdr:cNvPr id="10" name="OccGroup 9">
          <a:extLst>
            <a:ext uri="{FF2B5EF4-FFF2-40B4-BE49-F238E27FC236}">
              <a16:creationId xmlns:a16="http://schemas.microsoft.com/office/drawing/2014/main" id="{00000000-0008-0000-1400-00000A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9"/>
        </a:graphicData>
      </a:graphic>
    </xdr:graphicFrame>
    <xdr:clientData/>
  </xdr:twoCellAnchor>
  <xdr:twoCellAnchor>
    <xdr:from>
      <xdr:col>0</xdr:col>
      <xdr:colOff>0</xdr:colOff>
      <xdr:row>2</xdr:row>
      <xdr:rowOff>38100</xdr:rowOff>
    </xdr:from>
    <xdr:to>
      <xdr:col>9</xdr:col>
      <xdr:colOff>0</xdr:colOff>
      <xdr:row>57</xdr:row>
      <xdr:rowOff>15875</xdr:rowOff>
    </xdr:to>
    <xdr:graphicFrame macro="">
      <xdr:nvGraphicFramePr>
        <xdr:cNvPr id="12" name="OccGroup 11">
          <a:extLst>
            <a:ext uri="{FF2B5EF4-FFF2-40B4-BE49-F238E27FC236}">
              <a16:creationId xmlns:a16="http://schemas.microsoft.com/office/drawing/2014/main" id="{00000000-0008-0000-1400-00000C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0"/>
        </a:graphicData>
      </a:graphic>
    </xdr:graphicFrame>
    <xdr:clientData/>
  </xdr:twoCellAnchor>
  <xdr:twoCellAnchor>
    <xdr:from>
      <xdr:col>0</xdr:col>
      <xdr:colOff>0</xdr:colOff>
      <xdr:row>116</xdr:row>
      <xdr:rowOff>0</xdr:rowOff>
    </xdr:from>
    <xdr:to>
      <xdr:col>9</xdr:col>
      <xdr:colOff>0</xdr:colOff>
      <xdr:row>159</xdr:row>
      <xdr:rowOff>142875</xdr:rowOff>
    </xdr:to>
    <xdr:graphicFrame macro="">
      <xdr:nvGraphicFramePr>
        <xdr:cNvPr id="13" name="OccGroup 11">
          <a:extLst>
            <a:ext uri="{FF2B5EF4-FFF2-40B4-BE49-F238E27FC236}">
              <a16:creationId xmlns:a16="http://schemas.microsoft.com/office/drawing/2014/main" id="{00000000-0008-0000-1400-00000D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1"/>
        </a:graphicData>
      </a:graphic>
    </xdr:graphicFrame>
    <xdr:clientData/>
  </xdr:twoCellAnchor>
  <xdr:twoCellAnchor>
    <xdr:from>
      <xdr:col>0</xdr:col>
      <xdr:colOff>0</xdr:colOff>
      <xdr:row>477</xdr:row>
      <xdr:rowOff>0</xdr:rowOff>
    </xdr:from>
    <xdr:to>
      <xdr:col>8</xdr:col>
      <xdr:colOff>2108200</xdr:colOff>
      <xdr:row>501</xdr:row>
      <xdr:rowOff>114300</xdr:rowOff>
    </xdr:to>
    <xdr:graphicFrame macro="">
      <xdr:nvGraphicFramePr>
        <xdr:cNvPr id="14" name="Chart 13">
          <a:extLst>
            <a:ext uri="{FF2B5EF4-FFF2-40B4-BE49-F238E27FC236}">
              <a16:creationId xmlns:a16="http://schemas.microsoft.com/office/drawing/2014/main" id="{00000000-0008-0000-1400-00000E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2"/>
        </a:graphicData>
      </a:graphic>
    </xdr:graphicFrame>
    <xdr:clientData/>
  </xdr:twoCellAnchor>
  <xdr:twoCellAnchor>
    <xdr:from>
      <xdr:col>0</xdr:col>
      <xdr:colOff>0</xdr:colOff>
      <xdr:row>505</xdr:row>
      <xdr:rowOff>0</xdr:rowOff>
    </xdr:from>
    <xdr:to>
      <xdr:col>8</xdr:col>
      <xdr:colOff>2082800</xdr:colOff>
      <xdr:row>530</xdr:row>
      <xdr:rowOff>12700</xdr:rowOff>
    </xdr:to>
    <xdr:graphicFrame macro="">
      <xdr:nvGraphicFramePr>
        <xdr:cNvPr id="15" name="Chart 14">
          <a:extLst>
            <a:ext uri="{FF2B5EF4-FFF2-40B4-BE49-F238E27FC236}">
              <a16:creationId xmlns:a16="http://schemas.microsoft.com/office/drawing/2014/main" id="{00000000-0008-0000-1400-00000F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3"/>
        </a:graphicData>
      </a:graphic>
    </xdr:graphicFrame>
    <xdr:clientData/>
  </xdr:twoCellAnchor>
  <xdr:twoCellAnchor editAs="oneCell">
    <xdr:from>
      <xdr:col>11</xdr:col>
      <xdr:colOff>0</xdr:colOff>
      <xdr:row>0</xdr:row>
      <xdr:rowOff>0</xdr:rowOff>
    </xdr:from>
    <xdr:to>
      <xdr:col>11</xdr:col>
      <xdr:colOff>375472</xdr:colOff>
      <xdr:row>2</xdr:row>
      <xdr:rowOff>1494</xdr:rowOff>
    </xdr:to>
    <xdr:pic>
      <xdr:nvPicPr>
        <xdr:cNvPr id="16" name="Picture 15">
          <a:hlinkClick xmlns:r="http://schemas.openxmlformats.org/officeDocument/2006/relationships" r:id="rId14"/>
          <a:extLst>
            <a:ext uri="{FF2B5EF4-FFF2-40B4-BE49-F238E27FC236}">
              <a16:creationId xmlns:a16="http://schemas.microsoft.com/office/drawing/2014/main" id="{00000000-0008-0000-1400-000010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674100" y="0"/>
          <a:ext cx="371662" cy="369794"/>
        </a:xfrm>
        <a:prstGeom prst="rect">
          <a:avLst/>
        </a:prstGeom>
      </xdr:spPr>
    </xdr:pic>
    <xdr:clientData/>
  </xdr:twoCellAnchor>
  <xdr:twoCellAnchor>
    <xdr:from>
      <xdr:col>0</xdr:col>
      <xdr:colOff>0</xdr:colOff>
      <xdr:row>58</xdr:row>
      <xdr:rowOff>76200</xdr:rowOff>
    </xdr:from>
    <xdr:to>
      <xdr:col>9</xdr:col>
      <xdr:colOff>0</xdr:colOff>
      <xdr:row>113</xdr:row>
      <xdr:rowOff>53975</xdr:rowOff>
    </xdr:to>
    <xdr:graphicFrame macro="">
      <xdr:nvGraphicFramePr>
        <xdr:cNvPr id="17" name="OccGroup 11">
          <a:extLst>
            <a:ext uri="{FF2B5EF4-FFF2-40B4-BE49-F238E27FC236}">
              <a16:creationId xmlns:a16="http://schemas.microsoft.com/office/drawing/2014/main" id="{00000000-0008-0000-1400-000011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6"/>
        </a:graphicData>
      </a:graphic>
    </xdr:graphicFrame>
    <xdr:clientData/>
  </xdr:twoCellAnchor>
</xdr:wsDr>
</file>

<file path=xl/drawings/drawing19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2</xdr:row>
      <xdr:rowOff>25400</xdr:rowOff>
    </xdr:from>
    <xdr:to>
      <xdr:col>18</xdr:col>
      <xdr:colOff>622300</xdr:colOff>
      <xdr:row>29</xdr:row>
      <xdr:rowOff>0</xdr:rowOff>
    </xdr:to>
    <xdr:grpSp>
      <xdr:nvGrpSpPr>
        <xdr:cNvPr id="17" name="Group 16">
          <a:extLst>
            <a:ext uri="{FF2B5EF4-FFF2-40B4-BE49-F238E27FC236}">
              <a16:creationId xmlns:a16="http://schemas.microsoft.com/office/drawing/2014/main" id="{00000000-0008-0000-1500-000011000000}"/>
            </a:ext>
          </a:extLst>
        </xdr:cNvPr>
        <xdr:cNvGrpSpPr/>
      </xdr:nvGrpSpPr>
      <xdr:grpSpPr>
        <a:xfrm>
          <a:off x="0" y="393700"/>
          <a:ext cx="11582400" cy="4432300"/>
          <a:chOff x="0" y="279400"/>
          <a:chExt cx="11582400" cy="4432300"/>
        </a:xfrm>
      </xdr:grpSpPr>
      <xdr:grpSp>
        <xdr:nvGrpSpPr>
          <xdr:cNvPr id="15" name="Group 14">
            <a:extLst>
              <a:ext uri="{FF2B5EF4-FFF2-40B4-BE49-F238E27FC236}">
                <a16:creationId xmlns:a16="http://schemas.microsoft.com/office/drawing/2014/main" id="{00000000-0008-0000-1500-00000F000000}"/>
              </a:ext>
            </a:extLst>
          </xdr:cNvPr>
          <xdr:cNvGrpSpPr/>
        </xdr:nvGrpSpPr>
        <xdr:grpSpPr>
          <a:xfrm>
            <a:off x="0" y="279400"/>
            <a:ext cx="11582400" cy="4432300"/>
            <a:chOff x="38100" y="292100"/>
            <a:chExt cx="11582400" cy="4432300"/>
          </a:xfrm>
        </xdr:grpSpPr>
        <xdr:grpSp>
          <xdr:nvGrpSpPr>
            <xdr:cNvPr id="11" name="Group 10">
              <a:extLst>
                <a:ext uri="{FF2B5EF4-FFF2-40B4-BE49-F238E27FC236}">
                  <a16:creationId xmlns:a16="http://schemas.microsoft.com/office/drawing/2014/main" id="{00000000-0008-0000-1500-00000B000000}"/>
                </a:ext>
              </a:extLst>
            </xdr:cNvPr>
            <xdr:cNvGrpSpPr/>
          </xdr:nvGrpSpPr>
          <xdr:grpSpPr>
            <a:xfrm>
              <a:off x="76200" y="368300"/>
              <a:ext cx="11366500" cy="4229100"/>
              <a:chOff x="76200" y="368300"/>
              <a:chExt cx="11366500" cy="4229100"/>
            </a:xfrm>
            <a:noFill/>
          </xdr:grpSpPr>
          <xdr:graphicFrame macro="">
            <xdr:nvGraphicFramePr>
              <xdr:cNvPr id="7" name="Chart 6">
                <a:extLst>
                  <a:ext uri="{FF2B5EF4-FFF2-40B4-BE49-F238E27FC236}">
                    <a16:creationId xmlns:a16="http://schemas.microsoft.com/office/drawing/2014/main" id="{00000000-0008-0000-1500-000007000000}"/>
                  </a:ext>
                </a:extLst>
              </xdr:cNvPr>
              <xdr:cNvGraphicFramePr/>
            </xdr:nvGraphicFramePr>
            <xdr:xfrm>
              <a:off x="76200" y="368300"/>
              <a:ext cx="4533900" cy="4229100"/>
            </xdr:xfrm>
            <a:graphic>
              <a:graphicData uri="http://schemas.openxmlformats.org/drawingml/2006/chart">
                <c:chart xmlns:c="http://schemas.openxmlformats.org/drawingml/2006/chart" xmlns:r="http://schemas.openxmlformats.org/officeDocument/2006/relationships" r:id="rId1"/>
              </a:graphicData>
            </a:graphic>
          </xdr:graphicFrame>
          <xdr:graphicFrame macro="">
            <xdr:nvGraphicFramePr>
              <xdr:cNvPr id="8" name="Chart 7">
                <a:extLst>
                  <a:ext uri="{FF2B5EF4-FFF2-40B4-BE49-F238E27FC236}">
                    <a16:creationId xmlns:a16="http://schemas.microsoft.com/office/drawing/2014/main" id="{00000000-0008-0000-1500-000008000000}"/>
                  </a:ext>
                </a:extLst>
              </xdr:cNvPr>
              <xdr:cNvGraphicFramePr>
                <a:graphicFrameLocks/>
              </xdr:cNvGraphicFramePr>
            </xdr:nvGraphicFramePr>
            <xdr:xfrm>
              <a:off x="4597400" y="368300"/>
              <a:ext cx="2286000" cy="4229100"/>
            </xdr:xfrm>
            <a:graphic>
              <a:graphicData uri="http://schemas.openxmlformats.org/drawingml/2006/chart">
                <c:chart xmlns:c="http://schemas.openxmlformats.org/drawingml/2006/chart" xmlns:r="http://schemas.openxmlformats.org/officeDocument/2006/relationships" r:id="rId2"/>
              </a:graphicData>
            </a:graphic>
          </xdr:graphicFrame>
          <xdr:graphicFrame macro="">
            <xdr:nvGraphicFramePr>
              <xdr:cNvPr id="9" name="Chart 8">
                <a:extLst>
                  <a:ext uri="{FF2B5EF4-FFF2-40B4-BE49-F238E27FC236}">
                    <a16:creationId xmlns:a16="http://schemas.microsoft.com/office/drawing/2014/main" id="{00000000-0008-0000-1500-000009000000}"/>
                  </a:ext>
                </a:extLst>
              </xdr:cNvPr>
              <xdr:cNvGraphicFramePr>
                <a:graphicFrameLocks/>
              </xdr:cNvGraphicFramePr>
            </xdr:nvGraphicFramePr>
            <xdr:xfrm>
              <a:off x="6870700" y="368300"/>
              <a:ext cx="2286000" cy="4229100"/>
            </xdr:xfrm>
            <a:graphic>
              <a:graphicData uri="http://schemas.openxmlformats.org/drawingml/2006/chart">
                <c:chart xmlns:c="http://schemas.openxmlformats.org/drawingml/2006/chart" xmlns:r="http://schemas.openxmlformats.org/officeDocument/2006/relationships" r:id="rId3"/>
              </a:graphicData>
            </a:graphic>
          </xdr:graphicFrame>
          <xdr:graphicFrame macro="">
            <xdr:nvGraphicFramePr>
              <xdr:cNvPr id="10" name="Chart 9">
                <a:extLst>
                  <a:ext uri="{FF2B5EF4-FFF2-40B4-BE49-F238E27FC236}">
                    <a16:creationId xmlns:a16="http://schemas.microsoft.com/office/drawing/2014/main" id="{00000000-0008-0000-1500-00000A000000}"/>
                  </a:ext>
                </a:extLst>
              </xdr:cNvPr>
              <xdr:cNvGraphicFramePr>
                <a:graphicFrameLocks/>
              </xdr:cNvGraphicFramePr>
            </xdr:nvGraphicFramePr>
            <xdr:xfrm>
              <a:off x="9156700" y="368300"/>
              <a:ext cx="2286000" cy="4229100"/>
            </xdr:xfrm>
            <a:graphic>
              <a:graphicData uri="http://schemas.openxmlformats.org/drawingml/2006/chart">
                <c:chart xmlns:c="http://schemas.openxmlformats.org/drawingml/2006/chart" xmlns:r="http://schemas.openxmlformats.org/officeDocument/2006/relationships" r:id="rId4"/>
              </a:graphicData>
            </a:graphic>
          </xdr:graphicFrame>
        </xdr:grpSp>
        <xdr:sp macro="" textlink="">
          <xdr:nvSpPr>
            <xdr:cNvPr id="14" name="Rectangle 13">
              <a:extLst>
                <a:ext uri="{FF2B5EF4-FFF2-40B4-BE49-F238E27FC236}">
                  <a16:creationId xmlns:a16="http://schemas.microsoft.com/office/drawing/2014/main" id="{00000000-0008-0000-1500-00000E000000}"/>
                </a:ext>
              </a:extLst>
            </xdr:cNvPr>
            <xdr:cNvSpPr/>
          </xdr:nvSpPr>
          <xdr:spPr>
            <a:xfrm>
              <a:off x="38100" y="292100"/>
              <a:ext cx="11582400" cy="4432300"/>
            </a:xfrm>
            <a:prstGeom prst="rect">
              <a:avLst/>
            </a:prstGeom>
            <a:noFill/>
            <a:ln w="3175">
              <a:solidFill>
                <a:schemeClr val="tx1"/>
              </a:solidFill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en-GB" sz="1100">
                <a:latin typeface="Arial" panose="020B0604020202020204" pitchFamily="34" charset="0"/>
                <a:cs typeface="Arial" panose="020B0604020202020204" pitchFamily="34" charset="0"/>
              </a:endParaRPr>
            </a:p>
          </xdr:txBody>
        </xdr:sp>
      </xdr:grpSp>
      <xdr:sp macro="" textlink="">
        <xdr:nvSpPr>
          <xdr:cNvPr id="16" name="TextBox 15">
            <a:extLst>
              <a:ext uri="{FF2B5EF4-FFF2-40B4-BE49-F238E27FC236}">
                <a16:creationId xmlns:a16="http://schemas.microsoft.com/office/drawing/2014/main" id="{00000000-0008-0000-1500-000010000000}"/>
              </a:ext>
            </a:extLst>
          </xdr:cNvPr>
          <xdr:cNvSpPr txBox="1"/>
        </xdr:nvSpPr>
        <xdr:spPr>
          <a:xfrm>
            <a:off x="10744200" y="279400"/>
            <a:ext cx="835806" cy="254557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t">
            <a:spAutoFit/>
          </a:bodyPr>
          <a:lstStyle/>
          <a:p>
            <a:r>
              <a:rPr lang="en-GB" sz="1100">
                <a:latin typeface="Arial" panose="020B0604020202020204" pitchFamily="34" charset="0"/>
                <a:cs typeface="Arial" panose="020B0604020202020204" pitchFamily="34" charset="0"/>
              </a:rPr>
              <a:t>thousands</a:t>
            </a:r>
          </a:p>
        </xdr:txBody>
      </xdr:sp>
    </xdr:grpSp>
    <xdr:clientData/>
  </xdr:twoCellAnchor>
  <xdr:twoCellAnchor editAs="oneCell">
    <xdr:from>
      <xdr:col>21</xdr:col>
      <xdr:colOff>0</xdr:colOff>
      <xdr:row>0</xdr:row>
      <xdr:rowOff>0</xdr:rowOff>
    </xdr:from>
    <xdr:to>
      <xdr:col>21</xdr:col>
      <xdr:colOff>371662</xdr:colOff>
      <xdr:row>2</xdr:row>
      <xdr:rowOff>1494</xdr:rowOff>
    </xdr:to>
    <xdr:pic>
      <xdr:nvPicPr>
        <xdr:cNvPr id="21" name="Picture 20">
          <a:hlinkClick xmlns:r="http://schemas.openxmlformats.org/officeDocument/2006/relationships" r:id="rId5"/>
          <a:extLst>
            <a:ext uri="{FF2B5EF4-FFF2-40B4-BE49-F238E27FC236}">
              <a16:creationId xmlns:a16="http://schemas.microsoft.com/office/drawing/2014/main" id="{00000000-0008-0000-1500-00001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4160500" y="0"/>
          <a:ext cx="371662" cy="369794"/>
        </a:xfrm>
        <a:prstGeom prst="rect">
          <a:avLst/>
        </a:prstGeom>
      </xdr:spPr>
    </xdr:pic>
    <xdr:clientData/>
  </xdr:twoCellAnchor>
</xdr:wsDr>
</file>

<file path=xl/drawings/drawing20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2</xdr:row>
      <xdr:rowOff>38100</xdr:rowOff>
    </xdr:from>
    <xdr:to>
      <xdr:col>9</xdr:col>
      <xdr:colOff>234951</xdr:colOff>
      <xdr:row>38</xdr:row>
      <xdr:rowOff>38100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00000000-0008-0000-1600-000003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16</xdr:col>
      <xdr:colOff>0</xdr:colOff>
      <xdr:row>0</xdr:row>
      <xdr:rowOff>0</xdr:rowOff>
    </xdr:from>
    <xdr:to>
      <xdr:col>16</xdr:col>
      <xdr:colOff>371662</xdr:colOff>
      <xdr:row>2</xdr:row>
      <xdr:rowOff>1494</xdr:rowOff>
    </xdr:to>
    <xdr:pic>
      <xdr:nvPicPr>
        <xdr:cNvPr id="5" name="Picture 4">
          <a:hlinkClick xmlns:r="http://schemas.openxmlformats.org/officeDocument/2006/relationships" r:id="rId2"/>
          <a:extLst>
            <a:ext uri="{FF2B5EF4-FFF2-40B4-BE49-F238E27FC236}">
              <a16:creationId xmlns:a16="http://schemas.microsoft.com/office/drawing/2014/main" id="{00000000-0008-0000-1600-00000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544300" y="0"/>
          <a:ext cx="371662" cy="369794"/>
        </a:xfrm>
        <a:prstGeom prst="rect">
          <a:avLst/>
        </a:prstGeom>
      </xdr:spPr>
    </xdr:pic>
    <xdr:clientData/>
  </xdr:twoCellAnchor>
</xdr:wsDr>
</file>

<file path=xl/drawings/drawing2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12700</xdr:colOff>
      <xdr:row>2</xdr:row>
      <xdr:rowOff>76200</xdr:rowOff>
    </xdr:from>
    <xdr:to>
      <xdr:col>9</xdr:col>
      <xdr:colOff>247651</xdr:colOff>
      <xdr:row>38</xdr:row>
      <xdr:rowOff>76200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17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16</xdr:col>
      <xdr:colOff>0</xdr:colOff>
      <xdr:row>0</xdr:row>
      <xdr:rowOff>0</xdr:rowOff>
    </xdr:from>
    <xdr:to>
      <xdr:col>16</xdr:col>
      <xdr:colOff>371662</xdr:colOff>
      <xdr:row>2</xdr:row>
      <xdr:rowOff>1494</xdr:rowOff>
    </xdr:to>
    <xdr:pic>
      <xdr:nvPicPr>
        <xdr:cNvPr id="3" name="Picture 2">
          <a:hlinkClick xmlns:r="http://schemas.openxmlformats.org/officeDocument/2006/relationships" r:id="rId2"/>
          <a:extLst>
            <a:ext uri="{FF2B5EF4-FFF2-40B4-BE49-F238E27FC236}">
              <a16:creationId xmlns:a16="http://schemas.microsoft.com/office/drawing/2014/main" id="{00000000-0008-0000-17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2242800" y="0"/>
          <a:ext cx="371662" cy="369794"/>
        </a:xfrm>
        <a:prstGeom prst="rect">
          <a:avLst/>
        </a:prstGeom>
      </xdr:spPr>
    </xdr:pic>
    <xdr:clientData/>
  </xdr:twoCellAnchor>
  <xdr:twoCellAnchor>
    <xdr:from>
      <xdr:col>0</xdr:col>
      <xdr:colOff>0</xdr:colOff>
      <xdr:row>40</xdr:row>
      <xdr:rowOff>0</xdr:rowOff>
    </xdr:from>
    <xdr:to>
      <xdr:col>9</xdr:col>
      <xdr:colOff>234951</xdr:colOff>
      <xdr:row>76</xdr:row>
      <xdr:rowOff>0</xdr:rowOff>
    </xdr:to>
    <xdr:graphicFrame macro="">
      <xdr:nvGraphicFramePr>
        <xdr:cNvPr id="4" name="Chart 3">
          <a:extLst>
            <a:ext uri="{FF2B5EF4-FFF2-40B4-BE49-F238E27FC236}">
              <a16:creationId xmlns:a16="http://schemas.microsoft.com/office/drawing/2014/main" id="{00000000-0008-0000-17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0</xdr:col>
      <xdr:colOff>0</xdr:colOff>
      <xdr:row>79</xdr:row>
      <xdr:rowOff>0</xdr:rowOff>
    </xdr:from>
    <xdr:to>
      <xdr:col>9</xdr:col>
      <xdr:colOff>234951</xdr:colOff>
      <xdr:row>115</xdr:row>
      <xdr:rowOff>0</xdr:rowOff>
    </xdr:to>
    <xdr:graphicFrame macro="">
      <xdr:nvGraphicFramePr>
        <xdr:cNvPr id="5" name="Chart 4">
          <a:extLst>
            <a:ext uri="{FF2B5EF4-FFF2-40B4-BE49-F238E27FC236}">
              <a16:creationId xmlns:a16="http://schemas.microsoft.com/office/drawing/2014/main" id="{00000000-0008-0000-1700-000005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</xdr:wsDr>
</file>

<file path=xl/drawings/drawing22.xml><?xml version="1.0" encoding="utf-8"?>
<xdr:wsDr xmlns:xdr="http://schemas.openxmlformats.org/drawingml/2006/spreadsheetDrawing" xmlns:a="http://schemas.openxmlformats.org/drawingml/2006/main">
  <xdr:twoCellAnchor editAs="oneCell">
    <xdr:from>
      <xdr:col>9</xdr:col>
      <xdr:colOff>257736</xdr:colOff>
      <xdr:row>0</xdr:row>
      <xdr:rowOff>0</xdr:rowOff>
    </xdr:from>
    <xdr:to>
      <xdr:col>10</xdr:col>
      <xdr:colOff>24280</xdr:colOff>
      <xdr:row>2</xdr:row>
      <xdr:rowOff>11206</xdr:rowOff>
    </xdr:to>
    <xdr:pic>
      <xdr:nvPicPr>
        <xdr:cNvPr id="2" name="Picture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18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438030" y="0"/>
          <a:ext cx="371662" cy="369794"/>
        </a:xfrm>
        <a:prstGeom prst="rect">
          <a:avLst/>
        </a:prstGeom>
      </xdr:spPr>
    </xdr:pic>
    <xdr:clientData/>
  </xdr:twoCellAnchor>
</xdr:wsDr>
</file>

<file path=xl/drawings/drawing23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9525</xdr:colOff>
      <xdr:row>2</xdr:row>
      <xdr:rowOff>28575</xdr:rowOff>
    </xdr:from>
    <xdr:to>
      <xdr:col>8</xdr:col>
      <xdr:colOff>2114550</xdr:colOff>
      <xdr:row>47</xdr:row>
      <xdr:rowOff>85725</xdr:rowOff>
    </xdr:to>
    <xdr:graphicFrame macro="">
      <xdr:nvGraphicFramePr>
        <xdr:cNvPr id="29708" name="Qual 1">
          <a:extLst>
            <a:ext uri="{FF2B5EF4-FFF2-40B4-BE49-F238E27FC236}">
              <a16:creationId xmlns:a16="http://schemas.microsoft.com/office/drawing/2014/main" id="{00000000-0008-0000-1900-00000C74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0</xdr:col>
      <xdr:colOff>0</xdr:colOff>
      <xdr:row>52</xdr:row>
      <xdr:rowOff>12700</xdr:rowOff>
    </xdr:from>
    <xdr:to>
      <xdr:col>8</xdr:col>
      <xdr:colOff>2105025</xdr:colOff>
      <xdr:row>97</xdr:row>
      <xdr:rowOff>69850</xdr:rowOff>
    </xdr:to>
    <xdr:graphicFrame macro="">
      <xdr:nvGraphicFramePr>
        <xdr:cNvPr id="3" name="Qual 2">
          <a:extLst>
            <a:ext uri="{FF2B5EF4-FFF2-40B4-BE49-F238E27FC236}">
              <a16:creationId xmlns:a16="http://schemas.microsoft.com/office/drawing/2014/main" id="{00000000-0008-0000-19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 editAs="oneCell">
    <xdr:from>
      <xdr:col>10</xdr:col>
      <xdr:colOff>0</xdr:colOff>
      <xdr:row>0</xdr:row>
      <xdr:rowOff>0</xdr:rowOff>
    </xdr:from>
    <xdr:to>
      <xdr:col>10</xdr:col>
      <xdr:colOff>371662</xdr:colOff>
      <xdr:row>2</xdr:row>
      <xdr:rowOff>1494</xdr:rowOff>
    </xdr:to>
    <xdr:pic>
      <xdr:nvPicPr>
        <xdr:cNvPr id="4" name="Picture 3">
          <a:hlinkClick xmlns:r="http://schemas.openxmlformats.org/officeDocument/2006/relationships" r:id="rId3"/>
          <a:extLst>
            <a:ext uri="{FF2B5EF4-FFF2-40B4-BE49-F238E27FC236}">
              <a16:creationId xmlns:a16="http://schemas.microsoft.com/office/drawing/2014/main" id="{00000000-0008-0000-1900-00000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267700" y="0"/>
          <a:ext cx="371662" cy="369794"/>
        </a:xfrm>
        <a:prstGeom prst="rect">
          <a:avLst/>
        </a:prstGeom>
      </xdr:spPr>
    </xdr:pic>
    <xdr:clientData/>
  </xdr:twoCellAnchor>
</xdr:wsDr>
</file>

<file path=xl/drawings/drawing24.xml><?xml version="1.0" encoding="utf-8"?>
<xdr:wsDr xmlns:xdr="http://schemas.openxmlformats.org/drawingml/2006/spreadsheetDrawing" xmlns:a="http://schemas.openxmlformats.org/drawingml/2006/main">
  <xdr:twoCellAnchor>
    <xdr:from>
      <xdr:col>22</xdr:col>
      <xdr:colOff>35252</xdr:colOff>
      <xdr:row>2</xdr:row>
      <xdr:rowOff>11206</xdr:rowOff>
    </xdr:from>
    <xdr:to>
      <xdr:col>35</xdr:col>
      <xdr:colOff>381000</xdr:colOff>
      <xdr:row>54</xdr:row>
      <xdr:rowOff>44824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1B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35</xdr:col>
      <xdr:colOff>547079</xdr:colOff>
      <xdr:row>2</xdr:row>
      <xdr:rowOff>38099</xdr:rowOff>
    </xdr:from>
    <xdr:to>
      <xdr:col>48</xdr:col>
      <xdr:colOff>582706</xdr:colOff>
      <xdr:row>54</xdr:row>
      <xdr:rowOff>44823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00000000-0008-0000-1B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22</xdr:col>
      <xdr:colOff>134471</xdr:colOff>
      <xdr:row>56</xdr:row>
      <xdr:rowOff>122892</xdr:rowOff>
    </xdr:from>
    <xdr:to>
      <xdr:col>30</xdr:col>
      <xdr:colOff>505946</xdr:colOff>
      <xdr:row>82</xdr:row>
      <xdr:rowOff>123264</xdr:rowOff>
    </xdr:to>
    <xdr:graphicFrame macro="">
      <xdr:nvGraphicFramePr>
        <xdr:cNvPr id="6" name="Chart 5">
          <a:extLst>
            <a:ext uri="{FF2B5EF4-FFF2-40B4-BE49-F238E27FC236}">
              <a16:creationId xmlns:a16="http://schemas.microsoft.com/office/drawing/2014/main" id="{00000000-0008-0000-1B00-000006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41</xdr:col>
      <xdr:colOff>5041</xdr:colOff>
      <xdr:row>57</xdr:row>
      <xdr:rowOff>14382</xdr:rowOff>
    </xdr:from>
    <xdr:to>
      <xdr:col>49</xdr:col>
      <xdr:colOff>480172</xdr:colOff>
      <xdr:row>82</xdr:row>
      <xdr:rowOff>156881</xdr:rowOff>
    </xdr:to>
    <xdr:graphicFrame macro="">
      <xdr:nvGraphicFramePr>
        <xdr:cNvPr id="7" name="Chart 6">
          <a:extLst>
            <a:ext uri="{FF2B5EF4-FFF2-40B4-BE49-F238E27FC236}">
              <a16:creationId xmlns:a16="http://schemas.microsoft.com/office/drawing/2014/main" id="{00000000-0008-0000-1B00-000007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22</xdr:col>
      <xdr:colOff>99359</xdr:colOff>
      <xdr:row>83</xdr:row>
      <xdr:rowOff>85910</xdr:rowOff>
    </xdr:from>
    <xdr:to>
      <xdr:col>30</xdr:col>
      <xdr:colOff>493058</xdr:colOff>
      <xdr:row>108</xdr:row>
      <xdr:rowOff>100852</xdr:rowOff>
    </xdr:to>
    <xdr:graphicFrame macro="">
      <xdr:nvGraphicFramePr>
        <xdr:cNvPr id="9" name="Chart 8">
          <a:extLst>
            <a:ext uri="{FF2B5EF4-FFF2-40B4-BE49-F238E27FC236}">
              <a16:creationId xmlns:a16="http://schemas.microsoft.com/office/drawing/2014/main" id="{00000000-0008-0000-1B00-000009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41</xdr:col>
      <xdr:colOff>0</xdr:colOff>
      <xdr:row>83</xdr:row>
      <xdr:rowOff>142688</xdr:rowOff>
    </xdr:from>
    <xdr:to>
      <xdr:col>49</xdr:col>
      <xdr:colOff>489698</xdr:colOff>
      <xdr:row>109</xdr:row>
      <xdr:rowOff>44824</xdr:rowOff>
    </xdr:to>
    <xdr:graphicFrame macro="">
      <xdr:nvGraphicFramePr>
        <xdr:cNvPr id="10" name="Chart 9">
          <a:extLst>
            <a:ext uri="{FF2B5EF4-FFF2-40B4-BE49-F238E27FC236}">
              <a16:creationId xmlns:a16="http://schemas.microsoft.com/office/drawing/2014/main" id="{00000000-0008-0000-1B00-00000A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22</xdr:col>
      <xdr:colOff>38659</xdr:colOff>
      <xdr:row>110</xdr:row>
      <xdr:rowOff>53041</xdr:rowOff>
    </xdr:from>
    <xdr:to>
      <xdr:col>30</xdr:col>
      <xdr:colOff>518271</xdr:colOff>
      <xdr:row>138</xdr:row>
      <xdr:rowOff>112434</xdr:rowOff>
    </xdr:to>
    <xdr:graphicFrame macro="">
      <xdr:nvGraphicFramePr>
        <xdr:cNvPr id="11" name="Chart 10">
          <a:extLst>
            <a:ext uri="{FF2B5EF4-FFF2-40B4-BE49-F238E27FC236}">
              <a16:creationId xmlns:a16="http://schemas.microsoft.com/office/drawing/2014/main" id="{00000000-0008-0000-1B00-00000B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>
    <xdr:from>
      <xdr:col>31</xdr:col>
      <xdr:colOff>267449</xdr:colOff>
      <xdr:row>110</xdr:row>
      <xdr:rowOff>53041</xdr:rowOff>
    </xdr:from>
    <xdr:to>
      <xdr:col>40</xdr:col>
      <xdr:colOff>120464</xdr:colOff>
      <xdr:row>138</xdr:row>
      <xdr:rowOff>110939</xdr:rowOff>
    </xdr:to>
    <xdr:graphicFrame macro="">
      <xdr:nvGraphicFramePr>
        <xdr:cNvPr id="12" name="Chart 11">
          <a:extLst>
            <a:ext uri="{FF2B5EF4-FFF2-40B4-BE49-F238E27FC236}">
              <a16:creationId xmlns:a16="http://schemas.microsoft.com/office/drawing/2014/main" id="{00000000-0008-0000-1B00-00000C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  <xdr:twoCellAnchor editAs="oneCell">
    <xdr:from>
      <xdr:col>18</xdr:col>
      <xdr:colOff>33618</xdr:colOff>
      <xdr:row>0</xdr:row>
      <xdr:rowOff>56029</xdr:rowOff>
    </xdr:from>
    <xdr:to>
      <xdr:col>18</xdr:col>
      <xdr:colOff>405280</xdr:colOff>
      <xdr:row>1</xdr:row>
      <xdr:rowOff>190499</xdr:rowOff>
    </xdr:to>
    <xdr:pic>
      <xdr:nvPicPr>
        <xdr:cNvPr id="28" name="Picture 27">
          <a:hlinkClick xmlns:r="http://schemas.openxmlformats.org/officeDocument/2006/relationships" r:id="rId9"/>
          <a:extLst>
            <a:ext uri="{FF2B5EF4-FFF2-40B4-BE49-F238E27FC236}">
              <a16:creationId xmlns:a16="http://schemas.microsoft.com/office/drawing/2014/main" id="{00000000-0008-0000-1B00-00001C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2909177" y="56029"/>
          <a:ext cx="371662" cy="369794"/>
        </a:xfrm>
        <a:prstGeom prst="rect">
          <a:avLst/>
        </a:prstGeom>
      </xdr:spPr>
    </xdr:pic>
    <xdr:clientData/>
  </xdr:twoCellAnchor>
  <xdr:twoCellAnchor>
    <xdr:from>
      <xdr:col>31</xdr:col>
      <xdr:colOff>336177</xdr:colOff>
      <xdr:row>56</xdr:row>
      <xdr:rowOff>134470</xdr:rowOff>
    </xdr:from>
    <xdr:to>
      <xdr:col>40</xdr:col>
      <xdr:colOff>206190</xdr:colOff>
      <xdr:row>82</xdr:row>
      <xdr:rowOff>120087</xdr:rowOff>
    </xdr:to>
    <xdr:graphicFrame macro="">
      <xdr:nvGraphicFramePr>
        <xdr:cNvPr id="14" name="Chart 13">
          <a:extLst>
            <a:ext uri="{FF2B5EF4-FFF2-40B4-BE49-F238E27FC236}">
              <a16:creationId xmlns:a16="http://schemas.microsoft.com/office/drawing/2014/main" id="{00000000-0008-0000-1B00-00000E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1"/>
        </a:graphicData>
      </a:graphic>
    </xdr:graphicFrame>
    <xdr:clientData/>
  </xdr:twoCellAnchor>
  <xdr:twoCellAnchor>
    <xdr:from>
      <xdr:col>31</xdr:col>
      <xdr:colOff>313765</xdr:colOff>
      <xdr:row>83</xdr:row>
      <xdr:rowOff>134470</xdr:rowOff>
    </xdr:from>
    <xdr:to>
      <xdr:col>40</xdr:col>
      <xdr:colOff>102346</xdr:colOff>
      <xdr:row>108</xdr:row>
      <xdr:rowOff>149412</xdr:rowOff>
    </xdr:to>
    <xdr:graphicFrame macro="">
      <xdr:nvGraphicFramePr>
        <xdr:cNvPr id="15" name="Chart 14">
          <a:extLst>
            <a:ext uri="{FF2B5EF4-FFF2-40B4-BE49-F238E27FC236}">
              <a16:creationId xmlns:a16="http://schemas.microsoft.com/office/drawing/2014/main" id="{00000000-0008-0000-1B00-00000F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2"/>
        </a:graphicData>
      </a:graphic>
    </xdr:graphicFrame>
    <xdr:clientData/>
  </xdr:twoCellAnchor>
  <xdr:twoCellAnchor>
    <xdr:from>
      <xdr:col>41</xdr:col>
      <xdr:colOff>0</xdr:colOff>
      <xdr:row>110</xdr:row>
      <xdr:rowOff>56029</xdr:rowOff>
    </xdr:from>
    <xdr:to>
      <xdr:col>49</xdr:col>
      <xdr:colOff>458133</xdr:colOff>
      <xdr:row>138</xdr:row>
      <xdr:rowOff>113927</xdr:rowOff>
    </xdr:to>
    <xdr:graphicFrame macro="">
      <xdr:nvGraphicFramePr>
        <xdr:cNvPr id="16" name="Chart 15">
          <a:extLst>
            <a:ext uri="{FF2B5EF4-FFF2-40B4-BE49-F238E27FC236}">
              <a16:creationId xmlns:a16="http://schemas.microsoft.com/office/drawing/2014/main" id="{00000000-0008-0000-1B00-000010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3"/>
        </a:graphicData>
      </a:graphic>
    </xdr:graphicFrame>
    <xdr:clientData/>
  </xdr:twoCellAnchor>
</xdr:wsDr>
</file>

<file path=xl/drawings/drawing25.xml><?xml version="1.0" encoding="utf-8"?>
<xdr:wsDr xmlns:xdr="http://schemas.openxmlformats.org/drawingml/2006/spreadsheetDrawing" xmlns:a="http://schemas.openxmlformats.org/drawingml/2006/main">
  <xdr:twoCellAnchor editAs="oneCell">
    <xdr:from>
      <xdr:col>32</xdr:col>
      <xdr:colOff>201708</xdr:colOff>
      <xdr:row>0</xdr:row>
      <xdr:rowOff>11206</xdr:rowOff>
    </xdr:from>
    <xdr:to>
      <xdr:col>32</xdr:col>
      <xdr:colOff>573370</xdr:colOff>
      <xdr:row>1</xdr:row>
      <xdr:rowOff>78441</xdr:rowOff>
    </xdr:to>
    <xdr:pic>
      <xdr:nvPicPr>
        <xdr:cNvPr id="2" name="Picture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1C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6676855" y="11206"/>
          <a:ext cx="371662" cy="369794"/>
        </a:xfrm>
        <a:prstGeom prst="rect">
          <a:avLst/>
        </a:prstGeom>
      </xdr:spPr>
    </xdr:pic>
    <xdr:clientData/>
  </xdr:twoCellAnchor>
</xdr:wsDr>
</file>

<file path=xl/drawings/drawing26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7844</xdr:colOff>
      <xdr:row>2</xdr:row>
      <xdr:rowOff>39781</xdr:rowOff>
    </xdr:from>
    <xdr:to>
      <xdr:col>11</xdr:col>
      <xdr:colOff>593912</xdr:colOff>
      <xdr:row>31</xdr:row>
      <xdr:rowOff>77881</xdr:rowOff>
    </xdr:to>
    <xdr:graphicFrame macro="">
      <xdr:nvGraphicFramePr>
        <xdr:cNvPr id="19457" name="Chart 1">
          <a:extLst>
            <a:ext uri="{FF2B5EF4-FFF2-40B4-BE49-F238E27FC236}">
              <a16:creationId xmlns:a16="http://schemas.microsoft.com/office/drawing/2014/main" id="{00000000-0008-0000-1D00-0000014C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16</xdr:col>
      <xdr:colOff>672353</xdr:colOff>
      <xdr:row>0</xdr:row>
      <xdr:rowOff>0</xdr:rowOff>
    </xdr:from>
    <xdr:to>
      <xdr:col>16</xdr:col>
      <xdr:colOff>1044015</xdr:colOff>
      <xdr:row>2</xdr:row>
      <xdr:rowOff>11206</xdr:rowOff>
    </xdr:to>
    <xdr:pic>
      <xdr:nvPicPr>
        <xdr:cNvPr id="3" name="Picture 2">
          <a:hlinkClick xmlns:r="http://schemas.openxmlformats.org/officeDocument/2006/relationships" r:id="rId2"/>
          <a:extLst>
            <a:ext uri="{FF2B5EF4-FFF2-40B4-BE49-F238E27FC236}">
              <a16:creationId xmlns:a16="http://schemas.microsoft.com/office/drawing/2014/main" id="{00000000-0008-0000-1D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3211735" y="0"/>
          <a:ext cx="371662" cy="369794"/>
        </a:xfrm>
        <a:prstGeom prst="rect">
          <a:avLst/>
        </a:prstGeom>
      </xdr:spPr>
    </xdr:pic>
    <xdr:clientData/>
  </xdr:twoCellAnchor>
  <xdr:twoCellAnchor>
    <xdr:from>
      <xdr:col>0</xdr:col>
      <xdr:colOff>0</xdr:colOff>
      <xdr:row>34</xdr:row>
      <xdr:rowOff>22412</xdr:rowOff>
    </xdr:from>
    <xdr:to>
      <xdr:col>11</xdr:col>
      <xdr:colOff>586068</xdr:colOff>
      <xdr:row>77</xdr:row>
      <xdr:rowOff>112059</xdr:rowOff>
    </xdr:to>
    <xdr:graphicFrame macro="">
      <xdr:nvGraphicFramePr>
        <xdr:cNvPr id="4" name="Chart 1">
          <a:extLst>
            <a:ext uri="{FF2B5EF4-FFF2-40B4-BE49-F238E27FC236}">
              <a16:creationId xmlns:a16="http://schemas.microsoft.com/office/drawing/2014/main" id="{00000000-0008-0000-1D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</xdr:wsDr>
</file>

<file path=xl/drawings/drawing27.xml><?xml version="1.0" encoding="utf-8"?>
<c:userShapes xmlns:c="http://schemas.openxmlformats.org/drawingml/2006/chart">
  <cdr:relSizeAnchor xmlns:cdr="http://schemas.openxmlformats.org/drawingml/2006/chartDrawing">
    <cdr:from>
      <cdr:x>0.00652</cdr:x>
      <cdr:y>0.02964</cdr:y>
    </cdr:from>
    <cdr:to>
      <cdr:x>0.00652</cdr:x>
      <cdr:y>0.05659</cdr:y>
    </cdr:to>
    <cdr:sp macro="" textlink="">
      <cdr:nvSpPr>
        <cdr:cNvPr id="20481" name="Text Box 1"/>
        <cdr:cNvSpPr txBox="1">
          <a:spLocks xmlns:a="http://schemas.openxmlformats.org/drawingml/2006/main" noChangeArrowheads="1"/>
        </cdr:cNvSpPr>
      </cdr:nvSpPr>
      <cdr:spPr bwMode="auto">
        <a:xfrm xmlns:a="http://schemas.openxmlformats.org/drawingml/2006/main">
          <a:off x="50800" y="143764"/>
          <a:ext cx="0" cy="127826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 w="9525">
          <a:noFill/>
          <a:miter lim="800000"/>
          <a:headEnd/>
          <a:tailEnd/>
        </a:ln>
      </cdr:spPr>
      <cdr:txBody>
        <a:bodyPr xmlns:a="http://schemas.openxmlformats.org/drawingml/2006/main" vertOverflow="clip" wrap="square" lIns="27432" tIns="22860" rIns="27432" bIns="0" anchor="t" upright="1"/>
        <a:lstStyle xmlns:a="http://schemas.openxmlformats.org/drawingml/2006/main"/>
        <a:p xmlns:a="http://schemas.openxmlformats.org/drawingml/2006/main">
          <a:pPr algn="ctr" rtl="0">
            <a:defRPr sz="1000"/>
          </a:pPr>
          <a:r>
            <a:rPr lang="en-GB" sz="1000" b="1" i="0" u="none" strike="noStrike" baseline="0">
              <a:solidFill>
                <a:srgbClr val="000080"/>
              </a:solidFill>
              <a:latin typeface="Arial"/>
              <a:cs typeface="Arial"/>
            </a:rPr>
            <a:t>by SOC 2000 Sub-Major Group</a:t>
          </a:r>
        </a:p>
      </cdr:txBody>
    </cdr:sp>
  </cdr:relSizeAnchor>
  <cdr:relSizeAnchor xmlns:cdr="http://schemas.openxmlformats.org/drawingml/2006/chartDrawing">
    <cdr:from>
      <cdr:x>0.00652</cdr:x>
      <cdr:y>0.05659</cdr:y>
    </cdr:from>
    <cdr:to>
      <cdr:x>0.00652</cdr:x>
      <cdr:y>0.08329</cdr:y>
    </cdr:to>
    <cdr:sp macro="" textlink="">
      <cdr:nvSpPr>
        <cdr:cNvPr id="20482" name="Text Box 2"/>
        <cdr:cNvSpPr txBox="1">
          <a:spLocks xmlns:a="http://schemas.openxmlformats.org/drawingml/2006/main" noChangeArrowheads="1"/>
        </cdr:cNvSpPr>
      </cdr:nvSpPr>
      <cdr:spPr bwMode="auto">
        <a:xfrm xmlns:a="http://schemas.openxmlformats.org/drawingml/2006/main">
          <a:off x="50800" y="271590"/>
          <a:ext cx="0" cy="126663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 w="9525">
          <a:noFill/>
          <a:miter lim="800000"/>
          <a:headEnd/>
          <a:tailEnd/>
        </a:ln>
      </cdr:spPr>
    </cdr:sp>
  </cdr:relSizeAnchor>
</c:userShapes>
</file>

<file path=xl/drawings/drawing28.xml><?xml version="1.0" encoding="utf-8"?>
<c:userShapes xmlns:c="http://schemas.openxmlformats.org/drawingml/2006/chart">
  <cdr:relSizeAnchor xmlns:cdr="http://schemas.openxmlformats.org/drawingml/2006/chartDrawing">
    <cdr:from>
      <cdr:x>0.00652</cdr:x>
      <cdr:y>0.02964</cdr:y>
    </cdr:from>
    <cdr:to>
      <cdr:x>0.00652</cdr:x>
      <cdr:y>0.05659</cdr:y>
    </cdr:to>
    <cdr:sp macro="" textlink="">
      <cdr:nvSpPr>
        <cdr:cNvPr id="20481" name="Text Box 1"/>
        <cdr:cNvSpPr txBox="1">
          <a:spLocks xmlns:a="http://schemas.openxmlformats.org/drawingml/2006/main" noChangeArrowheads="1"/>
        </cdr:cNvSpPr>
      </cdr:nvSpPr>
      <cdr:spPr bwMode="auto">
        <a:xfrm xmlns:a="http://schemas.openxmlformats.org/drawingml/2006/main">
          <a:off x="50800" y="143764"/>
          <a:ext cx="0" cy="127826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 w="9525">
          <a:noFill/>
          <a:miter lim="800000"/>
          <a:headEnd/>
          <a:tailEnd/>
        </a:ln>
      </cdr:spPr>
      <cdr:txBody>
        <a:bodyPr xmlns:a="http://schemas.openxmlformats.org/drawingml/2006/main" vertOverflow="clip" wrap="square" lIns="27432" tIns="22860" rIns="27432" bIns="0" anchor="t" upright="1"/>
        <a:lstStyle xmlns:a="http://schemas.openxmlformats.org/drawingml/2006/main"/>
        <a:p xmlns:a="http://schemas.openxmlformats.org/drawingml/2006/main">
          <a:pPr algn="ctr" rtl="0">
            <a:defRPr sz="1000"/>
          </a:pPr>
          <a:r>
            <a:rPr lang="en-GB" sz="1000" b="1" i="0" u="none" strike="noStrike" baseline="0">
              <a:solidFill>
                <a:srgbClr val="000080"/>
              </a:solidFill>
              <a:latin typeface="Arial"/>
              <a:cs typeface="Arial"/>
            </a:rPr>
            <a:t>by SOC 2000 Sub-Major Group</a:t>
          </a:r>
        </a:p>
      </cdr:txBody>
    </cdr:sp>
  </cdr:relSizeAnchor>
  <cdr:relSizeAnchor xmlns:cdr="http://schemas.openxmlformats.org/drawingml/2006/chartDrawing">
    <cdr:from>
      <cdr:x>0.00652</cdr:x>
      <cdr:y>0.05659</cdr:y>
    </cdr:from>
    <cdr:to>
      <cdr:x>0.00652</cdr:x>
      <cdr:y>0.08329</cdr:y>
    </cdr:to>
    <cdr:sp macro="" textlink="">
      <cdr:nvSpPr>
        <cdr:cNvPr id="20482" name="Text Box 2"/>
        <cdr:cNvSpPr txBox="1">
          <a:spLocks xmlns:a="http://schemas.openxmlformats.org/drawingml/2006/main" noChangeArrowheads="1"/>
        </cdr:cNvSpPr>
      </cdr:nvSpPr>
      <cdr:spPr bwMode="auto">
        <a:xfrm xmlns:a="http://schemas.openxmlformats.org/drawingml/2006/main">
          <a:off x="50800" y="271590"/>
          <a:ext cx="0" cy="126663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 w="9525">
          <a:noFill/>
          <a:miter lim="800000"/>
          <a:headEnd/>
          <a:tailEnd/>
        </a:ln>
      </cdr:spPr>
    </cdr:sp>
  </cdr:relSizeAnchor>
</c:userShapes>
</file>

<file path=xl/drawings/drawing29.xml><?xml version="1.0" encoding="utf-8"?>
<xdr:wsDr xmlns:xdr="http://schemas.openxmlformats.org/drawingml/2006/spreadsheetDrawing" xmlns:a="http://schemas.openxmlformats.org/drawingml/2006/main">
  <xdr:twoCellAnchor editAs="oneCell">
    <xdr:from>
      <xdr:col>40</xdr:col>
      <xdr:colOff>105522</xdr:colOff>
      <xdr:row>0</xdr:row>
      <xdr:rowOff>0</xdr:rowOff>
    </xdr:from>
    <xdr:to>
      <xdr:col>40</xdr:col>
      <xdr:colOff>477184</xdr:colOff>
      <xdr:row>2</xdr:row>
      <xdr:rowOff>11206</xdr:rowOff>
    </xdr:to>
    <xdr:pic>
      <xdr:nvPicPr>
        <xdr:cNvPr id="2" name="Picture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1E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9298397" y="0"/>
          <a:ext cx="371662" cy="376331"/>
        </a:xfrm>
        <a:prstGeom prst="rect">
          <a:avLst/>
        </a:prstGeom>
      </xdr:spPr>
    </xdr:pic>
    <xdr:clientData/>
  </xdr:twoCellAnchor>
</xdr:wsDr>
</file>

<file path=xl/drawings/drawing30.xml><?xml version="1.0" encoding="utf-8"?>
<xdr:wsDr xmlns:xdr="http://schemas.openxmlformats.org/drawingml/2006/spreadsheetDrawing" xmlns:a="http://schemas.openxmlformats.org/drawingml/2006/main">
  <xdr:twoCellAnchor editAs="oneCell">
    <xdr:from>
      <xdr:col>98</xdr:col>
      <xdr:colOff>93381</xdr:colOff>
      <xdr:row>0</xdr:row>
      <xdr:rowOff>331508</xdr:rowOff>
    </xdr:from>
    <xdr:to>
      <xdr:col>98</xdr:col>
      <xdr:colOff>462242</xdr:colOff>
      <xdr:row>1</xdr:row>
      <xdr:rowOff>73773</xdr:rowOff>
    </xdr:to>
    <xdr:pic>
      <xdr:nvPicPr>
        <xdr:cNvPr id="2" name="Picture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1F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4911006" y="331508"/>
          <a:ext cx="368861" cy="377265"/>
        </a:xfrm>
        <a:prstGeom prst="rect">
          <a:avLst/>
        </a:prstGeom>
      </xdr:spPr>
    </xdr:pic>
    <xdr:clientData/>
  </xdr:twoCellAnchor>
</xdr:wsDr>
</file>

<file path=xl/drawings/drawing31.xml><?xml version="1.0" encoding="utf-8"?>
<xdr:wsDr xmlns:xdr="http://schemas.openxmlformats.org/drawingml/2006/spreadsheetDrawing" xmlns:a="http://schemas.openxmlformats.org/drawingml/2006/main">
  <xdr:twoCellAnchor editAs="oneCell">
    <xdr:from>
      <xdr:col>33</xdr:col>
      <xdr:colOff>92449</xdr:colOff>
      <xdr:row>0</xdr:row>
      <xdr:rowOff>15875</xdr:rowOff>
    </xdr:from>
    <xdr:to>
      <xdr:col>33</xdr:col>
      <xdr:colOff>464111</xdr:colOff>
      <xdr:row>1</xdr:row>
      <xdr:rowOff>183963</xdr:rowOff>
    </xdr:to>
    <xdr:pic>
      <xdr:nvPicPr>
        <xdr:cNvPr id="2" name="Picture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20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8111824" y="15875"/>
          <a:ext cx="371662" cy="374463"/>
        </a:xfrm>
        <a:prstGeom prst="rect">
          <a:avLst/>
        </a:prstGeom>
      </xdr:spPr>
    </xdr:pic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/dfeesudb/stfdir/output/roee_c01.xls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roee_c01"/>
      <sheetName val="Contents"/>
      <sheetName val="Chapter 7 - Charts"/>
      <sheetName val="Chapter 5 - Charts"/>
      <sheetName val="Chapter 3 - Charts"/>
      <sheetName val="Chapter 4 - Charts"/>
      <sheetName val="Chapter 2 - Charts"/>
    </sheetNames>
    <sheetDataSet>
      <sheetData sheetId="0" refreshError="1"/>
      <sheetData sheetId="1" refreshError="1"/>
      <sheetData sheetId="2" refreshError="1">
        <row r="25">
          <cell r="D25" t="str">
            <v>Chart 7.1.   Regional economic activity rates, 1971-2010</v>
          </cell>
        </row>
        <row r="26">
          <cell r="D26" t="str">
            <v>All Regions</v>
          </cell>
        </row>
        <row r="27">
          <cell r="D27" t="str">
            <v>Total Employment</v>
          </cell>
        </row>
        <row r="67">
          <cell r="D67" t="str">
            <v>Chart 7.2.   Regional unemployment rates, 1971-2010</v>
          </cell>
        </row>
        <row r="68">
          <cell r="D68" t="str">
            <v>All Regions</v>
          </cell>
        </row>
        <row r="69">
          <cell r="D69" t="str">
            <v>Total Employment</v>
          </cell>
        </row>
        <row r="366">
          <cell r="D366" t="str">
            <v>Chart 7.6.b. (a)   Employment Levels by Broad Industrial Sector</v>
          </cell>
        </row>
        <row r="367">
          <cell r="D367" t="str">
            <v>East</v>
          </cell>
        </row>
        <row r="368">
          <cell r="D368" t="str">
            <v>Total Employment</v>
          </cell>
        </row>
        <row r="410">
          <cell r="D410" t="str">
            <v>Chart 7.7.b. (a)   Employment Levels by Broad Industrial Sector</v>
          </cell>
        </row>
        <row r="411">
          <cell r="D411" t="str">
            <v>North West</v>
          </cell>
        </row>
        <row r="412">
          <cell r="D412" t="str">
            <v>Total Employment</v>
          </cell>
        </row>
        <row r="454">
          <cell r="D454" t="str">
            <v>Chart 7.5.b. (b)   Employment Growth by Broad Industrial Sector</v>
          </cell>
        </row>
        <row r="455">
          <cell r="D455" t="str">
            <v>London</v>
          </cell>
        </row>
        <row r="456">
          <cell r="D456" t="str">
            <v>Total Employment</v>
          </cell>
        </row>
        <row r="499">
          <cell r="D499" t="str">
            <v>Chart 7.6.b. (b)   Employment Growth by Broad Industrial Sector</v>
          </cell>
        </row>
        <row r="500">
          <cell r="D500" t="str">
            <v>East</v>
          </cell>
        </row>
        <row r="501">
          <cell r="D501" t="str">
            <v>Total Employment</v>
          </cell>
        </row>
        <row r="543">
          <cell r="D543" t="str">
            <v>Chart 7.7.b. (b)   Employment Growth by Broad Industrial Sector</v>
          </cell>
        </row>
        <row r="544">
          <cell r="D544" t="str">
            <v>North West</v>
          </cell>
        </row>
        <row r="545">
          <cell r="D545" t="str">
            <v>Total Employment</v>
          </cell>
        </row>
        <row r="843">
          <cell r="D843" t="str">
            <v xml:space="preserve">Chart 7.10.a  Employment profiles by gender in the 'Distribution &amp; Transport, etc.' sector. </v>
          </cell>
        </row>
        <row r="844">
          <cell r="D844" t="str">
            <v>South West</v>
          </cell>
        </row>
        <row r="845">
          <cell r="D845" t="str">
            <v>Males</v>
          </cell>
        </row>
        <row r="886">
          <cell r="D886" t="str">
            <v xml:space="preserve">Chart 7.10.b  Employment profiles by gender in the 'Distribution &amp; Transport, etc.' sector. </v>
          </cell>
        </row>
        <row r="887">
          <cell r="D887" t="str">
            <v>South West</v>
          </cell>
        </row>
        <row r="888">
          <cell r="D888" t="str">
            <v>Females</v>
          </cell>
        </row>
        <row r="931">
          <cell r="D931" t="str">
            <v>Chart 7.11.a  Changing Occupational Profile of employment in Banking &amp; Business Services</v>
          </cell>
        </row>
        <row r="932">
          <cell r="D932" t="str">
            <v>London</v>
          </cell>
        </row>
        <row r="976">
          <cell r="D976" t="str">
            <v>Chart 7.11.b  Changing Occupational Profile of employment in Banking &amp; Business Services</v>
          </cell>
        </row>
        <row r="977">
          <cell r="D977" t="str">
            <v>Yorkshire &amp; the Humber</v>
          </cell>
        </row>
        <row r="1021">
          <cell r="D1021" t="str">
            <v>Chart 7.12.a.  Changing occupational profile of employment in Engineering</v>
          </cell>
        </row>
        <row r="1022">
          <cell r="D1022" t="str">
            <v>South East</v>
          </cell>
        </row>
        <row r="1065">
          <cell r="D1065" t="str">
            <v>Chart 7.12.b.  Changing occupational profile of employment in Engineering</v>
          </cell>
        </row>
        <row r="1066">
          <cell r="D1066" t="str">
            <v>West Midlands</v>
          </cell>
        </row>
        <row r="1110">
          <cell r="D1110" t="str">
            <v>Chart 7.12.c.  Changing occupational profile of employment in Engineering</v>
          </cell>
        </row>
        <row r="1111">
          <cell r="D1111" t="str">
            <v>Wales</v>
          </cell>
        </row>
      </sheetData>
      <sheetData sheetId="3" refreshError="1">
        <row r="25">
          <cell r="D25" t="str">
            <v>Chart 5.1.  Qualification Structure, 1979-1998 [% of total employment]</v>
          </cell>
        </row>
        <row r="26">
          <cell r="D26" t="str">
            <v>United Kingdom</v>
          </cell>
        </row>
        <row r="27">
          <cell r="D27" t="str">
            <v>Total Employment</v>
          </cell>
        </row>
        <row r="62">
          <cell r="D62" t="str">
            <v>Source: Labour Force Survey</v>
          </cell>
        </row>
        <row r="71">
          <cell r="D71" t="str">
            <v>Chart 5.2. (a)  Change in Employment Shares, 1979 - 1998 [% of total employment]</v>
          </cell>
        </row>
        <row r="72">
          <cell r="D72" t="str">
            <v>United Kingdom</v>
          </cell>
        </row>
        <row r="73">
          <cell r="D73" t="str">
            <v>Total Employment</v>
          </cell>
        </row>
        <row r="75">
          <cell r="AJ75">
            <v>2531.5990000000002</v>
          </cell>
          <cell r="AK75">
            <v>4287.2929999999997</v>
          </cell>
        </row>
        <row r="76">
          <cell r="AJ76">
            <v>1804.5730000000001</v>
          </cell>
          <cell r="AK76">
            <v>2817.6059999999998</v>
          </cell>
        </row>
        <row r="77">
          <cell r="AJ77">
            <v>1520.395</v>
          </cell>
          <cell r="AK77">
            <v>2662.07</v>
          </cell>
        </row>
        <row r="78">
          <cell r="AJ78">
            <v>4189.2690000000002</v>
          </cell>
          <cell r="AK78">
            <v>3973.6420000000007</v>
          </cell>
        </row>
        <row r="79">
          <cell r="AJ79">
            <v>4706.652</v>
          </cell>
          <cell r="AK79">
            <v>3247.0230000000001</v>
          </cell>
        </row>
        <row r="80">
          <cell r="AJ80">
            <v>1555.508</v>
          </cell>
          <cell r="AK80">
            <v>2827.058</v>
          </cell>
        </row>
        <row r="81">
          <cell r="AJ81">
            <v>999.12599999999998</v>
          </cell>
          <cell r="AK81">
            <v>1782.453</v>
          </cell>
        </row>
        <row r="82">
          <cell r="AJ82">
            <v>3585.4629999999997</v>
          </cell>
          <cell r="AK82">
            <v>2524.634</v>
          </cell>
        </row>
        <row r="83">
          <cell r="AJ83">
            <v>2810.288</v>
          </cell>
          <cell r="AK83">
            <v>2123.3029999999999</v>
          </cell>
        </row>
        <row r="84">
          <cell r="AJ84">
            <v>0</v>
          </cell>
          <cell r="AK84">
            <v>115.41700000000002</v>
          </cell>
        </row>
        <row r="85">
          <cell r="AJ85">
            <v>23702.873</v>
          </cell>
          <cell r="AK85">
            <v>26360.499000000003</v>
          </cell>
        </row>
        <row r="108">
          <cell r="D108" t="str">
            <v>Source: Labour Force Survey</v>
          </cell>
        </row>
        <row r="118">
          <cell r="D118" t="str">
            <v>Chart 5.2. (b)  Change in Employment Shares, 1983 - 1998 [% of total employment]</v>
          </cell>
        </row>
        <row r="119">
          <cell r="D119" t="str">
            <v>United Kingdom</v>
          </cell>
        </row>
        <row r="120">
          <cell r="D120" t="str">
            <v>Total Employment</v>
          </cell>
        </row>
        <row r="530">
          <cell r="D530" t="str">
            <v>Chart 5.3.  Change in Employment by Qualification, 1983 - 1998</v>
          </cell>
        </row>
        <row r="531">
          <cell r="D531" t="str">
            <v>United Kingdom</v>
          </cell>
        </row>
        <row r="532">
          <cell r="D532" t="str">
            <v>Total Employment</v>
          </cell>
        </row>
        <row r="567">
          <cell r="D567" t="str">
            <v>Source: Labour Force Survey</v>
          </cell>
        </row>
      </sheetData>
      <sheetData sheetId="4" refreshError="1">
        <row r="118">
          <cell r="D118" t="str">
            <v>Chart 3.4.  Change in Employment Structure, 1981-2010</v>
          </cell>
        </row>
        <row r="119">
          <cell r="D119" t="str">
            <v>United Kingdom</v>
          </cell>
        </row>
        <row r="120">
          <cell r="D120" t="str">
            <v>Total Employment</v>
          </cell>
        </row>
        <row r="599">
          <cell r="D599" t="str">
            <v>Chart 3.4.  Change in Employmend Broad by sector, 1981 - 2010</v>
          </cell>
        </row>
      </sheetData>
      <sheetData sheetId="5" refreshError="1">
        <row r="25">
          <cell r="D25" t="str">
            <v>Chart 4.2.(a)  Occupational Change, 1999-2010</v>
          </cell>
        </row>
        <row r="26">
          <cell r="D26" t="str">
            <v>United Kingdom</v>
          </cell>
        </row>
        <row r="27">
          <cell r="D27" t="str">
            <v>Total Employment</v>
          </cell>
        </row>
        <row r="62">
          <cell r="D62" t="str">
            <v>Source: CE/IER estimates, F92F9 Forecast</v>
          </cell>
        </row>
        <row r="71">
          <cell r="D71" t="str">
            <v>Chart 4.3.(a)  Occupational Change, 1999-2010</v>
          </cell>
        </row>
        <row r="72">
          <cell r="D72" t="str">
            <v>United Kingdom</v>
          </cell>
        </row>
        <row r="73">
          <cell r="D73" t="str">
            <v>Male Employment</v>
          </cell>
        </row>
        <row r="108">
          <cell r="D108" t="str">
            <v>Source: CE/IER estimates, F92F9 Forecast</v>
          </cell>
        </row>
        <row r="118">
          <cell r="D118" t="str">
            <v>Chart 4.4.(a)  Occupational Change, 1999-2010</v>
          </cell>
        </row>
        <row r="119">
          <cell r="D119" t="str">
            <v>United Kingdom</v>
          </cell>
        </row>
        <row r="120">
          <cell r="D120" t="str">
            <v>Female Employment</v>
          </cell>
        </row>
        <row r="155">
          <cell r="D155" t="str">
            <v>Source: CE/IER estimates, F92F9 Forecast</v>
          </cell>
        </row>
        <row r="165">
          <cell r="D165" t="str">
            <v>Chart 4.2.(b)  Occupational Change by Status, 1999-2010</v>
          </cell>
        </row>
        <row r="166">
          <cell r="D166" t="str">
            <v>United Kingdom</v>
          </cell>
        </row>
        <row r="167">
          <cell r="D167" t="str">
            <v>Total Employment</v>
          </cell>
        </row>
        <row r="209">
          <cell r="D209" t="str">
            <v>Source: CE/IER estimates, F92F9 Forecast</v>
          </cell>
        </row>
        <row r="216">
          <cell r="D216" t="str">
            <v>Chart 4.3.(b)  Occupational Change by Status, 1999-2010</v>
          </cell>
        </row>
        <row r="217">
          <cell r="D217" t="str">
            <v>United Kingdom</v>
          </cell>
        </row>
        <row r="218">
          <cell r="D218" t="str">
            <v>Male Employment</v>
          </cell>
        </row>
        <row r="260">
          <cell r="D260" t="str">
            <v>Source: CE/IER estimates, F92F9 Forecast</v>
          </cell>
        </row>
        <row r="267">
          <cell r="D267" t="str">
            <v>Chart 4.4.(b)  Occupational Change by Status, 1999-2010</v>
          </cell>
        </row>
        <row r="268">
          <cell r="D268" t="str">
            <v>United Kingdom</v>
          </cell>
        </row>
        <row r="269">
          <cell r="D269" t="str">
            <v>Female Employment</v>
          </cell>
        </row>
        <row r="311">
          <cell r="D311" t="str">
            <v>Source: CE/IER estimates, F92F9 Forecast</v>
          </cell>
        </row>
      </sheetData>
      <sheetData sheetId="6" refreshError="1">
        <row r="71">
          <cell r="D71" t="str">
            <v>Chart 2.2.  Growth in  Unemployment, Employment &amp; Labour Force, 1999-2010</v>
          </cell>
        </row>
        <row r="72">
          <cell r="D72" t="str">
            <v>United Kingdom</v>
          </cell>
        </row>
        <row r="73">
          <cell r="D73" t="str">
            <v>Total Employment</v>
          </cell>
        </row>
        <row r="108">
          <cell r="D108" t="str">
            <v>Source: CE/IER estimates, F02F9 Forecast</v>
          </cell>
        </row>
      </sheetData>
    </sheetDataSet>
  </externalBook>
</externalLink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.bin"/><Relationship Id="rId1" Type="http://schemas.openxmlformats.org/officeDocument/2006/relationships/hyperlink" Target="mailto:r.a.wilson@warwick.ac.uk" TargetMode="Externa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7" Type="http://schemas.openxmlformats.org/officeDocument/2006/relationships/image" Target="../media/image2.emf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3.bin"/><Relationship Id="rId6" Type="http://schemas.openxmlformats.org/officeDocument/2006/relationships/control" Target="../activeX/activeX2.xml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4.bin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5.bin"/></Relationships>
</file>

<file path=xl/worksheets/_rels/sheet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6.bin"/></Relationships>
</file>

<file path=xl/worksheets/_rels/sheet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7.bin"/></Relationships>
</file>

<file path=xl/worksheets/_rels/sheet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8.bin"/></Relationships>
</file>

<file path=xl/worksheets/_rels/sheet10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9.bin"/></Relationships>
</file>

<file path=xl/worksheets/_rels/sheet1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8.xml"/><Relationship Id="rId1" Type="http://schemas.openxmlformats.org/officeDocument/2006/relationships/printerSettings" Target="../printerSettings/printerSettings10.bin"/></Relationships>
</file>

<file path=xl/worksheets/_rels/sheet1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9.xml"/><Relationship Id="rId1" Type="http://schemas.openxmlformats.org/officeDocument/2006/relationships/printerSettings" Target="../printerSettings/printerSettings11.bin"/></Relationships>
</file>

<file path=xl/worksheets/_rels/sheet1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0.xml"/><Relationship Id="rId1" Type="http://schemas.openxmlformats.org/officeDocument/2006/relationships/printerSettings" Target="../printerSettings/printerSettings12.bin"/></Relationships>
</file>

<file path=xl/worksheets/_rels/sheet1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1.xml"/><Relationship Id="rId1" Type="http://schemas.openxmlformats.org/officeDocument/2006/relationships/printerSettings" Target="../printerSettings/printerSettings13.bin"/></Relationships>
</file>

<file path=xl/worksheets/_rels/sheet1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2.xml"/><Relationship Id="rId1" Type="http://schemas.openxmlformats.org/officeDocument/2006/relationships/printerSettings" Target="../printerSettings/printerSettings14.bin"/></Relationships>
</file>

<file path=xl/worksheets/_rels/sheet1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3.xml"/><Relationship Id="rId1" Type="http://schemas.openxmlformats.org/officeDocument/2006/relationships/printerSettings" Target="../printerSettings/printerSettings15.bin"/></Relationships>
</file>

<file path=xl/worksheets/_rels/sheet1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4.xml"/><Relationship Id="rId1" Type="http://schemas.openxmlformats.org/officeDocument/2006/relationships/printerSettings" Target="../printerSettings/printerSettings16.bin"/></Relationships>
</file>

<file path=xl/worksheets/_rels/sheet1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5.xml"/><Relationship Id="rId1" Type="http://schemas.openxmlformats.org/officeDocument/2006/relationships/printerSettings" Target="../printerSettings/printerSettings17.bin"/></Relationships>
</file>

<file path=xl/worksheets/_rels/sheet1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6.xml"/><Relationship Id="rId1" Type="http://schemas.openxmlformats.org/officeDocument/2006/relationships/printerSettings" Target="../printerSettings/printerSettings18.bin"/></Relationships>
</file>

<file path=xl/worksheets/_rels/sheet20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7.xml"/><Relationship Id="rId1" Type="http://schemas.openxmlformats.org/officeDocument/2006/relationships/printerSettings" Target="../printerSettings/printerSettings19.bin"/></Relationships>
</file>

<file path=xl/worksheets/_rels/sheet2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8.xml"/><Relationship Id="rId1" Type="http://schemas.openxmlformats.org/officeDocument/2006/relationships/printerSettings" Target="../printerSettings/printerSettings20.bin"/></Relationships>
</file>

<file path=xl/worksheets/_rels/sheet2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9.xml"/><Relationship Id="rId1" Type="http://schemas.openxmlformats.org/officeDocument/2006/relationships/printerSettings" Target="../printerSettings/printerSettings21.bin"/></Relationships>
</file>

<file path=xl/worksheets/_rels/sheet2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0.xml"/><Relationship Id="rId1" Type="http://schemas.openxmlformats.org/officeDocument/2006/relationships/printerSettings" Target="../printerSettings/printerSettings22.bin"/></Relationships>
</file>

<file path=xl/worksheets/_rels/sheet2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1.xml"/><Relationship Id="rId1" Type="http://schemas.openxmlformats.org/officeDocument/2006/relationships/printerSettings" Target="../printerSettings/printerSettings23.bin"/></Relationships>
</file>

<file path=xl/worksheets/_rels/sheet2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2.xml"/><Relationship Id="rId1" Type="http://schemas.openxmlformats.org/officeDocument/2006/relationships/printerSettings" Target="../printerSettings/printerSettings24.bin"/></Relationships>
</file>

<file path=xl/worksheets/_rels/sheet2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3.xml"/><Relationship Id="rId1" Type="http://schemas.openxmlformats.org/officeDocument/2006/relationships/printerSettings" Target="../printerSettings/printerSettings25.bin"/></Relationships>
</file>

<file path=xl/worksheets/_rels/sheet2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6.bin"/></Relationships>
</file>

<file path=xl/worksheets/_rels/sheet2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4.xml"/><Relationship Id="rId1" Type="http://schemas.openxmlformats.org/officeDocument/2006/relationships/printerSettings" Target="../printerSettings/printerSettings27.bin"/></Relationships>
</file>

<file path=xl/worksheets/_rels/sheet2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5.xml"/><Relationship Id="rId1" Type="http://schemas.openxmlformats.org/officeDocument/2006/relationships/printerSettings" Target="../printerSettings/printerSettings28.bin"/></Relationships>
</file>

<file path=xl/worksheets/_rels/sheet30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6.xml"/><Relationship Id="rId1" Type="http://schemas.openxmlformats.org/officeDocument/2006/relationships/printerSettings" Target="../printerSettings/printerSettings29.bin"/></Relationships>
</file>

<file path=xl/worksheets/_rels/sheet3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9.xml"/><Relationship Id="rId1" Type="http://schemas.openxmlformats.org/officeDocument/2006/relationships/printerSettings" Target="../printerSettings/printerSettings30.bin"/></Relationships>
</file>

<file path=xl/worksheets/_rels/sheet3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0.xml"/><Relationship Id="rId1" Type="http://schemas.openxmlformats.org/officeDocument/2006/relationships/printerSettings" Target="../printerSettings/printerSettings31.bin"/></Relationships>
</file>

<file path=xl/worksheets/_rels/sheet3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1.xml"/><Relationship Id="rId1" Type="http://schemas.openxmlformats.org/officeDocument/2006/relationships/printerSettings" Target="../printerSettings/printerSettings32.bin"/></Relationships>
</file>

<file path=xl/worksheets/_rels/sheet3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3.bin"/></Relationships>
</file>

<file path=xl/worksheets/_rels/sheet3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4.bin"/></Relationships>
</file>

<file path=xl/worksheets/_rels/sheet3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5.bin"/></Relationships>
</file>

<file path=xl/worksheets/_rels/sheet3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6.bin"/></Relationships>
</file>

<file path=xl/worksheets/_rels/sheet3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7.bin"/></Relationships>
</file>

<file path=xl/worksheets/_rels/sheet3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8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4"/>
  <dimension ref="A1:J12"/>
  <sheetViews>
    <sheetView workbookViewId="0">
      <selection activeCell="B2" sqref="B2"/>
    </sheetView>
  </sheetViews>
  <sheetFormatPr defaultRowHeight="12.75" x14ac:dyDescent="0.2"/>
  <cols>
    <col min="1" max="1" width="16.42578125" customWidth="1"/>
  </cols>
  <sheetData>
    <row r="1" spans="1:10" x14ac:dyDescent="0.2">
      <c r="B1">
        <v>1</v>
      </c>
      <c r="C1">
        <v>2</v>
      </c>
      <c r="D1">
        <v>3</v>
      </c>
      <c r="E1">
        <v>4</v>
      </c>
      <c r="F1">
        <v>5</v>
      </c>
      <c r="G1">
        <v>6</v>
      </c>
      <c r="H1">
        <v>7</v>
      </c>
      <c r="I1">
        <v>8</v>
      </c>
      <c r="J1">
        <v>9</v>
      </c>
    </row>
    <row r="2" spans="1:10" x14ac:dyDescent="0.2">
      <c r="A2" t="s">
        <v>146</v>
      </c>
      <c r="B2" s="83" t="s">
        <v>524</v>
      </c>
      <c r="C2" t="s">
        <v>508</v>
      </c>
      <c r="D2" t="s">
        <v>507</v>
      </c>
    </row>
    <row r="3" spans="1:10" x14ac:dyDescent="0.2">
      <c r="B3" s="83"/>
    </row>
    <row r="11" spans="1:10" x14ac:dyDescent="0.2">
      <c r="A11" t="s">
        <v>147</v>
      </c>
      <c r="B11" s="83" t="s">
        <v>524</v>
      </c>
    </row>
    <row r="12" spans="1:10" x14ac:dyDescent="0.2">
      <c r="B12" s="83"/>
    </row>
  </sheetData>
  <phoneticPr fontId="4" type="noConversion"/>
  <pageMargins left="0.75" right="0.75" top="1" bottom="1" header="0.5" footer="0.5"/>
  <headerFooter alignWithMargins="0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59"/>
  <dimension ref="A1:N93"/>
  <sheetViews>
    <sheetView showGridLines="0" tabSelected="1" zoomScale="75" zoomScaleNormal="75" workbookViewId="0"/>
  </sheetViews>
  <sheetFormatPr defaultColWidth="10.42578125" defaultRowHeight="12.75" x14ac:dyDescent="0.2"/>
  <cols>
    <col min="1" max="13" width="11.5703125" style="214" customWidth="1"/>
    <col min="14" max="256" width="10.42578125" style="214"/>
    <col min="257" max="269" width="11.5703125" style="214" customWidth="1"/>
    <col min="270" max="512" width="10.42578125" style="214"/>
    <col min="513" max="525" width="11.5703125" style="214" customWidth="1"/>
    <col min="526" max="768" width="10.42578125" style="214"/>
    <col min="769" max="781" width="11.5703125" style="214" customWidth="1"/>
    <col min="782" max="1024" width="10.42578125" style="214"/>
    <col min="1025" max="1037" width="11.5703125" style="214" customWidth="1"/>
    <col min="1038" max="1280" width="10.42578125" style="214"/>
    <col min="1281" max="1293" width="11.5703125" style="214" customWidth="1"/>
    <col min="1294" max="1536" width="10.42578125" style="214"/>
    <col min="1537" max="1549" width="11.5703125" style="214" customWidth="1"/>
    <col min="1550" max="1792" width="10.42578125" style="214"/>
    <col min="1793" max="1805" width="11.5703125" style="214" customWidth="1"/>
    <col min="1806" max="2048" width="10.42578125" style="214"/>
    <col min="2049" max="2061" width="11.5703125" style="214" customWidth="1"/>
    <col min="2062" max="2304" width="10.42578125" style="214"/>
    <col min="2305" max="2317" width="11.5703125" style="214" customWidth="1"/>
    <col min="2318" max="2560" width="10.42578125" style="214"/>
    <col min="2561" max="2573" width="11.5703125" style="214" customWidth="1"/>
    <col min="2574" max="2816" width="10.42578125" style="214"/>
    <col min="2817" max="2829" width="11.5703125" style="214" customWidth="1"/>
    <col min="2830" max="3072" width="10.42578125" style="214"/>
    <col min="3073" max="3085" width="11.5703125" style="214" customWidth="1"/>
    <col min="3086" max="3328" width="10.42578125" style="214"/>
    <col min="3329" max="3341" width="11.5703125" style="214" customWidth="1"/>
    <col min="3342" max="3584" width="10.42578125" style="214"/>
    <col min="3585" max="3597" width="11.5703125" style="214" customWidth="1"/>
    <col min="3598" max="3840" width="10.42578125" style="214"/>
    <col min="3841" max="3853" width="11.5703125" style="214" customWidth="1"/>
    <col min="3854" max="4096" width="10.42578125" style="214"/>
    <col min="4097" max="4109" width="11.5703125" style="214" customWidth="1"/>
    <col min="4110" max="4352" width="10.42578125" style="214"/>
    <col min="4353" max="4365" width="11.5703125" style="214" customWidth="1"/>
    <col min="4366" max="4608" width="10.42578125" style="214"/>
    <col min="4609" max="4621" width="11.5703125" style="214" customWidth="1"/>
    <col min="4622" max="4864" width="10.42578125" style="214"/>
    <col min="4865" max="4877" width="11.5703125" style="214" customWidth="1"/>
    <col min="4878" max="5120" width="10.42578125" style="214"/>
    <col min="5121" max="5133" width="11.5703125" style="214" customWidth="1"/>
    <col min="5134" max="5376" width="10.42578125" style="214"/>
    <col min="5377" max="5389" width="11.5703125" style="214" customWidth="1"/>
    <col min="5390" max="5632" width="10.42578125" style="214"/>
    <col min="5633" max="5645" width="11.5703125" style="214" customWidth="1"/>
    <col min="5646" max="5888" width="10.42578125" style="214"/>
    <col min="5889" max="5901" width="11.5703125" style="214" customWidth="1"/>
    <col min="5902" max="6144" width="10.42578125" style="214"/>
    <col min="6145" max="6157" width="11.5703125" style="214" customWidth="1"/>
    <col min="6158" max="6400" width="10.42578125" style="214"/>
    <col min="6401" max="6413" width="11.5703125" style="214" customWidth="1"/>
    <col min="6414" max="6656" width="10.42578125" style="214"/>
    <col min="6657" max="6669" width="11.5703125" style="214" customWidth="1"/>
    <col min="6670" max="6912" width="10.42578125" style="214"/>
    <col min="6913" max="6925" width="11.5703125" style="214" customWidth="1"/>
    <col min="6926" max="7168" width="10.42578125" style="214"/>
    <col min="7169" max="7181" width="11.5703125" style="214" customWidth="1"/>
    <col min="7182" max="7424" width="10.42578125" style="214"/>
    <col min="7425" max="7437" width="11.5703125" style="214" customWidth="1"/>
    <col min="7438" max="7680" width="10.42578125" style="214"/>
    <col min="7681" max="7693" width="11.5703125" style="214" customWidth="1"/>
    <col min="7694" max="7936" width="10.42578125" style="214"/>
    <col min="7937" max="7949" width="11.5703125" style="214" customWidth="1"/>
    <col min="7950" max="8192" width="10.42578125" style="214"/>
    <col min="8193" max="8205" width="11.5703125" style="214" customWidth="1"/>
    <col min="8206" max="8448" width="10.42578125" style="214"/>
    <col min="8449" max="8461" width="11.5703125" style="214" customWidth="1"/>
    <col min="8462" max="8704" width="10.42578125" style="214"/>
    <col min="8705" max="8717" width="11.5703125" style="214" customWidth="1"/>
    <col min="8718" max="8960" width="10.42578125" style="214"/>
    <col min="8961" max="8973" width="11.5703125" style="214" customWidth="1"/>
    <col min="8974" max="9216" width="10.42578125" style="214"/>
    <col min="9217" max="9229" width="11.5703125" style="214" customWidth="1"/>
    <col min="9230" max="9472" width="10.42578125" style="214"/>
    <col min="9473" max="9485" width="11.5703125" style="214" customWidth="1"/>
    <col min="9486" max="9728" width="10.42578125" style="214"/>
    <col min="9729" max="9741" width="11.5703125" style="214" customWidth="1"/>
    <col min="9742" max="9984" width="10.42578125" style="214"/>
    <col min="9985" max="9997" width="11.5703125" style="214" customWidth="1"/>
    <col min="9998" max="10240" width="10.42578125" style="214"/>
    <col min="10241" max="10253" width="11.5703125" style="214" customWidth="1"/>
    <col min="10254" max="10496" width="10.42578125" style="214"/>
    <col min="10497" max="10509" width="11.5703125" style="214" customWidth="1"/>
    <col min="10510" max="10752" width="10.42578125" style="214"/>
    <col min="10753" max="10765" width="11.5703125" style="214" customWidth="1"/>
    <col min="10766" max="11008" width="10.42578125" style="214"/>
    <col min="11009" max="11021" width="11.5703125" style="214" customWidth="1"/>
    <col min="11022" max="11264" width="10.42578125" style="214"/>
    <col min="11265" max="11277" width="11.5703125" style="214" customWidth="1"/>
    <col min="11278" max="11520" width="10.42578125" style="214"/>
    <col min="11521" max="11533" width="11.5703125" style="214" customWidth="1"/>
    <col min="11534" max="11776" width="10.42578125" style="214"/>
    <col min="11777" max="11789" width="11.5703125" style="214" customWidth="1"/>
    <col min="11790" max="12032" width="10.42578125" style="214"/>
    <col min="12033" max="12045" width="11.5703125" style="214" customWidth="1"/>
    <col min="12046" max="12288" width="10.42578125" style="214"/>
    <col min="12289" max="12301" width="11.5703125" style="214" customWidth="1"/>
    <col min="12302" max="12544" width="10.42578125" style="214"/>
    <col min="12545" max="12557" width="11.5703125" style="214" customWidth="1"/>
    <col min="12558" max="12800" width="10.42578125" style="214"/>
    <col min="12801" max="12813" width="11.5703125" style="214" customWidth="1"/>
    <col min="12814" max="13056" width="10.42578125" style="214"/>
    <col min="13057" max="13069" width="11.5703125" style="214" customWidth="1"/>
    <col min="13070" max="13312" width="10.42578125" style="214"/>
    <col min="13313" max="13325" width="11.5703125" style="214" customWidth="1"/>
    <col min="13326" max="13568" width="10.42578125" style="214"/>
    <col min="13569" max="13581" width="11.5703125" style="214" customWidth="1"/>
    <col min="13582" max="13824" width="10.42578125" style="214"/>
    <col min="13825" max="13837" width="11.5703125" style="214" customWidth="1"/>
    <col min="13838" max="14080" width="10.42578125" style="214"/>
    <col min="14081" max="14093" width="11.5703125" style="214" customWidth="1"/>
    <col min="14094" max="14336" width="10.42578125" style="214"/>
    <col min="14337" max="14349" width="11.5703125" style="214" customWidth="1"/>
    <col min="14350" max="14592" width="10.42578125" style="214"/>
    <col min="14593" max="14605" width="11.5703125" style="214" customWidth="1"/>
    <col min="14606" max="14848" width="10.42578125" style="214"/>
    <col min="14849" max="14861" width="11.5703125" style="214" customWidth="1"/>
    <col min="14862" max="15104" width="10.42578125" style="214"/>
    <col min="15105" max="15117" width="11.5703125" style="214" customWidth="1"/>
    <col min="15118" max="15360" width="10.42578125" style="214"/>
    <col min="15361" max="15373" width="11.5703125" style="214" customWidth="1"/>
    <col min="15374" max="15616" width="10.42578125" style="214"/>
    <col min="15617" max="15629" width="11.5703125" style="214" customWidth="1"/>
    <col min="15630" max="15872" width="10.42578125" style="214"/>
    <col min="15873" max="15885" width="11.5703125" style="214" customWidth="1"/>
    <col min="15886" max="16128" width="10.42578125" style="214"/>
    <col min="16129" max="16141" width="11.5703125" style="214" customWidth="1"/>
    <col min="16142" max="16384" width="10.42578125" style="214"/>
  </cols>
  <sheetData>
    <row r="1" spans="1:14" x14ac:dyDescent="0.2">
      <c r="A1" s="216"/>
      <c r="B1" s="216"/>
      <c r="C1" s="216"/>
      <c r="D1" s="216"/>
      <c r="E1" s="216"/>
      <c r="F1" s="216"/>
      <c r="G1" s="216"/>
      <c r="H1" s="216"/>
      <c r="I1" s="216"/>
      <c r="J1" s="216"/>
      <c r="K1" s="216"/>
      <c r="L1" s="216"/>
      <c r="M1" s="216"/>
      <c r="N1" s="216"/>
    </row>
    <row r="2" spans="1:14" ht="18.75" customHeight="1" x14ac:dyDescent="0.2">
      <c r="A2" s="216"/>
      <c r="B2" s="216"/>
      <c r="C2" s="216"/>
      <c r="D2" s="216"/>
      <c r="E2" s="216"/>
      <c r="F2" s="368" t="s">
        <v>151</v>
      </c>
      <c r="G2" s="368"/>
      <c r="H2" s="368"/>
      <c r="I2" s="216"/>
      <c r="J2" s="216"/>
      <c r="K2" s="216"/>
      <c r="L2" s="216"/>
      <c r="M2" s="216"/>
      <c r="N2" s="216"/>
    </row>
    <row r="3" spans="1:14" ht="18.75" customHeight="1" x14ac:dyDescent="0.2">
      <c r="A3" s="216"/>
      <c r="B3" s="216"/>
      <c r="C3" s="369" t="s">
        <v>453</v>
      </c>
      <c r="D3" s="369"/>
      <c r="E3" s="369"/>
      <c r="F3" s="369"/>
      <c r="G3" s="369"/>
      <c r="H3" s="369"/>
      <c r="I3" s="369"/>
      <c r="J3" s="369"/>
      <c r="K3" s="369"/>
      <c r="L3" s="216"/>
      <c r="M3" s="216"/>
      <c r="N3" s="216"/>
    </row>
    <row r="4" spans="1:14" ht="18.75" customHeight="1" x14ac:dyDescent="0.2">
      <c r="A4" s="216"/>
      <c r="B4" s="216"/>
      <c r="C4" s="369" t="s">
        <v>454</v>
      </c>
      <c r="D4" s="369"/>
      <c r="E4" s="369"/>
      <c r="F4" s="369"/>
      <c r="G4" s="369"/>
      <c r="H4" s="369"/>
      <c r="I4" s="369"/>
      <c r="J4" s="369"/>
      <c r="K4" s="369"/>
      <c r="L4" s="216"/>
      <c r="M4" s="216"/>
      <c r="N4" s="216"/>
    </row>
    <row r="5" spans="1:14" ht="18.75" customHeight="1" x14ac:dyDescent="0.2">
      <c r="A5" s="216"/>
      <c r="B5" s="216"/>
      <c r="C5" s="216"/>
      <c r="D5" s="216"/>
      <c r="E5" s="216"/>
      <c r="F5" s="216"/>
      <c r="G5" s="356" t="s">
        <v>152</v>
      </c>
      <c r="H5" s="216"/>
      <c r="I5" s="216"/>
      <c r="J5" s="216"/>
      <c r="K5" s="216"/>
      <c r="L5" s="216"/>
      <c r="M5" s="216"/>
      <c r="N5" s="216"/>
    </row>
    <row r="6" spans="1:14" ht="12.75" customHeight="1" x14ac:dyDescent="0.2">
      <c r="A6" s="216"/>
      <c r="B6" s="216"/>
      <c r="C6" s="216"/>
      <c r="D6" s="216"/>
      <c r="E6" s="216"/>
      <c r="F6" s="216"/>
      <c r="G6" s="216"/>
      <c r="H6" s="216"/>
      <c r="I6" s="216"/>
      <c r="J6" s="216"/>
      <c r="K6" s="216"/>
      <c r="L6" s="216"/>
      <c r="M6" s="216"/>
      <c r="N6" s="216"/>
    </row>
    <row r="7" spans="1:14" ht="19.5" customHeight="1" x14ac:dyDescent="0.2">
      <c r="A7" s="216"/>
      <c r="B7" s="216"/>
      <c r="C7" s="370" t="s">
        <v>153</v>
      </c>
      <c r="D7" s="370"/>
      <c r="E7" s="370"/>
      <c r="F7" s="370"/>
      <c r="G7" s="370"/>
      <c r="H7" s="370"/>
      <c r="I7" s="370"/>
      <c r="J7" s="370"/>
      <c r="K7" s="370"/>
      <c r="L7" s="216"/>
      <c r="M7" s="216"/>
      <c r="N7" s="216"/>
    </row>
    <row r="8" spans="1:14" ht="18.75" customHeight="1" x14ac:dyDescent="0.2">
      <c r="A8" s="216"/>
      <c r="B8" s="216"/>
      <c r="C8" s="371" t="s">
        <v>154</v>
      </c>
      <c r="D8" s="371"/>
      <c r="E8" s="371"/>
      <c r="F8" s="371"/>
      <c r="G8" s="371"/>
      <c r="H8" s="371"/>
      <c r="I8" s="371"/>
      <c r="J8" s="371"/>
      <c r="K8" s="371"/>
      <c r="L8" s="216"/>
      <c r="M8" s="216"/>
      <c r="N8" s="216"/>
    </row>
    <row r="9" spans="1:14" ht="18.75" customHeight="1" x14ac:dyDescent="0.2">
      <c r="A9" s="216"/>
      <c r="B9" s="371" t="s">
        <v>155</v>
      </c>
      <c r="C9" s="371"/>
      <c r="D9" s="371"/>
      <c r="E9" s="371"/>
      <c r="F9" s="371"/>
      <c r="G9" s="371"/>
      <c r="H9" s="371"/>
      <c r="I9" s="371"/>
      <c r="J9" s="371"/>
      <c r="K9" s="371"/>
      <c r="L9" s="371"/>
      <c r="M9" s="355"/>
      <c r="N9" s="216"/>
    </row>
    <row r="10" spans="1:14" ht="18.75" customHeight="1" x14ac:dyDescent="0.2">
      <c r="A10" s="216"/>
      <c r="B10" s="355"/>
      <c r="C10" s="355"/>
      <c r="D10" s="355"/>
      <c r="E10" s="355"/>
      <c r="F10" s="355"/>
      <c r="G10" s="355"/>
      <c r="H10" s="355"/>
      <c r="I10" s="355"/>
      <c r="J10" s="355"/>
      <c r="K10" s="355"/>
      <c r="L10" s="355"/>
      <c r="M10" s="355"/>
      <c r="N10" s="216"/>
    </row>
    <row r="11" spans="1:14" x14ac:dyDescent="0.2">
      <c r="A11" s="216"/>
      <c r="B11" s="216"/>
      <c r="C11" s="216"/>
      <c r="D11" s="216"/>
      <c r="E11" s="216"/>
      <c r="F11" s="216"/>
      <c r="G11" s="216"/>
      <c r="H11" s="216"/>
      <c r="I11" s="216"/>
      <c r="J11" s="216"/>
      <c r="K11" s="216"/>
      <c r="L11" s="216"/>
      <c r="M11" s="216"/>
      <c r="N11" s="216"/>
    </row>
    <row r="12" spans="1:14" ht="15.75" x14ac:dyDescent="0.2">
      <c r="A12" s="216"/>
      <c r="B12" s="216"/>
      <c r="C12" s="216"/>
      <c r="D12" s="216"/>
      <c r="E12" s="216"/>
      <c r="F12" s="216"/>
      <c r="G12" s="217" t="s">
        <v>506</v>
      </c>
      <c r="H12" s="216"/>
      <c r="I12" s="216"/>
      <c r="J12" s="216"/>
      <c r="K12" s="216"/>
      <c r="L12" s="216"/>
      <c r="M12" s="216"/>
      <c r="N12" s="216"/>
    </row>
    <row r="13" spans="1:14" x14ac:dyDescent="0.2">
      <c r="A13" s="216"/>
      <c r="B13" s="216"/>
      <c r="C13" s="216"/>
      <c r="D13" s="216"/>
      <c r="E13" s="216"/>
      <c r="F13" s="216"/>
      <c r="G13" s="216"/>
      <c r="H13" s="216"/>
      <c r="I13" s="216"/>
      <c r="J13" s="216"/>
      <c r="K13" s="216"/>
      <c r="L13" s="216"/>
      <c r="M13" s="216"/>
      <c r="N13" s="216"/>
    </row>
    <row r="14" spans="1:14" ht="13.5" thickBot="1" x14ac:dyDescent="0.25">
      <c r="A14" s="216"/>
      <c r="B14" s="216"/>
      <c r="C14" s="216"/>
      <c r="D14" s="216"/>
      <c r="E14" s="216"/>
      <c r="F14" s="216"/>
      <c r="G14" s="216"/>
      <c r="H14" s="216"/>
      <c r="I14" s="216"/>
      <c r="J14" s="216"/>
      <c r="K14" s="216"/>
      <c r="L14" s="216"/>
      <c r="M14" s="216"/>
      <c r="N14" s="216"/>
    </row>
    <row r="15" spans="1:14" ht="15.75" x14ac:dyDescent="0.2">
      <c r="A15" s="218"/>
      <c r="B15" s="219"/>
      <c r="C15" s="220"/>
      <c r="D15" s="220"/>
      <c r="E15" s="220"/>
      <c r="F15" s="220"/>
      <c r="G15" s="221" t="s">
        <v>156</v>
      </c>
      <c r="H15" s="220"/>
      <c r="I15" s="220"/>
      <c r="J15" s="220"/>
      <c r="K15" s="220"/>
      <c r="L15" s="222"/>
      <c r="M15" s="216"/>
      <c r="N15" s="216"/>
    </row>
    <row r="16" spans="1:14" ht="15" x14ac:dyDescent="0.2">
      <c r="A16" s="218"/>
      <c r="B16" s="223"/>
      <c r="C16" s="216"/>
      <c r="D16" s="216"/>
      <c r="E16" s="216"/>
      <c r="F16" s="216"/>
      <c r="G16" s="224" t="s">
        <v>157</v>
      </c>
      <c r="H16" s="216"/>
      <c r="I16" s="216"/>
      <c r="J16" s="216"/>
      <c r="K16" s="216"/>
      <c r="L16" s="225"/>
      <c r="M16" s="216"/>
      <c r="N16" s="216"/>
    </row>
    <row r="17" spans="1:14" ht="15" x14ac:dyDescent="0.2">
      <c r="A17" s="218"/>
      <c r="B17" s="223"/>
      <c r="C17" s="216"/>
      <c r="D17" s="216"/>
      <c r="E17" s="216"/>
      <c r="F17" s="216"/>
      <c r="G17" s="224" t="s">
        <v>158</v>
      </c>
      <c r="H17" s="216"/>
      <c r="I17" s="216"/>
      <c r="J17" s="216"/>
      <c r="K17" s="216"/>
      <c r="L17" s="225"/>
      <c r="M17" s="216"/>
      <c r="N17" s="216"/>
    </row>
    <row r="18" spans="1:14" ht="15" x14ac:dyDescent="0.2">
      <c r="A18" s="218"/>
      <c r="B18" s="223"/>
      <c r="C18" s="216"/>
      <c r="D18" s="216"/>
      <c r="E18" s="216"/>
      <c r="F18" s="216"/>
      <c r="G18" s="224" t="s">
        <v>509</v>
      </c>
      <c r="H18" s="216"/>
      <c r="I18" s="216"/>
      <c r="J18" s="216"/>
      <c r="K18" s="216"/>
      <c r="L18" s="225"/>
      <c r="M18" s="216"/>
      <c r="N18" s="216"/>
    </row>
    <row r="19" spans="1:14" ht="15" x14ac:dyDescent="0.2">
      <c r="A19" s="218"/>
      <c r="B19" s="223"/>
      <c r="C19" s="216"/>
      <c r="D19" s="216"/>
      <c r="E19" s="216"/>
      <c r="F19" s="216"/>
      <c r="G19" s="224"/>
      <c r="H19" s="216"/>
      <c r="I19" s="216"/>
      <c r="J19" s="216"/>
      <c r="K19" s="216"/>
      <c r="L19" s="225"/>
      <c r="M19" s="216"/>
      <c r="N19" s="216"/>
    </row>
    <row r="20" spans="1:14" ht="15" x14ac:dyDescent="0.2">
      <c r="A20" s="218"/>
      <c r="B20" s="223"/>
      <c r="C20" s="216"/>
      <c r="D20" s="216"/>
      <c r="E20" s="216"/>
      <c r="F20" s="216"/>
      <c r="G20" s="224" t="s">
        <v>510</v>
      </c>
      <c r="H20" s="216"/>
      <c r="I20" s="216"/>
      <c r="J20" s="216"/>
      <c r="K20" s="216"/>
      <c r="L20" s="225"/>
      <c r="M20" s="216"/>
      <c r="N20" s="216"/>
    </row>
    <row r="21" spans="1:14" ht="15" x14ac:dyDescent="0.2">
      <c r="A21" s="218"/>
      <c r="B21" s="223"/>
      <c r="C21" s="216"/>
      <c r="D21" s="216"/>
      <c r="E21" s="216"/>
      <c r="F21" s="216"/>
      <c r="G21" s="216"/>
      <c r="H21" s="216"/>
      <c r="I21" s="216"/>
      <c r="J21" s="216"/>
      <c r="K21" s="216"/>
      <c r="L21" s="225"/>
      <c r="M21" s="216"/>
      <c r="N21" s="216"/>
    </row>
    <row r="22" spans="1:14" ht="15" x14ac:dyDescent="0.2">
      <c r="A22" s="218"/>
      <c r="B22" s="223"/>
      <c r="C22" s="216"/>
      <c r="D22" s="216"/>
      <c r="E22" s="216"/>
      <c r="F22" s="216"/>
      <c r="G22" s="357" t="s">
        <v>511</v>
      </c>
      <c r="H22" s="216"/>
      <c r="I22" s="216"/>
      <c r="J22" s="216"/>
      <c r="K22" s="216"/>
      <c r="L22" s="225"/>
      <c r="M22" s="216"/>
      <c r="N22" s="216"/>
    </row>
    <row r="23" spans="1:14" ht="15" x14ac:dyDescent="0.2">
      <c r="A23" s="218"/>
      <c r="B23" s="223"/>
      <c r="C23" s="216"/>
      <c r="D23" s="216"/>
      <c r="E23" s="216"/>
      <c r="F23" s="216"/>
      <c r="G23" s="357" t="s">
        <v>455</v>
      </c>
      <c r="H23" s="216"/>
      <c r="I23" s="216"/>
      <c r="J23" s="216"/>
      <c r="K23" s="216"/>
      <c r="L23" s="225"/>
      <c r="M23" s="216"/>
      <c r="N23" s="216"/>
    </row>
    <row r="24" spans="1:14" ht="15" x14ac:dyDescent="0.2">
      <c r="A24" s="218"/>
      <c r="B24" s="223"/>
      <c r="C24" s="216"/>
      <c r="D24" s="216"/>
      <c r="E24" s="216"/>
      <c r="F24" s="216"/>
      <c r="G24" s="357" t="s">
        <v>456</v>
      </c>
      <c r="H24" s="216"/>
      <c r="I24" s="216"/>
      <c r="J24" s="216"/>
      <c r="K24" s="216"/>
      <c r="L24" s="225"/>
      <c r="M24" s="216"/>
      <c r="N24" s="216"/>
    </row>
    <row r="25" spans="1:14" ht="15" x14ac:dyDescent="0.2">
      <c r="A25" s="218"/>
      <c r="B25" s="223"/>
      <c r="C25" s="216"/>
      <c r="D25" s="216"/>
      <c r="E25" s="216"/>
      <c r="F25" s="216"/>
      <c r="G25" s="227"/>
      <c r="H25" s="216"/>
      <c r="I25" s="216"/>
      <c r="J25" s="216"/>
      <c r="K25" s="216"/>
      <c r="L25" s="225"/>
      <c r="M25" s="216"/>
      <c r="N25" s="216"/>
    </row>
    <row r="26" spans="1:14" ht="15" x14ac:dyDescent="0.2">
      <c r="A26" s="218"/>
      <c r="B26" s="223"/>
      <c r="C26" s="216"/>
      <c r="D26" s="216"/>
      <c r="E26" s="216"/>
      <c r="F26" s="216"/>
      <c r="G26" s="224" t="s">
        <v>161</v>
      </c>
      <c r="H26" s="216"/>
      <c r="I26" s="216"/>
      <c r="J26" s="216"/>
      <c r="K26" s="216"/>
      <c r="L26" s="225"/>
      <c r="M26" s="216"/>
      <c r="N26" s="216"/>
    </row>
    <row r="27" spans="1:14" ht="15" x14ac:dyDescent="0.2">
      <c r="A27" s="218"/>
      <c r="B27" s="223"/>
      <c r="C27" s="216"/>
      <c r="D27" s="216"/>
      <c r="E27" s="216"/>
      <c r="F27" s="216"/>
      <c r="G27" s="224" t="s">
        <v>457</v>
      </c>
      <c r="H27" s="216"/>
      <c r="I27" s="216"/>
      <c r="J27" s="216"/>
      <c r="K27" s="216"/>
      <c r="L27" s="225"/>
      <c r="M27" s="216"/>
      <c r="N27" s="216"/>
    </row>
    <row r="28" spans="1:14" ht="15" x14ac:dyDescent="0.2">
      <c r="A28" s="218"/>
      <c r="B28" s="223"/>
      <c r="C28" s="216"/>
      <c r="D28" s="216"/>
      <c r="E28" s="216"/>
      <c r="F28" s="216"/>
      <c r="G28" s="357" t="s">
        <v>458</v>
      </c>
      <c r="H28" s="216"/>
      <c r="I28" s="216"/>
      <c r="J28" s="216"/>
      <c r="K28" s="216"/>
      <c r="L28" s="225"/>
      <c r="M28" s="216"/>
      <c r="N28" s="216"/>
    </row>
    <row r="29" spans="1:14" ht="15" x14ac:dyDescent="0.2">
      <c r="A29" s="218"/>
      <c r="B29" s="223"/>
      <c r="C29" s="216"/>
      <c r="D29" s="216"/>
      <c r="E29" s="216"/>
      <c r="F29" s="216"/>
      <c r="G29" s="224" t="s">
        <v>162</v>
      </c>
      <c r="H29" s="216"/>
      <c r="I29" s="216"/>
      <c r="J29" s="216"/>
      <c r="K29" s="216"/>
      <c r="L29" s="225"/>
      <c r="M29" s="216"/>
      <c r="N29" s="216"/>
    </row>
    <row r="30" spans="1:14" ht="15" x14ac:dyDescent="0.2">
      <c r="A30" s="218"/>
      <c r="B30" s="223"/>
      <c r="C30" s="216"/>
      <c r="D30" s="216"/>
      <c r="E30" s="216"/>
      <c r="F30" s="216"/>
      <c r="G30" s="224" t="s">
        <v>163</v>
      </c>
      <c r="H30" s="216"/>
      <c r="I30" s="216"/>
      <c r="J30" s="216"/>
      <c r="K30" s="216"/>
      <c r="L30" s="225"/>
      <c r="M30" s="216"/>
      <c r="N30" s="216"/>
    </row>
    <row r="31" spans="1:14" ht="15" x14ac:dyDescent="0.2">
      <c r="A31" s="218"/>
      <c r="B31" s="223"/>
      <c r="C31" s="216"/>
      <c r="D31" s="216"/>
      <c r="E31" s="216"/>
      <c r="F31" s="216"/>
      <c r="G31" s="216"/>
      <c r="H31" s="216"/>
      <c r="I31" s="216"/>
      <c r="J31" s="216"/>
      <c r="K31" s="216"/>
      <c r="L31" s="225"/>
      <c r="M31" s="216"/>
      <c r="N31" s="216"/>
    </row>
    <row r="32" spans="1:14" ht="15" x14ac:dyDescent="0.2">
      <c r="A32" s="218"/>
      <c r="B32" s="223"/>
      <c r="C32" s="216"/>
      <c r="D32" s="216"/>
      <c r="E32" s="216"/>
      <c r="F32" s="216"/>
      <c r="G32" s="224" t="s">
        <v>159</v>
      </c>
      <c r="H32" s="216"/>
      <c r="I32" s="216"/>
      <c r="J32" s="216"/>
      <c r="K32" s="216"/>
      <c r="L32" s="225"/>
      <c r="M32" s="216"/>
      <c r="N32" s="216"/>
    </row>
    <row r="33" spans="1:14" ht="15" x14ac:dyDescent="0.2">
      <c r="A33" s="218"/>
      <c r="B33" s="223"/>
      <c r="C33" s="216"/>
      <c r="D33" s="216"/>
      <c r="E33" s="216"/>
      <c r="F33" s="216"/>
      <c r="G33" s="357" t="s">
        <v>459</v>
      </c>
      <c r="H33" s="216"/>
      <c r="I33" s="216"/>
      <c r="J33" s="216"/>
      <c r="K33" s="216"/>
      <c r="L33" s="225"/>
      <c r="M33" s="216"/>
      <c r="N33" s="216"/>
    </row>
    <row r="34" spans="1:14" ht="15" x14ac:dyDescent="0.2">
      <c r="A34" s="218"/>
      <c r="B34" s="223"/>
      <c r="C34" s="216"/>
      <c r="D34" s="216"/>
      <c r="E34" s="216"/>
      <c r="F34" s="216"/>
      <c r="G34" s="224" t="s">
        <v>160</v>
      </c>
      <c r="H34" s="216"/>
      <c r="I34" s="216"/>
      <c r="J34" s="216"/>
      <c r="K34" s="216"/>
      <c r="L34" s="225"/>
      <c r="M34" s="216"/>
      <c r="N34" s="216"/>
    </row>
    <row r="35" spans="1:14" ht="15" x14ac:dyDescent="0.2">
      <c r="A35" s="218"/>
      <c r="B35" s="223"/>
      <c r="C35" s="216"/>
      <c r="D35" s="216"/>
      <c r="E35" s="216"/>
      <c r="F35" s="216"/>
      <c r="G35" s="216"/>
      <c r="H35" s="216"/>
      <c r="I35" s="216"/>
      <c r="J35" s="216"/>
      <c r="K35" s="216"/>
      <c r="L35" s="225"/>
      <c r="M35" s="216"/>
      <c r="N35" s="216"/>
    </row>
    <row r="36" spans="1:14" ht="15.75" x14ac:dyDescent="0.2">
      <c r="A36" s="218"/>
      <c r="B36" s="226"/>
      <c r="C36" s="216"/>
      <c r="D36" s="216"/>
      <c r="E36" s="216"/>
      <c r="F36" s="216"/>
      <c r="G36" s="224" t="s">
        <v>512</v>
      </c>
      <c r="H36" s="216"/>
      <c r="I36" s="216"/>
      <c r="J36" s="216"/>
      <c r="K36" s="216"/>
      <c r="L36" s="225"/>
      <c r="M36" s="216"/>
      <c r="N36" s="216"/>
    </row>
    <row r="37" spans="1:14" ht="15.75" x14ac:dyDescent="0.2">
      <c r="A37" s="218"/>
      <c r="B37" s="226"/>
      <c r="C37" s="216"/>
      <c r="D37" s="216"/>
      <c r="E37" s="216"/>
      <c r="F37" s="216"/>
      <c r="G37" s="216"/>
      <c r="H37" s="216"/>
      <c r="I37" s="216"/>
      <c r="J37" s="216"/>
      <c r="K37" s="216"/>
      <c r="L37" s="225"/>
      <c r="M37" s="216"/>
      <c r="N37" s="216"/>
    </row>
    <row r="38" spans="1:14" ht="15" x14ac:dyDescent="0.2">
      <c r="A38" s="216"/>
      <c r="B38" s="359"/>
      <c r="C38" s="215"/>
      <c r="D38" s="215"/>
      <c r="E38" s="215"/>
      <c r="F38" s="215"/>
      <c r="G38" s="224" t="s">
        <v>164</v>
      </c>
      <c r="H38" s="215"/>
      <c r="I38" s="215"/>
      <c r="J38" s="215"/>
      <c r="K38" s="215"/>
      <c r="L38" s="225"/>
      <c r="M38" s="216"/>
      <c r="N38" s="216"/>
    </row>
    <row r="39" spans="1:14" ht="15" x14ac:dyDescent="0.2">
      <c r="A39" s="216"/>
      <c r="B39" s="360"/>
      <c r="C39" s="216"/>
      <c r="D39" s="216"/>
      <c r="E39" s="216"/>
      <c r="F39" s="216"/>
      <c r="G39" s="224" t="s">
        <v>165</v>
      </c>
      <c r="H39" s="216"/>
      <c r="I39" s="216"/>
      <c r="J39" s="216"/>
      <c r="K39" s="216"/>
      <c r="L39" s="218"/>
      <c r="M39" s="216"/>
      <c r="N39" s="216"/>
    </row>
    <row r="40" spans="1:14" ht="13.5" thickBot="1" x14ac:dyDescent="0.25">
      <c r="A40" s="216"/>
      <c r="B40" s="361"/>
      <c r="C40" s="362"/>
      <c r="D40" s="362"/>
      <c r="E40" s="362"/>
      <c r="F40" s="362"/>
      <c r="G40" s="362"/>
      <c r="H40" s="362"/>
      <c r="I40" s="362"/>
      <c r="J40" s="362"/>
      <c r="K40" s="362"/>
      <c r="L40" s="363"/>
      <c r="M40" s="216"/>
      <c r="N40" s="216"/>
    </row>
    <row r="41" spans="1:14" x14ac:dyDescent="0.2">
      <c r="A41" s="367"/>
      <c r="B41" s="367"/>
      <c r="C41" s="367"/>
      <c r="D41" s="367"/>
      <c r="E41" s="367"/>
      <c r="F41" s="367"/>
      <c r="G41" s="367"/>
      <c r="H41" s="366"/>
      <c r="I41" s="366"/>
      <c r="J41" s="366"/>
      <c r="K41" s="366"/>
      <c r="L41" s="366"/>
      <c r="M41" s="366"/>
      <c r="N41" s="366"/>
    </row>
    <row r="42" spans="1:14" x14ac:dyDescent="0.2">
      <c r="A42" s="367"/>
      <c r="B42" s="367"/>
      <c r="C42" s="367"/>
      <c r="D42" s="367"/>
      <c r="E42" s="367"/>
      <c r="F42" s="367"/>
      <c r="G42" s="367"/>
      <c r="H42" s="366"/>
      <c r="I42" s="366"/>
      <c r="J42" s="366"/>
      <c r="K42" s="366"/>
      <c r="L42" s="366"/>
      <c r="M42" s="366"/>
      <c r="N42" s="366"/>
    </row>
    <row r="43" spans="1:14" x14ac:dyDescent="0.2">
      <c r="A43" s="227"/>
      <c r="B43" s="227"/>
      <c r="C43" s="227"/>
      <c r="D43" s="227"/>
      <c r="E43" s="227"/>
      <c r="F43" s="227"/>
      <c r="G43" s="227"/>
      <c r="H43" s="366"/>
      <c r="I43" s="366"/>
      <c r="J43" s="366"/>
      <c r="K43" s="366"/>
      <c r="L43" s="366"/>
      <c r="M43" s="366"/>
      <c r="N43" s="366"/>
    </row>
    <row r="44" spans="1:14" x14ac:dyDescent="0.2">
      <c r="A44" s="227"/>
      <c r="B44" s="227"/>
      <c r="C44" s="227"/>
      <c r="D44" s="227"/>
      <c r="E44" s="227"/>
      <c r="F44" s="227"/>
      <c r="G44" s="227"/>
      <c r="H44" s="366"/>
      <c r="I44" s="366"/>
      <c r="J44" s="366"/>
      <c r="K44" s="366"/>
      <c r="L44" s="366"/>
      <c r="M44" s="366"/>
      <c r="N44" s="366"/>
    </row>
    <row r="45" spans="1:14" x14ac:dyDescent="0.2">
      <c r="A45" s="227"/>
      <c r="B45" s="227"/>
      <c r="C45" s="227"/>
      <c r="D45" s="227"/>
      <c r="E45" s="227"/>
      <c r="F45" s="227"/>
      <c r="G45" s="227"/>
      <c r="H45" s="366"/>
      <c r="I45" s="366"/>
      <c r="J45" s="366"/>
      <c r="K45" s="366"/>
      <c r="L45" s="366"/>
      <c r="M45" s="366"/>
      <c r="N45" s="366"/>
    </row>
    <row r="46" spans="1:14" x14ac:dyDescent="0.2">
      <c r="A46" s="227"/>
      <c r="B46" s="227"/>
      <c r="C46" s="227"/>
      <c r="D46" s="227"/>
      <c r="E46" s="227"/>
      <c r="F46" s="227"/>
      <c r="G46" s="227"/>
      <c r="H46" s="366"/>
      <c r="I46" s="366"/>
      <c r="J46" s="366"/>
      <c r="K46" s="366"/>
      <c r="L46" s="366"/>
      <c r="M46" s="366"/>
      <c r="N46" s="366"/>
    </row>
    <row r="47" spans="1:14" x14ac:dyDescent="0.2">
      <c r="A47" s="227"/>
      <c r="B47" s="227"/>
      <c r="C47" s="227"/>
      <c r="D47" s="227"/>
      <c r="E47" s="227"/>
      <c r="F47" s="227"/>
      <c r="G47" s="227"/>
      <c r="H47" s="366"/>
      <c r="I47" s="366"/>
      <c r="J47" s="366"/>
      <c r="K47" s="366"/>
      <c r="L47" s="366"/>
      <c r="M47" s="366"/>
      <c r="N47" s="366"/>
    </row>
    <row r="48" spans="1:14" x14ac:dyDescent="0.2">
      <c r="A48" s="227"/>
      <c r="B48" s="227"/>
      <c r="C48" s="227"/>
      <c r="D48" s="227"/>
      <c r="E48" s="227"/>
      <c r="F48" s="227"/>
      <c r="G48" s="227"/>
      <c r="H48" s="366"/>
      <c r="I48" s="366"/>
      <c r="J48" s="366"/>
      <c r="K48" s="366"/>
      <c r="L48" s="366"/>
      <c r="M48" s="366"/>
      <c r="N48" s="366"/>
    </row>
    <row r="49" spans="1:14" x14ac:dyDescent="0.2">
      <c r="A49" s="227"/>
      <c r="B49" s="227"/>
      <c r="C49" s="227"/>
      <c r="D49" s="227"/>
      <c r="E49" s="227"/>
      <c r="F49" s="227"/>
      <c r="G49" s="227"/>
      <c r="H49" s="366"/>
      <c r="I49" s="366"/>
      <c r="J49" s="366"/>
      <c r="K49" s="366"/>
      <c r="L49" s="366"/>
      <c r="M49" s="366"/>
      <c r="N49" s="366"/>
    </row>
    <row r="50" spans="1:14" x14ac:dyDescent="0.2">
      <c r="A50" s="227"/>
      <c r="B50" s="227"/>
      <c r="C50" s="227"/>
      <c r="D50" s="227"/>
      <c r="E50" s="227"/>
      <c r="F50" s="227"/>
      <c r="G50" s="227"/>
      <c r="H50" s="366"/>
      <c r="I50" s="366"/>
      <c r="J50" s="366"/>
      <c r="K50" s="366"/>
      <c r="L50" s="366"/>
      <c r="M50" s="366"/>
      <c r="N50" s="366"/>
    </row>
    <row r="51" spans="1:14" x14ac:dyDescent="0.2">
      <c r="A51" s="227"/>
      <c r="B51" s="227"/>
      <c r="C51" s="227"/>
      <c r="D51" s="227"/>
      <c r="E51" s="227"/>
      <c r="F51" s="227"/>
      <c r="G51" s="227"/>
      <c r="H51" s="366"/>
      <c r="I51" s="366"/>
      <c r="J51" s="366"/>
      <c r="K51" s="366"/>
      <c r="L51" s="366"/>
      <c r="M51" s="366"/>
      <c r="N51" s="366"/>
    </row>
    <row r="52" spans="1:14" x14ac:dyDescent="0.2">
      <c r="A52" s="227"/>
      <c r="B52" s="227"/>
      <c r="C52" s="227"/>
      <c r="D52" s="227"/>
      <c r="E52" s="227"/>
      <c r="F52" s="227"/>
      <c r="G52" s="227"/>
      <c r="H52" s="366"/>
      <c r="I52" s="366"/>
      <c r="J52" s="366"/>
      <c r="K52" s="366"/>
      <c r="L52" s="366"/>
      <c r="M52" s="366"/>
      <c r="N52" s="366"/>
    </row>
    <row r="53" spans="1:14" x14ac:dyDescent="0.2">
      <c r="A53" s="227"/>
      <c r="B53" s="227"/>
      <c r="C53" s="227"/>
      <c r="D53" s="227"/>
      <c r="E53" s="227"/>
      <c r="F53" s="227"/>
      <c r="G53" s="227"/>
      <c r="H53" s="366"/>
      <c r="I53" s="366"/>
      <c r="J53" s="366"/>
      <c r="K53" s="366"/>
      <c r="L53" s="366"/>
      <c r="M53" s="366"/>
      <c r="N53" s="366"/>
    </row>
    <row r="54" spans="1:14" x14ac:dyDescent="0.2">
      <c r="A54" s="227"/>
      <c r="B54" s="227"/>
      <c r="C54" s="227"/>
      <c r="D54" s="227"/>
      <c r="E54" s="227"/>
      <c r="F54" s="227"/>
      <c r="G54" s="227"/>
      <c r="H54" s="366"/>
      <c r="I54" s="366"/>
      <c r="J54" s="366"/>
      <c r="K54" s="366"/>
      <c r="L54" s="366"/>
      <c r="M54" s="366"/>
      <c r="N54" s="366"/>
    </row>
    <row r="55" spans="1:14" x14ac:dyDescent="0.2">
      <c r="A55" s="227"/>
      <c r="B55" s="227"/>
      <c r="C55" s="227"/>
      <c r="D55" s="227"/>
      <c r="E55" s="227"/>
      <c r="F55" s="227"/>
      <c r="G55" s="227"/>
      <c r="H55" s="366"/>
      <c r="I55" s="366"/>
      <c r="J55" s="366"/>
      <c r="K55" s="366"/>
      <c r="L55" s="366"/>
      <c r="M55" s="366"/>
      <c r="N55" s="366"/>
    </row>
    <row r="56" spans="1:14" x14ac:dyDescent="0.2">
      <c r="A56" s="227"/>
      <c r="B56" s="227"/>
      <c r="C56" s="227"/>
      <c r="D56" s="227"/>
      <c r="E56" s="227"/>
      <c r="F56" s="227"/>
      <c r="G56" s="227"/>
      <c r="H56" s="366"/>
      <c r="I56" s="366"/>
      <c r="J56" s="366"/>
      <c r="K56" s="366"/>
      <c r="L56" s="366"/>
      <c r="M56" s="366"/>
      <c r="N56" s="366"/>
    </row>
    <row r="57" spans="1:14" x14ac:dyDescent="0.2">
      <c r="A57" s="227"/>
      <c r="B57" s="227"/>
      <c r="C57" s="227"/>
      <c r="D57" s="227"/>
      <c r="E57" s="227"/>
      <c r="F57" s="227"/>
      <c r="G57" s="227"/>
      <c r="H57" s="366"/>
      <c r="I57" s="366"/>
      <c r="J57" s="366"/>
      <c r="K57" s="366"/>
      <c r="L57" s="366"/>
      <c r="M57" s="366"/>
      <c r="N57" s="366"/>
    </row>
    <row r="58" spans="1:14" x14ac:dyDescent="0.2">
      <c r="A58" s="227"/>
      <c r="B58" s="227"/>
      <c r="C58" s="227"/>
      <c r="D58" s="227"/>
      <c r="E58" s="227"/>
      <c r="F58" s="227"/>
      <c r="G58" s="227"/>
      <c r="H58" s="366"/>
      <c r="I58" s="366"/>
      <c r="J58" s="366"/>
      <c r="K58" s="366"/>
      <c r="L58" s="366"/>
      <c r="M58" s="366"/>
      <c r="N58" s="366"/>
    </row>
    <row r="59" spans="1:14" x14ac:dyDescent="0.2">
      <c r="A59" s="227"/>
      <c r="B59" s="227"/>
      <c r="C59" s="227"/>
      <c r="D59" s="227"/>
      <c r="E59" s="227"/>
      <c r="F59" s="227"/>
      <c r="G59" s="227"/>
      <c r="H59" s="366"/>
      <c r="I59" s="366"/>
      <c r="J59" s="366"/>
      <c r="K59" s="366"/>
      <c r="L59" s="366"/>
      <c r="M59" s="366"/>
      <c r="N59" s="366"/>
    </row>
    <row r="60" spans="1:14" x14ac:dyDescent="0.2">
      <c r="A60" s="227"/>
      <c r="B60" s="227"/>
      <c r="C60" s="227"/>
      <c r="D60" s="227"/>
      <c r="E60" s="227"/>
      <c r="F60" s="227"/>
      <c r="G60" s="227"/>
      <c r="H60" s="366"/>
      <c r="I60" s="366"/>
      <c r="J60" s="366"/>
      <c r="K60" s="366"/>
      <c r="L60" s="366"/>
      <c r="M60" s="366"/>
      <c r="N60" s="366"/>
    </row>
    <row r="61" spans="1:14" x14ac:dyDescent="0.2">
      <c r="A61" s="227"/>
      <c r="B61" s="227"/>
      <c r="C61" s="227"/>
      <c r="D61" s="227"/>
      <c r="E61" s="227"/>
      <c r="F61" s="227"/>
      <c r="G61" s="227"/>
      <c r="H61" s="366"/>
      <c r="I61" s="366"/>
      <c r="J61" s="366"/>
      <c r="K61" s="366"/>
      <c r="L61" s="366"/>
      <c r="M61" s="366"/>
      <c r="N61" s="366"/>
    </row>
    <row r="62" spans="1:14" x14ac:dyDescent="0.2">
      <c r="A62" s="227"/>
      <c r="B62" s="227"/>
      <c r="C62" s="227"/>
      <c r="D62" s="227"/>
      <c r="E62" s="227"/>
      <c r="F62" s="227"/>
      <c r="G62" s="227"/>
      <c r="H62" s="366"/>
      <c r="I62" s="366"/>
      <c r="J62" s="366"/>
      <c r="K62" s="366"/>
      <c r="L62" s="366"/>
      <c r="M62" s="366"/>
      <c r="N62" s="366"/>
    </row>
    <row r="63" spans="1:14" x14ac:dyDescent="0.2">
      <c r="A63" s="227"/>
      <c r="B63" s="227"/>
      <c r="C63" s="227"/>
      <c r="D63" s="227"/>
      <c r="E63" s="227"/>
      <c r="F63" s="227"/>
      <c r="G63" s="227"/>
      <c r="H63" s="366"/>
      <c r="I63" s="366"/>
      <c r="J63" s="366"/>
      <c r="K63" s="366"/>
      <c r="L63" s="366"/>
      <c r="M63" s="366"/>
      <c r="N63" s="366"/>
    </row>
    <row r="64" spans="1:14" x14ac:dyDescent="0.2">
      <c r="A64" s="227"/>
      <c r="B64" s="227"/>
      <c r="C64" s="227"/>
      <c r="D64" s="227"/>
      <c r="E64" s="227"/>
      <c r="F64" s="227"/>
      <c r="G64" s="227"/>
      <c r="H64" s="366"/>
      <c r="I64" s="366"/>
      <c r="J64" s="366"/>
      <c r="K64" s="366"/>
      <c r="L64" s="366"/>
      <c r="M64" s="366"/>
      <c r="N64" s="366"/>
    </row>
    <row r="65" spans="1:14" x14ac:dyDescent="0.2">
      <c r="A65" s="227"/>
      <c r="B65" s="227"/>
      <c r="C65" s="227"/>
      <c r="D65" s="227"/>
      <c r="E65" s="227"/>
      <c r="F65" s="227"/>
      <c r="G65" s="227"/>
      <c r="H65" s="366"/>
      <c r="I65" s="366"/>
      <c r="J65" s="366"/>
      <c r="K65" s="366"/>
      <c r="L65" s="366"/>
      <c r="M65" s="366"/>
      <c r="N65" s="366"/>
    </row>
    <row r="66" spans="1:14" x14ac:dyDescent="0.2">
      <c r="A66" s="227"/>
      <c r="B66" s="227"/>
      <c r="C66" s="227"/>
      <c r="D66" s="227"/>
      <c r="E66" s="227"/>
      <c r="F66" s="227"/>
      <c r="G66" s="227"/>
      <c r="H66" s="366"/>
      <c r="I66" s="366"/>
      <c r="J66" s="366"/>
      <c r="K66" s="366"/>
      <c r="L66" s="366"/>
      <c r="M66" s="366"/>
      <c r="N66" s="366"/>
    </row>
    <row r="67" spans="1:14" x14ac:dyDescent="0.2">
      <c r="A67" s="227"/>
      <c r="B67" s="227"/>
      <c r="C67" s="227"/>
      <c r="D67" s="227"/>
      <c r="E67" s="227"/>
      <c r="F67" s="227"/>
      <c r="G67" s="227"/>
      <c r="H67" s="366"/>
      <c r="I67" s="366"/>
      <c r="J67" s="366"/>
      <c r="K67" s="366"/>
      <c r="L67" s="366"/>
      <c r="M67" s="366"/>
      <c r="N67" s="366"/>
    </row>
    <row r="68" spans="1:14" x14ac:dyDescent="0.2">
      <c r="A68" s="227"/>
      <c r="B68" s="227"/>
      <c r="C68" s="227"/>
      <c r="D68" s="227"/>
      <c r="E68" s="227"/>
      <c r="F68" s="227"/>
      <c r="G68" s="227"/>
      <c r="H68" s="366"/>
      <c r="I68" s="366"/>
      <c r="J68" s="366"/>
      <c r="K68" s="366"/>
      <c r="L68" s="366"/>
      <c r="M68" s="366"/>
      <c r="N68" s="366"/>
    </row>
    <row r="69" spans="1:14" x14ac:dyDescent="0.2">
      <c r="A69" s="227"/>
      <c r="B69" s="227"/>
      <c r="C69" s="227"/>
      <c r="D69" s="227"/>
      <c r="E69" s="227"/>
      <c r="F69" s="227"/>
      <c r="G69" s="227"/>
      <c r="H69" s="366"/>
      <c r="I69" s="366"/>
      <c r="J69" s="366"/>
      <c r="K69" s="366"/>
      <c r="L69" s="366"/>
      <c r="M69" s="366"/>
      <c r="N69" s="366"/>
    </row>
    <row r="70" spans="1:14" x14ac:dyDescent="0.2">
      <c r="A70" s="227"/>
      <c r="B70" s="227"/>
      <c r="C70" s="227"/>
      <c r="D70" s="227"/>
      <c r="E70" s="227"/>
      <c r="F70" s="227"/>
      <c r="G70" s="227"/>
      <c r="H70" s="366"/>
      <c r="I70" s="366"/>
      <c r="J70" s="366"/>
      <c r="K70" s="366"/>
      <c r="L70" s="366"/>
      <c r="M70" s="366"/>
      <c r="N70" s="366"/>
    </row>
    <row r="71" spans="1:14" x14ac:dyDescent="0.2">
      <c r="A71" s="227"/>
      <c r="B71" s="227"/>
      <c r="C71" s="227"/>
      <c r="D71" s="227"/>
      <c r="E71" s="227"/>
      <c r="F71" s="227"/>
      <c r="G71" s="227"/>
      <c r="H71" s="366"/>
      <c r="I71" s="366"/>
      <c r="J71" s="366"/>
      <c r="K71" s="366"/>
      <c r="L71" s="366"/>
      <c r="M71" s="366"/>
      <c r="N71" s="366"/>
    </row>
    <row r="72" spans="1:14" x14ac:dyDescent="0.2">
      <c r="A72" s="227"/>
      <c r="B72" s="227"/>
      <c r="C72" s="227"/>
      <c r="D72" s="227"/>
      <c r="E72" s="227"/>
      <c r="F72" s="227"/>
      <c r="G72" s="227"/>
      <c r="H72" s="366"/>
      <c r="I72" s="366"/>
      <c r="J72" s="366"/>
      <c r="K72" s="366"/>
      <c r="L72" s="366"/>
      <c r="M72" s="366"/>
      <c r="N72" s="366"/>
    </row>
    <row r="73" spans="1:14" x14ac:dyDescent="0.2">
      <c r="A73" s="227"/>
      <c r="B73" s="227"/>
      <c r="C73" s="227"/>
      <c r="D73" s="227"/>
      <c r="E73" s="227"/>
      <c r="F73" s="227"/>
      <c r="G73" s="227"/>
      <c r="H73" s="366"/>
      <c r="I73" s="366"/>
      <c r="J73" s="366"/>
      <c r="K73" s="366"/>
      <c r="L73" s="366"/>
      <c r="M73" s="366"/>
      <c r="N73" s="366"/>
    </row>
    <row r="74" spans="1:14" x14ac:dyDescent="0.2">
      <c r="A74" s="227"/>
      <c r="B74" s="227"/>
      <c r="C74" s="227"/>
      <c r="D74" s="227"/>
      <c r="E74" s="227"/>
      <c r="F74" s="227"/>
      <c r="G74" s="227"/>
      <c r="H74" s="366"/>
      <c r="I74" s="366"/>
      <c r="J74" s="366"/>
      <c r="K74" s="366"/>
      <c r="L74" s="366"/>
      <c r="M74" s="366"/>
      <c r="N74" s="366"/>
    </row>
    <row r="75" spans="1:14" x14ac:dyDescent="0.2">
      <c r="A75" s="227"/>
      <c r="B75" s="227"/>
      <c r="C75" s="227"/>
      <c r="D75" s="227"/>
      <c r="E75" s="227"/>
      <c r="F75" s="227"/>
      <c r="G75" s="227"/>
      <c r="H75" s="366"/>
      <c r="I75" s="366"/>
      <c r="J75" s="366"/>
      <c r="K75" s="366"/>
      <c r="L75" s="366"/>
      <c r="M75" s="366"/>
      <c r="N75" s="366"/>
    </row>
    <row r="76" spans="1:14" x14ac:dyDescent="0.2">
      <c r="A76" s="227"/>
      <c r="B76" s="227"/>
      <c r="C76" s="227"/>
      <c r="D76" s="227"/>
      <c r="E76" s="227"/>
      <c r="F76" s="227"/>
      <c r="G76" s="227"/>
      <c r="H76" s="366"/>
      <c r="I76" s="366"/>
      <c r="J76" s="366"/>
      <c r="K76" s="366"/>
      <c r="L76" s="366"/>
      <c r="M76" s="366"/>
      <c r="N76" s="366"/>
    </row>
    <row r="77" spans="1:14" x14ac:dyDescent="0.2">
      <c r="A77" s="227"/>
      <c r="B77" s="227"/>
      <c r="C77" s="227"/>
      <c r="D77" s="227"/>
      <c r="E77" s="227"/>
      <c r="F77" s="227"/>
      <c r="G77" s="227"/>
      <c r="H77" s="366"/>
      <c r="I77" s="366"/>
      <c r="J77" s="366"/>
      <c r="K77" s="366"/>
      <c r="L77" s="366"/>
      <c r="M77" s="366"/>
      <c r="N77" s="366"/>
    </row>
    <row r="78" spans="1:14" x14ac:dyDescent="0.2">
      <c r="A78" s="227"/>
      <c r="B78" s="227"/>
      <c r="C78" s="227"/>
      <c r="D78" s="227"/>
      <c r="E78" s="227"/>
      <c r="F78" s="227"/>
      <c r="G78" s="227"/>
      <c r="H78" s="366"/>
      <c r="I78" s="366"/>
      <c r="J78" s="366"/>
      <c r="K78" s="366"/>
      <c r="L78" s="366"/>
      <c r="M78" s="366"/>
      <c r="N78" s="366"/>
    </row>
    <row r="79" spans="1:14" x14ac:dyDescent="0.2">
      <c r="A79" s="227"/>
      <c r="B79" s="227"/>
      <c r="C79" s="227"/>
      <c r="D79" s="227"/>
      <c r="E79" s="227"/>
      <c r="F79" s="227"/>
      <c r="G79" s="227"/>
      <c r="H79" s="366"/>
      <c r="I79" s="366"/>
      <c r="J79" s="366"/>
      <c r="K79" s="366"/>
      <c r="L79" s="366"/>
      <c r="M79" s="366"/>
      <c r="N79" s="366"/>
    </row>
    <row r="80" spans="1:14" x14ac:dyDescent="0.2">
      <c r="A80" s="227"/>
      <c r="B80" s="227"/>
      <c r="C80" s="227"/>
      <c r="D80" s="227"/>
      <c r="E80" s="227"/>
      <c r="F80" s="227"/>
      <c r="G80" s="227"/>
      <c r="H80" s="366"/>
      <c r="I80" s="366"/>
      <c r="J80" s="366"/>
      <c r="K80" s="366"/>
      <c r="L80" s="366"/>
      <c r="M80" s="366"/>
      <c r="N80" s="366"/>
    </row>
    <row r="81" spans="1:14" x14ac:dyDescent="0.2">
      <c r="A81" s="227"/>
      <c r="B81" s="227"/>
      <c r="C81" s="227"/>
      <c r="D81" s="227"/>
      <c r="E81" s="227"/>
      <c r="F81" s="227"/>
      <c r="G81" s="227"/>
      <c r="H81" s="366"/>
      <c r="I81" s="366"/>
      <c r="J81" s="366"/>
      <c r="K81" s="366"/>
      <c r="L81" s="366"/>
      <c r="M81" s="366"/>
      <c r="N81" s="366"/>
    </row>
    <row r="82" spans="1:14" x14ac:dyDescent="0.2">
      <c r="A82" s="227"/>
      <c r="B82" s="227"/>
      <c r="C82" s="227"/>
      <c r="D82" s="227"/>
      <c r="E82" s="227"/>
      <c r="F82" s="227"/>
      <c r="G82" s="227"/>
      <c r="H82" s="366"/>
      <c r="I82" s="366"/>
      <c r="J82" s="366"/>
      <c r="K82" s="366"/>
      <c r="L82" s="366"/>
      <c r="M82" s="366"/>
      <c r="N82" s="366"/>
    </row>
    <row r="83" spans="1:14" x14ac:dyDescent="0.2">
      <c r="A83" s="227"/>
      <c r="B83" s="227"/>
      <c r="C83" s="227"/>
      <c r="D83" s="227"/>
      <c r="E83" s="227"/>
      <c r="F83" s="227"/>
      <c r="G83" s="227"/>
      <c r="H83" s="366"/>
      <c r="I83" s="366"/>
      <c r="J83" s="366"/>
      <c r="K83" s="366"/>
      <c r="L83" s="366"/>
      <c r="M83" s="366"/>
      <c r="N83" s="366"/>
    </row>
    <row r="84" spans="1:14" x14ac:dyDescent="0.2">
      <c r="A84" s="227"/>
      <c r="B84" s="227"/>
      <c r="C84" s="227"/>
      <c r="D84" s="227"/>
      <c r="E84" s="227"/>
      <c r="F84" s="227"/>
      <c r="G84" s="227"/>
      <c r="H84" s="366"/>
      <c r="I84" s="366"/>
      <c r="J84" s="366"/>
      <c r="K84" s="366"/>
      <c r="L84" s="366"/>
      <c r="M84" s="366"/>
      <c r="N84" s="366"/>
    </row>
    <row r="85" spans="1:14" x14ac:dyDescent="0.2">
      <c r="A85" s="227"/>
      <c r="B85" s="227"/>
      <c r="C85" s="227"/>
      <c r="D85" s="227"/>
      <c r="E85" s="227"/>
      <c r="F85" s="227"/>
      <c r="G85" s="227"/>
      <c r="H85" s="366"/>
      <c r="I85" s="366"/>
      <c r="J85" s="366"/>
      <c r="K85" s="366"/>
      <c r="L85" s="366"/>
      <c r="M85" s="366"/>
      <c r="N85" s="366"/>
    </row>
    <row r="86" spans="1:14" x14ac:dyDescent="0.2">
      <c r="A86" s="227"/>
      <c r="B86" s="227"/>
      <c r="C86" s="227"/>
      <c r="D86" s="227"/>
      <c r="E86" s="227"/>
      <c r="F86" s="227"/>
      <c r="G86" s="227"/>
      <c r="H86" s="366"/>
      <c r="I86" s="366"/>
      <c r="J86" s="366"/>
      <c r="K86" s="366"/>
      <c r="L86" s="366"/>
      <c r="M86" s="366"/>
      <c r="N86" s="366"/>
    </row>
    <row r="87" spans="1:14" x14ac:dyDescent="0.2">
      <c r="A87" s="227"/>
      <c r="B87" s="227"/>
      <c r="C87" s="227"/>
      <c r="D87" s="227"/>
      <c r="E87" s="227"/>
      <c r="F87" s="227"/>
      <c r="G87" s="227"/>
      <c r="H87" s="366"/>
      <c r="I87" s="366"/>
      <c r="J87" s="366"/>
      <c r="K87" s="366"/>
      <c r="L87" s="366"/>
      <c r="M87" s="366"/>
      <c r="N87" s="366"/>
    </row>
    <row r="88" spans="1:14" x14ac:dyDescent="0.2">
      <c r="A88" s="227"/>
      <c r="B88" s="227"/>
      <c r="C88" s="227"/>
      <c r="D88" s="227"/>
      <c r="E88" s="227"/>
      <c r="F88" s="227"/>
      <c r="G88" s="227"/>
      <c r="H88" s="366"/>
      <c r="I88" s="366"/>
      <c r="J88" s="366"/>
      <c r="K88" s="366"/>
      <c r="L88" s="366"/>
      <c r="M88" s="366"/>
      <c r="N88" s="366"/>
    </row>
    <row r="89" spans="1:14" x14ac:dyDescent="0.2">
      <c r="A89" s="227"/>
      <c r="B89" s="227"/>
      <c r="C89" s="227"/>
      <c r="D89" s="227"/>
      <c r="E89" s="227"/>
      <c r="F89" s="227"/>
      <c r="G89" s="227"/>
      <c r="H89" s="366"/>
      <c r="I89" s="366"/>
      <c r="J89" s="366"/>
      <c r="K89" s="366"/>
      <c r="L89" s="366"/>
      <c r="M89" s="366"/>
      <c r="N89" s="366"/>
    </row>
    <row r="90" spans="1:14" x14ac:dyDescent="0.2">
      <c r="A90" s="227"/>
      <c r="B90" s="227"/>
      <c r="C90" s="227"/>
      <c r="D90" s="227"/>
      <c r="E90" s="227"/>
      <c r="F90" s="227"/>
      <c r="G90" s="227"/>
      <c r="H90" s="366"/>
      <c r="I90" s="366"/>
      <c r="J90" s="366"/>
      <c r="K90" s="366"/>
      <c r="L90" s="366"/>
      <c r="M90" s="366"/>
      <c r="N90" s="366"/>
    </row>
    <row r="91" spans="1:14" x14ac:dyDescent="0.2">
      <c r="A91" s="227"/>
      <c r="B91" s="227"/>
      <c r="C91" s="227"/>
      <c r="D91" s="227"/>
      <c r="E91" s="227"/>
      <c r="F91" s="227"/>
      <c r="G91" s="227"/>
      <c r="H91" s="366"/>
      <c r="I91" s="366"/>
      <c r="J91" s="366"/>
      <c r="K91" s="366"/>
      <c r="L91" s="366"/>
      <c r="M91" s="366"/>
      <c r="N91" s="366"/>
    </row>
    <row r="92" spans="1:14" x14ac:dyDescent="0.2">
      <c r="A92" s="227"/>
      <c r="B92" s="227"/>
      <c r="C92" s="227"/>
      <c r="D92" s="227"/>
      <c r="E92" s="227"/>
      <c r="F92" s="227"/>
      <c r="G92" s="227"/>
      <c r="H92" s="366"/>
      <c r="I92" s="366"/>
      <c r="J92" s="366"/>
      <c r="K92" s="366"/>
      <c r="L92" s="366"/>
      <c r="M92" s="366"/>
      <c r="N92" s="366"/>
    </row>
    <row r="93" spans="1:14" x14ac:dyDescent="0.2">
      <c r="A93" s="227"/>
      <c r="B93" s="227"/>
      <c r="C93" s="227"/>
      <c r="D93" s="227"/>
      <c r="E93" s="227"/>
      <c r="F93" s="227"/>
      <c r="G93" s="227"/>
      <c r="H93" s="366"/>
      <c r="I93" s="366"/>
      <c r="J93" s="366"/>
      <c r="K93" s="366"/>
      <c r="L93" s="366"/>
      <c r="M93" s="366"/>
      <c r="N93" s="366"/>
    </row>
  </sheetData>
  <mergeCells count="15">
    <mergeCell ref="M41:M93"/>
    <mergeCell ref="N41:N93"/>
    <mergeCell ref="A42:G42"/>
    <mergeCell ref="F2:H2"/>
    <mergeCell ref="C3:K3"/>
    <mergeCell ref="C4:K4"/>
    <mergeCell ref="C7:K7"/>
    <mergeCell ref="C8:K8"/>
    <mergeCell ref="B9:L9"/>
    <mergeCell ref="A41:G41"/>
    <mergeCell ref="H41:H93"/>
    <mergeCell ref="I41:I93"/>
    <mergeCell ref="J41:J93"/>
    <mergeCell ref="K41:K93"/>
    <mergeCell ref="L41:L93"/>
  </mergeCells>
  <hyperlinks>
    <hyperlink ref="G17" r:id="rId1" display="mailto:r.a.wilson@warwick.ac.uk" xr:uid="{7E8E5E92-E83A-47E2-B6DC-64D03DC62CD4}"/>
  </hyperlinks>
  <pageMargins left="0.7" right="0.7" top="0.75" bottom="0.75" header="0.3" footer="0.3"/>
  <pageSetup paperSize="9" orientation="portrait"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23"/>
  <dimension ref="A1:G40"/>
  <sheetViews>
    <sheetView zoomScale="85" workbookViewId="0"/>
  </sheetViews>
  <sheetFormatPr defaultRowHeight="12.75" x14ac:dyDescent="0.2"/>
  <cols>
    <col min="1" max="1" width="18.140625" customWidth="1"/>
    <col min="2" max="2" width="25.7109375" customWidth="1"/>
  </cols>
  <sheetData>
    <row r="1" spans="1:2" x14ac:dyDescent="0.2">
      <c r="A1" t="s">
        <v>525</v>
      </c>
      <c r="B1" t="s">
        <v>526</v>
      </c>
    </row>
    <row r="2" spans="1:2" x14ac:dyDescent="0.2">
      <c r="A2" t="s">
        <v>430</v>
      </c>
      <c r="B2" t="s">
        <v>431</v>
      </c>
    </row>
    <row r="3" spans="1:2" x14ac:dyDescent="0.2">
      <c r="A3" t="s">
        <v>432</v>
      </c>
      <c r="B3" t="s">
        <v>504</v>
      </c>
    </row>
    <row r="4" spans="1:2" x14ac:dyDescent="0.2">
      <c r="A4" t="s">
        <v>505</v>
      </c>
      <c r="B4" s="391">
        <v>44960.53020833333</v>
      </c>
    </row>
    <row r="5" spans="1:2" x14ac:dyDescent="0.2">
      <c r="A5" t="s">
        <v>527</v>
      </c>
      <c r="B5" t="s">
        <v>528</v>
      </c>
    </row>
    <row r="6" spans="1:2" x14ac:dyDescent="0.2">
      <c r="A6" t="s">
        <v>127</v>
      </c>
      <c r="B6" t="s">
        <v>529</v>
      </c>
    </row>
    <row r="40" spans="7:7" x14ac:dyDescent="0.2">
      <c r="G40" s="336"/>
    </row>
  </sheetData>
  <phoneticPr fontId="4" type="noConversion"/>
  <pageMargins left="0.75" right="0.75" top="1" bottom="1" header="0.5" footer="0.5"/>
  <pageSetup paperSize="9" orientation="landscape" r:id="rId1"/>
  <headerFooter alignWithMargins="0"/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Manager"/>
  <dimension ref="A1:AZ18"/>
  <sheetViews>
    <sheetView showGridLines="0" zoomScale="85" zoomScaleNormal="85" workbookViewId="0"/>
  </sheetViews>
  <sheetFormatPr defaultRowHeight="12.75" x14ac:dyDescent="0.2"/>
  <cols>
    <col min="1" max="1" width="3.42578125" customWidth="1"/>
    <col min="2" max="2" width="18.28515625" customWidth="1"/>
    <col min="3" max="4" width="6.140625" customWidth="1"/>
    <col min="5" max="5" width="6.28515625" customWidth="1"/>
    <col min="6" max="6" width="9.28515625" customWidth="1"/>
    <col min="7" max="7" width="6.140625" customWidth="1"/>
    <col min="8" max="8" width="10.42578125" customWidth="1"/>
  </cols>
  <sheetData>
    <row r="1" spans="1:52" x14ac:dyDescent="0.2">
      <c r="A1" s="10"/>
      <c r="B1" s="10"/>
      <c r="C1" s="10"/>
      <c r="D1" s="10"/>
      <c r="E1" s="10"/>
      <c r="F1" s="10"/>
      <c r="G1" s="196"/>
      <c r="H1" s="10"/>
      <c r="I1" s="10"/>
      <c r="J1" s="10"/>
      <c r="K1" s="10"/>
      <c r="L1" s="10"/>
      <c r="M1" s="10"/>
      <c r="N1" s="10"/>
      <c r="O1" s="10"/>
      <c r="P1" s="10"/>
      <c r="Q1" s="10"/>
      <c r="R1" s="10"/>
      <c r="S1" s="10"/>
      <c r="T1" s="10"/>
      <c r="U1" s="10"/>
      <c r="V1" s="10"/>
      <c r="W1" s="10"/>
      <c r="X1" s="10"/>
      <c r="Y1" s="10"/>
      <c r="Z1" s="10"/>
      <c r="AA1" s="10"/>
      <c r="AB1" s="10"/>
      <c r="AC1" s="10"/>
      <c r="AD1" s="10"/>
      <c r="AE1" s="10"/>
      <c r="AF1" s="10"/>
      <c r="AG1" s="10"/>
      <c r="AH1" s="10"/>
      <c r="AI1" s="10"/>
      <c r="AJ1" s="10"/>
      <c r="AK1" s="10"/>
      <c r="AL1" s="10"/>
      <c r="AM1" s="10"/>
      <c r="AN1" s="10"/>
      <c r="AO1" s="10"/>
      <c r="AP1" s="10"/>
      <c r="AQ1" s="10"/>
      <c r="AR1" s="10"/>
      <c r="AS1" s="10"/>
      <c r="AT1" s="10"/>
      <c r="AU1" s="10"/>
      <c r="AV1" s="10"/>
      <c r="AW1" s="10"/>
      <c r="AX1" s="10"/>
      <c r="AY1" s="10"/>
      <c r="AZ1" s="10"/>
    </row>
    <row r="2" spans="1:52" ht="20.25" x14ac:dyDescent="0.3">
      <c r="B2" s="175" t="s">
        <v>103</v>
      </c>
    </row>
    <row r="4" spans="1:52" x14ac:dyDescent="0.2">
      <c r="B4" s="83" t="s">
        <v>102</v>
      </c>
      <c r="C4" t="str">
        <f>Stored!B11</f>
        <v>M:/IE/Projects/Nuffield via NFER AI and automation/Data/Results/Workbooks/LSIPs/LI_LSIP/LI_LSIP_Database.Main.xlsx</v>
      </c>
    </row>
    <row r="5" spans="1:52" x14ac:dyDescent="0.2">
      <c r="B5" s="83"/>
    </row>
    <row r="6" spans="1:52" ht="22.5" customHeight="1" x14ac:dyDescent="0.2">
      <c r="B6" s="176" t="s">
        <v>143</v>
      </c>
      <c r="C6" s="176"/>
      <c r="D6" s="199"/>
    </row>
    <row r="7" spans="1:52" ht="15.75" customHeight="1" x14ac:dyDescent="0.2">
      <c r="B7" s="53"/>
      <c r="C7" s="54"/>
      <c r="D7" s="55"/>
    </row>
    <row r="8" spans="1:52" ht="21" customHeight="1" x14ac:dyDescent="0.2">
      <c r="B8" s="56"/>
      <c r="C8" s="198"/>
      <c r="D8" s="57"/>
    </row>
    <row r="10" spans="1:52" ht="17.25" customHeight="1" x14ac:dyDescent="0.2">
      <c r="B10" s="177" t="s">
        <v>407</v>
      </c>
      <c r="C10" s="51"/>
      <c r="D10" s="51"/>
      <c r="E10" s="51"/>
      <c r="F10" s="51"/>
      <c r="G10" s="51"/>
      <c r="H10" s="52"/>
    </row>
    <row r="11" spans="1:52" x14ac:dyDescent="0.2">
      <c r="B11" s="53"/>
      <c r="C11" s="59" t="s">
        <v>23</v>
      </c>
      <c r="D11" s="59" t="s">
        <v>24</v>
      </c>
      <c r="E11" s="59" t="s">
        <v>25</v>
      </c>
      <c r="F11" s="59" t="s">
        <v>26</v>
      </c>
      <c r="G11" s="59" t="s">
        <v>27</v>
      </c>
      <c r="H11" s="55"/>
    </row>
    <row r="12" spans="1:52" ht="13.5" thickBot="1" x14ac:dyDescent="0.25">
      <c r="B12" s="174" t="s">
        <v>17</v>
      </c>
      <c r="C12" s="60">
        <f>'Ind T2'!B3</f>
        <v>2015</v>
      </c>
      <c r="D12" s="60">
        <f>'Ind T2'!C3</f>
        <v>2019</v>
      </c>
      <c r="E12" s="60">
        <f>'Ind T2'!D3</f>
        <v>2020</v>
      </c>
      <c r="F12" s="60">
        <f>'Ind T2'!E3</f>
        <v>2025</v>
      </c>
      <c r="G12" s="60">
        <f>'Ind T2'!F3</f>
        <v>2035</v>
      </c>
      <c r="H12" s="55"/>
    </row>
    <row r="13" spans="1:52" ht="13.5" thickBot="1" x14ac:dyDescent="0.25">
      <c r="B13" s="204" t="s">
        <v>12</v>
      </c>
      <c r="C13" s="127">
        <v>2015</v>
      </c>
      <c r="D13" s="61">
        <v>2019</v>
      </c>
      <c r="E13" s="61">
        <v>2020</v>
      </c>
      <c r="F13" s="61">
        <v>2025</v>
      </c>
      <c r="G13" s="62">
        <v>2035</v>
      </c>
      <c r="H13" s="58"/>
    </row>
    <row r="14" spans="1:52" x14ac:dyDescent="0.2">
      <c r="A14" s="83"/>
    </row>
    <row r="16" spans="1:52" ht="45.75" customHeight="1" x14ac:dyDescent="0.2"/>
    <row r="17" spans="5:5" ht="15.75" customHeight="1" x14ac:dyDescent="0.2">
      <c r="E17" s="54"/>
    </row>
    <row r="18" spans="5:5" ht="24" customHeight="1" x14ac:dyDescent="0.2">
      <c r="E18" s="54"/>
    </row>
  </sheetData>
  <phoneticPr fontId="4" type="noConversion"/>
  <pageMargins left="0.75" right="0.75" top="1" bottom="1" header="0.5" footer="0.5"/>
  <pageSetup paperSize="9" orientation="landscape" r:id="rId1"/>
  <headerFooter alignWithMargins="0"/>
  <drawing r:id="rId2"/>
  <legacyDrawing r:id="rId3"/>
  <controls>
    <mc:AlternateContent xmlns:mc="http://schemas.openxmlformats.org/markup-compatibility/2006">
      <mc:Choice Requires="x14">
        <control shapeId="1025" r:id="rId4" name="SummaryTablesA">
          <controlPr autoLine="0" r:id="rId5">
            <anchor moveWithCells="1">
              <from>
                <xdr:col>7</xdr:col>
                <xdr:colOff>38100</xdr:colOff>
                <xdr:row>10</xdr:row>
                <xdr:rowOff>95250</xdr:rowOff>
              </from>
              <to>
                <xdr:col>7</xdr:col>
                <xdr:colOff>609600</xdr:colOff>
                <xdr:row>12</xdr:row>
                <xdr:rowOff>76200</xdr:rowOff>
              </to>
            </anchor>
          </controlPr>
        </control>
      </mc:Choice>
      <mc:Fallback>
        <control shapeId="1025" r:id="rId4" name="SummaryTablesA"/>
      </mc:Fallback>
    </mc:AlternateContent>
    <mc:AlternateContent xmlns:mc="http://schemas.openxmlformats.org/markup-compatibility/2006">
      <mc:Choice Requires="x14">
        <control shapeId="1029" r:id="rId6" name="installDataButton">
          <controlPr defaultSize="0" autoLine="0" r:id="rId7">
            <anchor moveWithCells="1">
              <from>
                <xdr:col>1</xdr:col>
                <xdr:colOff>85725</xdr:colOff>
                <xdr:row>6</xdr:row>
                <xdr:rowOff>85725</xdr:rowOff>
              </from>
              <to>
                <xdr:col>1</xdr:col>
                <xdr:colOff>657225</xdr:colOff>
                <xdr:row>7</xdr:row>
                <xdr:rowOff>190500</xdr:rowOff>
              </to>
            </anchor>
          </controlPr>
        </control>
      </mc:Choice>
      <mc:Fallback>
        <control shapeId="1029" r:id="rId6" name="installDataButton"/>
      </mc:Fallback>
    </mc:AlternateContent>
  </control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27"/>
  <dimension ref="A1:B31"/>
  <sheetViews>
    <sheetView showGridLines="0" workbookViewId="0"/>
  </sheetViews>
  <sheetFormatPr defaultColWidth="9.140625" defaultRowHeight="12.75" x14ac:dyDescent="0.2"/>
  <cols>
    <col min="1" max="1" width="14.140625" customWidth="1"/>
    <col min="2" max="2" width="100.85546875" customWidth="1"/>
    <col min="3" max="3" width="9.140625" customWidth="1"/>
  </cols>
  <sheetData>
    <row r="1" spans="1:2" ht="15" x14ac:dyDescent="0.25">
      <c r="A1" s="213" t="s">
        <v>150</v>
      </c>
    </row>
    <row r="2" spans="1:2" x14ac:dyDescent="0.2">
      <c r="A2" s="83" t="s">
        <v>148</v>
      </c>
    </row>
    <row r="3" spans="1:2" s="1" customFormat="1" x14ac:dyDescent="0.2">
      <c r="A3" s="208"/>
      <c r="B3" s="208"/>
    </row>
    <row r="4" spans="1:2" s="83" customFormat="1" x14ac:dyDescent="0.2">
      <c r="A4" s="209" t="s">
        <v>149</v>
      </c>
      <c r="B4" s="209" t="s">
        <v>150</v>
      </c>
    </row>
    <row r="5" spans="1:2" x14ac:dyDescent="0.2">
      <c r="A5" s="210" t="s">
        <v>374</v>
      </c>
      <c r="B5" s="211" t="s">
        <v>377</v>
      </c>
    </row>
    <row r="6" spans="1:2" x14ac:dyDescent="0.2">
      <c r="A6" s="210" t="s">
        <v>375</v>
      </c>
      <c r="B6" s="211" t="s">
        <v>378</v>
      </c>
    </row>
    <row r="7" spans="1:2" x14ac:dyDescent="0.2">
      <c r="A7" s="210" t="s">
        <v>380</v>
      </c>
      <c r="B7" s="211" t="s">
        <v>384</v>
      </c>
    </row>
    <row r="8" spans="1:2" x14ac:dyDescent="0.2">
      <c r="A8" s="210" t="s">
        <v>383</v>
      </c>
      <c r="B8" s="212" t="s">
        <v>385</v>
      </c>
    </row>
    <row r="9" spans="1:2" x14ac:dyDescent="0.2">
      <c r="A9" s="210" t="s">
        <v>381</v>
      </c>
      <c r="B9" s="212" t="s">
        <v>433</v>
      </c>
    </row>
    <row r="10" spans="1:2" x14ac:dyDescent="0.2">
      <c r="A10" s="210" t="s">
        <v>386</v>
      </c>
      <c r="B10" s="211" t="s">
        <v>393</v>
      </c>
    </row>
    <row r="11" spans="1:2" x14ac:dyDescent="0.2">
      <c r="A11" s="210" t="s">
        <v>388</v>
      </c>
      <c r="B11" s="211" t="s">
        <v>391</v>
      </c>
    </row>
    <row r="12" spans="1:2" x14ac:dyDescent="0.2">
      <c r="A12" s="210" t="s">
        <v>390</v>
      </c>
      <c r="B12" s="211" t="s">
        <v>434</v>
      </c>
    </row>
    <row r="13" spans="1:2" x14ac:dyDescent="0.2">
      <c r="A13" s="210" t="s">
        <v>405</v>
      </c>
      <c r="B13" s="211" t="s">
        <v>435</v>
      </c>
    </row>
    <row r="14" spans="1:2" x14ac:dyDescent="0.2">
      <c r="A14" s="210" t="s">
        <v>392</v>
      </c>
      <c r="B14" s="211" t="s">
        <v>425</v>
      </c>
    </row>
    <row r="15" spans="1:2" x14ac:dyDescent="0.2">
      <c r="A15" s="210" t="s">
        <v>376</v>
      </c>
      <c r="B15" s="211" t="s">
        <v>460</v>
      </c>
    </row>
    <row r="16" spans="1:2" x14ac:dyDescent="0.2">
      <c r="A16" s="210" t="s">
        <v>379</v>
      </c>
      <c r="B16" s="211" t="s">
        <v>461</v>
      </c>
    </row>
    <row r="17" spans="1:2" x14ac:dyDescent="0.2">
      <c r="A17" s="210" t="s">
        <v>382</v>
      </c>
      <c r="B17" s="211" t="s">
        <v>462</v>
      </c>
    </row>
    <row r="18" spans="1:2" x14ac:dyDescent="0.2">
      <c r="A18" s="210" t="s">
        <v>426</v>
      </c>
      <c r="B18" s="211" t="s">
        <v>427</v>
      </c>
    </row>
    <row r="19" spans="1:2" x14ac:dyDescent="0.2">
      <c r="A19" s="210" t="s">
        <v>387</v>
      </c>
      <c r="B19" s="211" t="s">
        <v>463</v>
      </c>
    </row>
    <row r="20" spans="1:2" x14ac:dyDescent="0.2">
      <c r="A20" s="210" t="s">
        <v>389</v>
      </c>
      <c r="B20" s="211" t="s">
        <v>464</v>
      </c>
    </row>
    <row r="21" spans="1:2" x14ac:dyDescent="0.2">
      <c r="A21" s="210" t="s">
        <v>417</v>
      </c>
      <c r="B21" s="211" t="s">
        <v>419</v>
      </c>
    </row>
    <row r="22" spans="1:2" x14ac:dyDescent="0.2">
      <c r="A22" s="210" t="s">
        <v>418</v>
      </c>
      <c r="B22" s="211" t="s">
        <v>420</v>
      </c>
    </row>
    <row r="23" spans="1:2" x14ac:dyDescent="0.2">
      <c r="A23" s="210" t="s">
        <v>423</v>
      </c>
      <c r="B23" s="211" t="s">
        <v>424</v>
      </c>
    </row>
    <row r="24" spans="1:2" x14ac:dyDescent="0.2">
      <c r="A24" s="210" t="s">
        <v>394</v>
      </c>
      <c r="B24" s="211" t="s">
        <v>395</v>
      </c>
    </row>
    <row r="25" spans="1:2" x14ac:dyDescent="0.2">
      <c r="A25" s="210" t="s">
        <v>396</v>
      </c>
      <c r="B25" s="211" t="s">
        <v>397</v>
      </c>
    </row>
    <row r="26" spans="1:2" x14ac:dyDescent="0.2">
      <c r="A26" s="210" t="s">
        <v>398</v>
      </c>
      <c r="B26" s="211" t="s">
        <v>465</v>
      </c>
    </row>
    <row r="27" spans="1:2" x14ac:dyDescent="0.2">
      <c r="A27" s="210" t="s">
        <v>400</v>
      </c>
      <c r="B27" s="211" t="s">
        <v>466</v>
      </c>
    </row>
    <row r="28" spans="1:2" x14ac:dyDescent="0.2">
      <c r="A28" s="210" t="s">
        <v>399</v>
      </c>
      <c r="B28" s="211" t="s">
        <v>467</v>
      </c>
    </row>
    <row r="29" spans="1:2" x14ac:dyDescent="0.2">
      <c r="A29" s="210" t="s">
        <v>401</v>
      </c>
      <c r="B29" s="211" t="s">
        <v>404</v>
      </c>
    </row>
    <row r="30" spans="1:2" x14ac:dyDescent="0.2">
      <c r="A30" s="210" t="s">
        <v>402</v>
      </c>
      <c r="B30" s="211" t="s">
        <v>468</v>
      </c>
    </row>
    <row r="31" spans="1:2" x14ac:dyDescent="0.2">
      <c r="A31" s="210" t="s">
        <v>403</v>
      </c>
      <c r="B31" s="211" t="s">
        <v>469</v>
      </c>
    </row>
  </sheetData>
  <hyperlinks>
    <hyperlink ref="A5" location="'Ind T1'!A1" display="Ind T1" xr:uid="{00000000-0004-0000-0400-000000000000}"/>
    <hyperlink ref="A6" location="'Ind T2'!A1" display="Ind T2" xr:uid="{00000000-0004-0000-0400-000001000000}"/>
    <hyperlink ref="A7" location="'Ind T4'!A1" display="Ind T4" xr:uid="{00000000-0004-0000-0400-000002000000}"/>
    <hyperlink ref="A8" location="'Ind T5'!A1" display="Ind T5" xr:uid="{00000000-0004-0000-0400-000003000000}"/>
    <hyperlink ref="A9" location="'Ind T6'!A1" display="Ind T6" xr:uid="{00000000-0004-0000-0400-000004000000}"/>
    <hyperlink ref="A10" location="'Ind F1'!A1" display="Ind F1" xr:uid="{00000000-0004-0000-0400-000005000000}"/>
    <hyperlink ref="A11" location="'Ind F2'!A1" display="Ind F2" xr:uid="{00000000-0004-0000-0400-000006000000}"/>
    <hyperlink ref="A12" location="'Ind Occ T1'!A1" display="IndOcc T1" xr:uid="{00000000-0004-0000-0400-000007000000}"/>
    <hyperlink ref="A13" location="'Ind Occ T2'!A1" display="IndOcc T2" xr:uid="{00000000-0004-0000-0400-000008000000}"/>
    <hyperlink ref="A14" location="'Occ T1'!A1" display="Occ T1" xr:uid="{00000000-0004-0000-0400-000009000000}"/>
    <hyperlink ref="A15" location="'Occ T2'!A1" display="Occ T2" xr:uid="{00000000-0004-0000-0400-00000A000000}"/>
    <hyperlink ref="A16" location="'Occ T3'!A1" display="Occ T3" xr:uid="{00000000-0004-0000-0400-00000B000000}"/>
    <hyperlink ref="A17" location="'Occ T4'!A1" display="Occ T4" xr:uid="{00000000-0004-0000-0400-00000C000000}"/>
    <hyperlink ref="A19" location="'Occ F1'!A1" display="Occ F1" xr:uid="{00000000-0004-0000-0400-00000D000000}"/>
    <hyperlink ref="A20" location="'Occ F2'!A1" display="Occ F2" xr:uid="{00000000-0004-0000-0400-00000E000000}"/>
    <hyperlink ref="A24" location="'Qual T1'!A1" display="Qual T1" xr:uid="{00000000-0004-0000-0400-00000F000000}"/>
    <hyperlink ref="A25" location="'Qual F1'!A1" display="Qual F1" xr:uid="{00000000-0004-0000-0400-000010000000}"/>
    <hyperlink ref="A26" location="'ShiftShare T1'!A1" display="ShiftShare T1" xr:uid="{00000000-0004-0000-0400-000011000000}"/>
    <hyperlink ref="A27" location="'RD T1'!A1" display="RD T1" xr:uid="{00000000-0004-0000-0400-000012000000}"/>
    <hyperlink ref="A28" location="'RD F1'!A1" display="RD F1" xr:uid="{00000000-0004-0000-0400-000013000000}"/>
    <hyperlink ref="A29" location="'Basic T1'!A1" display="Basic T1" xr:uid="{00000000-0004-0000-0400-000014000000}"/>
    <hyperlink ref="A30" location="'Basic T2'!A1" display="Basic T2" xr:uid="{00000000-0004-0000-0400-000015000000}"/>
    <hyperlink ref="A31" location="'Basic T3'!A1" display="Basic T3" xr:uid="{00000000-0004-0000-0400-000016000000}"/>
    <hyperlink ref="A21" location="'Occ F3'!A1" display="Occ F3" xr:uid="{00000000-0004-0000-0400-000017000000}"/>
    <hyperlink ref="A22" location="'Occ F4'!A1" display="Occ F3" xr:uid="{00000000-0004-0000-0400-000018000000}"/>
    <hyperlink ref="A23" location="'Occ F5'!A1" display="Occ F5" xr:uid="{00000000-0004-0000-0400-000019000000}"/>
    <hyperlink ref="A18" location="'Occ T5'!A1" display="Occ T5" xr:uid="{00000000-0004-0000-0400-00001A000000}"/>
  </hyperlinks>
  <pageMargins left="0.7" right="0.7" top="0.75" bottom="0.75" header="0.3" footer="0.3"/>
  <pageSetup paperSize="9" orientation="portrait" r:id="rId1"/>
  <drawing r:id="rId2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6"/>
  <dimension ref="A1:S52"/>
  <sheetViews>
    <sheetView showGridLines="0" zoomScale="85" zoomScaleNormal="85" workbookViewId="0"/>
  </sheetViews>
  <sheetFormatPr defaultRowHeight="12.75" x14ac:dyDescent="0.2"/>
  <cols>
    <col min="1" max="1" width="26.7109375" customWidth="1"/>
    <col min="2" max="6" width="11.7109375" customWidth="1"/>
    <col min="7" max="7" width="4.85546875" customWidth="1"/>
    <col min="8" max="10" width="11.7109375" customWidth="1"/>
    <col min="11" max="11" width="4.85546875" customWidth="1"/>
    <col min="12" max="12" width="26.7109375" customWidth="1"/>
    <col min="13" max="17" width="11.7109375" customWidth="1"/>
    <col min="18" max="19" width="10.7109375" customWidth="1"/>
  </cols>
  <sheetData>
    <row r="1" spans="1:19" ht="15.75" x14ac:dyDescent="0.25">
      <c r="A1" s="19" t="str">
        <f>CONCATENATE("Industry Table 1  Employment by Industry Sector (SIC 2007), ",B$5,"-",F$5,", ",Info!B5)</f>
        <v>Industry Table 1  Employment by Industry Sector (SIC 2007), 2015-2035, Greater Lincolnshire</v>
      </c>
      <c r="L1" s="19" t="str">
        <f>CONCATENATE("Industry Table 1.1  Employment by Industry Sector (SIC 2007), ",B$5,"-",F$5,", ",Info!B5)</f>
        <v>Industry Table 1.1  Employment by Industry Sector (SIC 2007), 2015-2035, Greater Lincolnshire</v>
      </c>
    </row>
    <row r="2" spans="1:19" x14ac:dyDescent="0.2">
      <c r="A2" s="1" t="s">
        <v>513</v>
      </c>
      <c r="J2" s="16" t="s">
        <v>36</v>
      </c>
    </row>
    <row r="3" spans="1:19" ht="15.75" x14ac:dyDescent="0.25">
      <c r="A3" s="353"/>
      <c r="B3" s="36"/>
      <c r="C3" s="36"/>
      <c r="D3" s="36"/>
      <c r="E3" s="36"/>
      <c r="F3" s="36"/>
      <c r="G3" s="17"/>
      <c r="H3" s="28" t="str">
        <f>CONCATENATE(D5,"-",F5)</f>
        <v>2020-2035</v>
      </c>
      <c r="I3" s="36"/>
      <c r="J3" s="36"/>
      <c r="K3" s="17"/>
      <c r="O3" s="1" t="s">
        <v>13</v>
      </c>
      <c r="R3" s="76" t="s">
        <v>44</v>
      </c>
    </row>
    <row r="4" spans="1:19" x14ac:dyDescent="0.2">
      <c r="G4" s="10"/>
      <c r="H4" s="16" t="s">
        <v>30</v>
      </c>
      <c r="I4" s="16" t="s">
        <v>31</v>
      </c>
      <c r="J4" s="16" t="s">
        <v>33</v>
      </c>
      <c r="K4" s="10"/>
      <c r="L4" s="22"/>
      <c r="M4" s="23">
        <f>B5</f>
        <v>2015</v>
      </c>
      <c r="N4" s="23">
        <f>C5</f>
        <v>2019</v>
      </c>
      <c r="O4" s="23">
        <f>D5</f>
        <v>2020</v>
      </c>
      <c r="P4" s="23">
        <f>E5</f>
        <v>2025</v>
      </c>
      <c r="Q4" s="23">
        <f>F5</f>
        <v>2035</v>
      </c>
      <c r="R4" s="75" t="str">
        <f>CONCATENATE(B$5,"-",D$5)</f>
        <v>2015-2020</v>
      </c>
      <c r="S4" s="75" t="str">
        <f t="shared" ref="S4:S10" si="0">F33</f>
        <v>2020-2035</v>
      </c>
    </row>
    <row r="5" spans="1:19" x14ac:dyDescent="0.2">
      <c r="A5" s="24"/>
      <c r="B5" s="35">
        <f>'Ind T2'!B3</f>
        <v>2015</v>
      </c>
      <c r="C5" s="35">
        <f>'Ind T2'!C3</f>
        <v>2019</v>
      </c>
      <c r="D5" s="35">
        <f>'Ind T2'!D3</f>
        <v>2020</v>
      </c>
      <c r="E5" s="35">
        <f>'Ind T2'!E3</f>
        <v>2025</v>
      </c>
      <c r="F5" s="35">
        <f>'Ind T2'!F3</f>
        <v>2035</v>
      </c>
      <c r="G5" s="11"/>
      <c r="H5" s="63" t="s">
        <v>19</v>
      </c>
      <c r="I5" s="63" t="s">
        <v>32</v>
      </c>
      <c r="J5" s="63" t="s">
        <v>34</v>
      </c>
      <c r="K5" s="11"/>
      <c r="L5" t="str">
        <f t="shared" ref="L5:Q10" si="1">A7</f>
        <v>Primary sector and utilities</v>
      </c>
      <c r="M5" s="11">
        <f t="shared" si="1"/>
        <v>19.640000000000022</v>
      </c>
      <c r="N5" s="11">
        <f t="shared" si="1"/>
        <v>18.652999999999963</v>
      </c>
      <c r="O5" s="11">
        <f t="shared" si="1"/>
        <v>21.362000000000037</v>
      </c>
      <c r="P5" s="11">
        <f t="shared" si="1"/>
        <v>21.268000000000029</v>
      </c>
      <c r="Q5" s="11">
        <f t="shared" si="1"/>
        <v>20.995000000000033</v>
      </c>
      <c r="R5" s="40">
        <f t="shared" ref="R5:R10" si="2">IF(D$5-B$5 &lt;&gt; 0,(EXP(LN(D7/B7)/(D$5-B$5))-1)*100,0)</f>
        <v>1.6951135220768965</v>
      </c>
      <c r="S5" s="40">
        <f t="shared" si="0"/>
        <v>-0.11546214798360266</v>
      </c>
    </row>
    <row r="6" spans="1:19" x14ac:dyDescent="0.2">
      <c r="A6" s="1" t="s">
        <v>13</v>
      </c>
      <c r="C6" s="10"/>
      <c r="D6" s="10"/>
      <c r="E6" s="10"/>
      <c r="F6" s="10"/>
      <c r="G6" s="11"/>
      <c r="H6" s="11"/>
      <c r="I6" s="11"/>
      <c r="J6" s="11"/>
      <c r="K6" s="11"/>
      <c r="L6" t="str">
        <f t="shared" si="1"/>
        <v>Manufacturing</v>
      </c>
      <c r="M6" s="11">
        <f t="shared" si="1"/>
        <v>68.989000000000146</v>
      </c>
      <c r="N6" s="11">
        <f t="shared" si="1"/>
        <v>67.950999999999979</v>
      </c>
      <c r="O6" s="11">
        <f t="shared" si="1"/>
        <v>68.03400000000002</v>
      </c>
      <c r="P6" s="11">
        <f t="shared" si="1"/>
        <v>65.943999999999946</v>
      </c>
      <c r="Q6" s="11">
        <f t="shared" si="1"/>
        <v>62.16099999999998</v>
      </c>
      <c r="R6" s="40">
        <f t="shared" si="2"/>
        <v>-0.27840156966945084</v>
      </c>
      <c r="S6" s="40">
        <f t="shared" si="0"/>
        <v>-0.60005766449598985</v>
      </c>
    </row>
    <row r="7" spans="1:19" x14ac:dyDescent="0.2">
      <c r="A7" t="str">
        <f>name!C4</f>
        <v>Primary sector and utilities</v>
      </c>
      <c r="B7" s="11">
        <f t="array" ref="B7:B12">MMULT(aggregation!$B$3:$W$8,'Ind T2'!B5:B26)</f>
        <v>19.640000000000022</v>
      </c>
      <c r="C7" s="11">
        <f t="array" ref="C7:C12">MMULT(aggregation!$B$3:$W$8,'Ind T2'!C5:C26)</f>
        <v>18.652999999999963</v>
      </c>
      <c r="D7" s="11">
        <f t="array" ref="D7:D12">MMULT(aggregation!$B$3:$W$8,'Ind T2'!D5:D26)</f>
        <v>21.362000000000037</v>
      </c>
      <c r="E7" s="11">
        <f t="array" ref="E7:E12">MMULT(aggregation!$B$3:$W$8,'Ind T2'!E5:E26)</f>
        <v>21.268000000000029</v>
      </c>
      <c r="F7" s="11">
        <f t="array" ref="F7:F12">MMULT(aggregation!$B$3:$W$8,'Ind T2'!F5:F26)</f>
        <v>20.995000000000033</v>
      </c>
      <c r="G7" s="11"/>
      <c r="H7" s="11">
        <f>F7-D7</f>
        <v>-0.36700000000000443</v>
      </c>
      <c r="I7" s="11">
        <f t="array" ref="I7:I12">MMULT(aggregation!$B$3:$W$8,'RD T1'!AB7:AB28)</f>
        <v>9.9872964138328211</v>
      </c>
      <c r="J7" s="11">
        <f>SUM(H7:I7)</f>
        <v>9.6202964138328166</v>
      </c>
      <c r="K7" s="11"/>
      <c r="L7" t="str">
        <f t="shared" si="1"/>
        <v>Construction</v>
      </c>
      <c r="M7" s="11">
        <f t="shared" si="1"/>
        <v>35.251000000000047</v>
      </c>
      <c r="N7" s="11">
        <f t="shared" si="1"/>
        <v>34.611999999999952</v>
      </c>
      <c r="O7" s="11">
        <f t="shared" si="1"/>
        <v>34.021000000000058</v>
      </c>
      <c r="P7" s="11">
        <f t="shared" si="1"/>
        <v>34.368999999999993</v>
      </c>
      <c r="Q7" s="11">
        <f t="shared" si="1"/>
        <v>35.626999999999988</v>
      </c>
      <c r="R7" s="40">
        <f>IF(D$5-B$5 &lt;&gt; 0,(EXP(LN(D9/B9)/(D$5-B$5))-1)*100,0)</f>
        <v>-0.70780153476213137</v>
      </c>
      <c r="S7" s="40">
        <f t="shared" si="0"/>
        <v>0.30797859160296426</v>
      </c>
    </row>
    <row r="8" spans="1:19" x14ac:dyDescent="0.2">
      <c r="A8" t="str">
        <f>name!C5</f>
        <v>Manufacturing</v>
      </c>
      <c r="B8" s="11">
        <v>68.989000000000146</v>
      </c>
      <c r="C8" s="11">
        <v>67.950999999999979</v>
      </c>
      <c r="D8" s="11">
        <v>68.03400000000002</v>
      </c>
      <c r="E8" s="11">
        <v>65.943999999999946</v>
      </c>
      <c r="F8" s="11">
        <v>62.16099999999998</v>
      </c>
      <c r="G8" s="11"/>
      <c r="H8" s="11">
        <f t="shared" ref="H8:H12" si="3">F8-D8</f>
        <v>-5.8730000000000402</v>
      </c>
      <c r="I8" s="11">
        <v>27.526718063365308</v>
      </c>
      <c r="J8" s="11">
        <f t="shared" ref="J8:J12" si="4">SUM(H8:I8)</f>
        <v>21.653718063365268</v>
      </c>
      <c r="K8" s="11"/>
      <c r="L8" t="str">
        <f t="shared" si="1"/>
        <v>Trade, accomod. and transport</v>
      </c>
      <c r="M8" s="11">
        <f t="shared" si="1"/>
        <v>143.00700000000001</v>
      </c>
      <c r="N8" s="11">
        <f t="shared" si="1"/>
        <v>146.2359999999999</v>
      </c>
      <c r="O8" s="11">
        <f t="shared" si="1"/>
        <v>144.13800000000023</v>
      </c>
      <c r="P8" s="11">
        <f t="shared" si="1"/>
        <v>146.65500000000009</v>
      </c>
      <c r="Q8" s="11">
        <f t="shared" si="1"/>
        <v>151.45999999999989</v>
      </c>
      <c r="R8" s="40">
        <f t="shared" si="2"/>
        <v>0.15767605598384637</v>
      </c>
      <c r="S8" s="40">
        <f t="shared" si="0"/>
        <v>0.33088214164520569</v>
      </c>
    </row>
    <row r="9" spans="1:19" x14ac:dyDescent="0.2">
      <c r="A9" t="str">
        <f>name!C6</f>
        <v>Construction</v>
      </c>
      <c r="B9" s="11">
        <v>35.251000000000047</v>
      </c>
      <c r="C9" s="11">
        <v>34.611999999999952</v>
      </c>
      <c r="D9" s="11">
        <v>34.021000000000058</v>
      </c>
      <c r="E9" s="11">
        <v>34.368999999999993</v>
      </c>
      <c r="F9" s="11">
        <v>35.626999999999988</v>
      </c>
      <c r="G9" s="11"/>
      <c r="H9" s="11">
        <f t="shared" si="3"/>
        <v>1.6059999999999306</v>
      </c>
      <c r="I9" s="11">
        <v>14.034947843786039</v>
      </c>
      <c r="J9" s="11">
        <f t="shared" si="4"/>
        <v>15.64094784378597</v>
      </c>
      <c r="K9" s="11"/>
      <c r="L9" t="str">
        <f t="shared" si="1"/>
        <v>Business and other services</v>
      </c>
      <c r="M9" s="11">
        <f t="shared" si="1"/>
        <v>108.91699999999999</v>
      </c>
      <c r="N9" s="11">
        <f t="shared" si="1"/>
        <v>118.97200000000002</v>
      </c>
      <c r="O9" s="11">
        <f t="shared" si="1"/>
        <v>120.74400000000011</v>
      </c>
      <c r="P9" s="11">
        <f t="shared" si="1"/>
        <v>122.39800000000015</v>
      </c>
      <c r="Q9" s="11">
        <f t="shared" si="1"/>
        <v>128.03399999999988</v>
      </c>
      <c r="R9" s="40">
        <f t="shared" si="2"/>
        <v>2.0831300155521371</v>
      </c>
      <c r="S9" s="40">
        <f t="shared" si="0"/>
        <v>0.39158638240996968</v>
      </c>
    </row>
    <row r="10" spans="1:19" x14ac:dyDescent="0.2">
      <c r="A10" t="str">
        <f>name!C7</f>
        <v>Trade, accomod. and transport</v>
      </c>
      <c r="B10" s="11">
        <v>143.00700000000001</v>
      </c>
      <c r="C10" s="11">
        <v>146.2359999999999</v>
      </c>
      <c r="D10" s="11">
        <v>144.13800000000023</v>
      </c>
      <c r="E10" s="11">
        <v>146.65500000000009</v>
      </c>
      <c r="F10" s="11">
        <v>151.45999999999989</v>
      </c>
      <c r="G10" s="11"/>
      <c r="H10" s="11">
        <f t="shared" si="3"/>
        <v>7.3219999999996617</v>
      </c>
      <c r="I10" s="11">
        <v>69.702683307631858</v>
      </c>
      <c r="J10" s="11">
        <f t="shared" si="4"/>
        <v>77.02468330763152</v>
      </c>
      <c r="K10" s="11"/>
      <c r="L10" t="str">
        <f t="shared" si="1"/>
        <v>Non-marketed services</v>
      </c>
      <c r="M10" s="11">
        <f t="shared" si="1"/>
        <v>125.80099999999987</v>
      </c>
      <c r="N10" s="11">
        <f t="shared" si="1"/>
        <v>127.34200000000001</v>
      </c>
      <c r="O10" s="11">
        <f t="shared" si="1"/>
        <v>126.54600000000022</v>
      </c>
      <c r="P10" s="11">
        <f t="shared" si="1"/>
        <v>129.73600000000019</v>
      </c>
      <c r="Q10" s="11">
        <f t="shared" si="1"/>
        <v>134.6350000000001</v>
      </c>
      <c r="R10" s="40">
        <f t="shared" si="2"/>
        <v>0.11816145712943982</v>
      </c>
      <c r="S10" s="40">
        <f t="shared" si="0"/>
        <v>0.41393123653759023</v>
      </c>
    </row>
    <row r="11" spans="1:19" x14ac:dyDescent="0.2">
      <c r="A11" t="str">
        <f>name!C8</f>
        <v>Business and other services</v>
      </c>
      <c r="B11" s="11">
        <v>108.91699999999999</v>
      </c>
      <c r="C11" s="11">
        <v>118.97200000000002</v>
      </c>
      <c r="D11" s="11">
        <v>120.74400000000011</v>
      </c>
      <c r="E11" s="11">
        <v>122.39800000000015</v>
      </c>
      <c r="F11" s="11">
        <v>128.03399999999988</v>
      </c>
      <c r="G11" s="11"/>
      <c r="H11" s="11">
        <f t="shared" si="3"/>
        <v>7.2899999999997647</v>
      </c>
      <c r="I11" s="11">
        <v>59.024732563566971</v>
      </c>
      <c r="J11" s="11">
        <f t="shared" si="4"/>
        <v>66.314732563566736</v>
      </c>
      <c r="K11" s="11"/>
      <c r="M11" s="11"/>
      <c r="N11" s="11"/>
      <c r="O11" s="11"/>
      <c r="P11" s="11"/>
      <c r="Q11" s="11"/>
      <c r="R11" s="40"/>
      <c r="S11" s="40"/>
    </row>
    <row r="12" spans="1:19" x14ac:dyDescent="0.2">
      <c r="A12" t="str">
        <f>name!C9</f>
        <v>Non-marketed services</v>
      </c>
      <c r="B12" s="11">
        <v>125.80099999999987</v>
      </c>
      <c r="C12" s="11">
        <v>127.34200000000001</v>
      </c>
      <c r="D12" s="11">
        <v>126.54600000000022</v>
      </c>
      <c r="E12" s="11">
        <v>129.73600000000019</v>
      </c>
      <c r="F12" s="11">
        <v>134.6350000000001</v>
      </c>
      <c r="G12" s="11"/>
      <c r="H12" s="11">
        <f t="shared" si="3"/>
        <v>8.0889999999998849</v>
      </c>
      <c r="I12" s="11">
        <v>69.260972832768019</v>
      </c>
      <c r="J12" s="11">
        <f t="shared" si="4"/>
        <v>77.349972832767904</v>
      </c>
      <c r="K12" s="11"/>
      <c r="L12" s="24" t="str">
        <f t="shared" ref="L12:Q12" si="5">A14</f>
        <v>All industries</v>
      </c>
      <c r="M12" s="34">
        <f t="shared" si="5"/>
        <v>501.60500000000008</v>
      </c>
      <c r="N12" s="34">
        <f t="shared" si="5"/>
        <v>513.76599999999985</v>
      </c>
      <c r="O12" s="34">
        <f t="shared" si="5"/>
        <v>514.84500000000071</v>
      </c>
      <c r="P12" s="34">
        <f t="shared" si="5"/>
        <v>520.37000000000035</v>
      </c>
      <c r="Q12" s="34">
        <f t="shared" si="5"/>
        <v>532.91199999999981</v>
      </c>
      <c r="R12" s="43">
        <f>IF(D$5-B$5 &lt;&gt; 0,(EXP(LN(D14/B14)/(D$5-B$5))-1)*100,0)</f>
        <v>0.52241841326523542</v>
      </c>
      <c r="S12" s="43">
        <f>F41</f>
        <v>0.23020070827648453</v>
      </c>
    </row>
    <row r="13" spans="1:19" x14ac:dyDescent="0.2">
      <c r="B13" s="11"/>
      <c r="C13" s="11"/>
      <c r="D13" s="11"/>
      <c r="E13" s="11"/>
      <c r="F13" s="11"/>
      <c r="G13" s="11"/>
      <c r="H13" s="11"/>
      <c r="I13" s="11"/>
      <c r="J13" s="11"/>
      <c r="K13" s="11"/>
      <c r="L13" s="11"/>
    </row>
    <row r="14" spans="1:19" x14ac:dyDescent="0.2">
      <c r="A14" s="24" t="str">
        <f>name!C3</f>
        <v>All industries</v>
      </c>
      <c r="B14" s="34">
        <f>SUM(B7:B12)</f>
        <v>501.60500000000008</v>
      </c>
      <c r="C14" s="34">
        <f t="shared" ref="C14:F14" si="6">SUM(C7:C12)</f>
        <v>513.76599999999985</v>
      </c>
      <c r="D14" s="34">
        <f t="shared" si="6"/>
        <v>514.84500000000071</v>
      </c>
      <c r="E14" s="34">
        <f t="shared" si="6"/>
        <v>520.37000000000035</v>
      </c>
      <c r="F14" s="34">
        <f t="shared" si="6"/>
        <v>532.91199999999981</v>
      </c>
      <c r="G14" s="34"/>
      <c r="H14" s="34">
        <f>SUM(H7:H12)</f>
        <v>18.066999999999197</v>
      </c>
      <c r="I14" s="34">
        <f>SUM(I7:I12)</f>
        <v>249.53735102495102</v>
      </c>
      <c r="J14" s="34">
        <f t="shared" ref="J14" si="7">SUM(J7:J12)</f>
        <v>267.60435102495023</v>
      </c>
      <c r="K14" s="11"/>
      <c r="L14" s="11"/>
    </row>
    <row r="15" spans="1:19" x14ac:dyDescent="0.2">
      <c r="B15" s="11"/>
      <c r="C15" s="11"/>
      <c r="D15" s="11"/>
      <c r="E15" s="11"/>
      <c r="F15" s="11"/>
      <c r="G15" s="17"/>
      <c r="H15" s="11"/>
      <c r="I15" s="11"/>
      <c r="J15" s="11"/>
      <c r="K15" s="17"/>
      <c r="L15" s="11"/>
    </row>
    <row r="16" spans="1:19" x14ac:dyDescent="0.2">
      <c r="B16" s="11"/>
      <c r="C16" s="11"/>
      <c r="D16" s="11"/>
      <c r="E16" s="11"/>
      <c r="F16" s="11"/>
      <c r="G16" s="351"/>
      <c r="H16" s="17"/>
      <c r="I16" s="17"/>
      <c r="J16" s="352" t="s">
        <v>35</v>
      </c>
      <c r="K16" s="351"/>
      <c r="L16" s="11"/>
    </row>
    <row r="17" spans="1:12" x14ac:dyDescent="0.2">
      <c r="A17" s="36"/>
      <c r="B17" s="65"/>
      <c r="C17" s="65"/>
      <c r="D17" s="65"/>
      <c r="E17" s="65"/>
      <c r="F17" s="65"/>
      <c r="G17" s="351"/>
      <c r="H17" s="28" t="str">
        <f>CONCATENATE(D19,"-",F19)</f>
        <v>2020-2035</v>
      </c>
      <c r="I17" s="36"/>
      <c r="J17" s="36"/>
      <c r="K17" s="351"/>
      <c r="L17" s="11"/>
    </row>
    <row r="18" spans="1:12" x14ac:dyDescent="0.2">
      <c r="B18" s="11"/>
      <c r="C18" s="11"/>
      <c r="D18" s="11"/>
      <c r="E18" s="11"/>
      <c r="F18" s="11"/>
      <c r="G18" s="351"/>
      <c r="H18" s="16" t="s">
        <v>30</v>
      </c>
      <c r="I18" s="16" t="s">
        <v>31</v>
      </c>
      <c r="J18" s="16" t="s">
        <v>33</v>
      </c>
      <c r="K18" s="351"/>
      <c r="L18" s="11"/>
    </row>
    <row r="19" spans="1:12" x14ac:dyDescent="0.2">
      <c r="A19" s="41" t="s">
        <v>14</v>
      </c>
      <c r="B19" s="35">
        <f>B$5</f>
        <v>2015</v>
      </c>
      <c r="C19" s="35">
        <f>C$5</f>
        <v>2019</v>
      </c>
      <c r="D19" s="35">
        <f>D$5</f>
        <v>2020</v>
      </c>
      <c r="E19" s="35">
        <f>E$5</f>
        <v>2025</v>
      </c>
      <c r="F19" s="35">
        <f>F$5</f>
        <v>2035</v>
      </c>
      <c r="G19" s="351"/>
      <c r="H19" s="63" t="s">
        <v>19</v>
      </c>
      <c r="I19" s="63" t="s">
        <v>32</v>
      </c>
      <c r="J19" s="63" t="s">
        <v>34</v>
      </c>
      <c r="K19" s="351"/>
      <c r="L19" s="11"/>
    </row>
    <row r="20" spans="1:12" x14ac:dyDescent="0.2">
      <c r="A20" t="str">
        <f>$A$7</f>
        <v>Primary sector and utilities</v>
      </c>
      <c r="B20" s="18">
        <f t="shared" ref="B20:F25" si="8">B7/B$14*100</f>
        <v>3.9154314649973618</v>
      </c>
      <c r="C20" s="18">
        <f t="shared" si="8"/>
        <v>3.6306411868438104</v>
      </c>
      <c r="D20" s="18">
        <f t="shared" si="8"/>
        <v>4.1492099563946443</v>
      </c>
      <c r="E20" s="18">
        <f t="shared" si="8"/>
        <v>4.087091876933723</v>
      </c>
      <c r="F20" s="18">
        <f t="shared" si="8"/>
        <v>3.9396748431260771</v>
      </c>
      <c r="G20" s="351"/>
      <c r="H20" s="40">
        <f>IF(D7&gt;0,(H7/D7)*100,0)</f>
        <v>-1.7180039322161025</v>
      </c>
      <c r="I20" s="40">
        <f>IF(D7&gt;0,(I7/D7)*100,0)</f>
        <v>46.752628095837487</v>
      </c>
      <c r="J20" s="40">
        <f>IF(D7&gt;0,(J7/D7)*100,0)</f>
        <v>45.034624163621388</v>
      </c>
      <c r="K20" s="351"/>
      <c r="L20" s="11"/>
    </row>
    <row r="21" spans="1:12" x14ac:dyDescent="0.2">
      <c r="A21" t="str">
        <f>$A$8</f>
        <v>Manufacturing</v>
      </c>
      <c r="B21" s="18">
        <f t="shared" si="8"/>
        <v>13.75365078099304</v>
      </c>
      <c r="C21" s="18">
        <f t="shared" si="8"/>
        <v>13.226060112969718</v>
      </c>
      <c r="D21" s="18">
        <f t="shared" si="8"/>
        <v>13.214462605250111</v>
      </c>
      <c r="E21" s="18">
        <f t="shared" si="8"/>
        <v>12.672521475104235</v>
      </c>
      <c r="F21" s="18">
        <f t="shared" si="8"/>
        <v>11.664402377878524</v>
      </c>
      <c r="G21" s="351"/>
      <c r="H21" s="40">
        <f t="shared" ref="H21:H25" si="9">IF(D8&gt;0,(H8/D8)*100,0)</f>
        <v>-8.632448481641589</v>
      </c>
      <c r="I21" s="40">
        <f t="shared" ref="I21:I25" si="10">IF(D8&gt;0,(I8/D8)*100,0)</f>
        <v>40.46023762143237</v>
      </c>
      <c r="J21" s="40">
        <f t="shared" ref="J21:J27" si="11">IF(D8&gt;0,(J8/D8)*100,0)</f>
        <v>31.827789139790784</v>
      </c>
      <c r="K21" s="351"/>
      <c r="L21" s="11"/>
    </row>
    <row r="22" spans="1:12" x14ac:dyDescent="0.2">
      <c r="A22" t="str">
        <f>$A$9</f>
        <v>Construction</v>
      </c>
      <c r="B22" s="18">
        <f t="shared" si="8"/>
        <v>7.0276412715184335</v>
      </c>
      <c r="C22" s="18">
        <f t="shared" si="8"/>
        <v>6.7369191421775598</v>
      </c>
      <c r="D22" s="18">
        <f t="shared" si="8"/>
        <v>6.6080082354883523</v>
      </c>
      <c r="E22" s="18">
        <f t="shared" si="8"/>
        <v>6.6047235620808209</v>
      </c>
      <c r="F22" s="18">
        <f t="shared" si="8"/>
        <v>6.6853439216981423</v>
      </c>
      <c r="G22" s="351"/>
      <c r="H22" s="40">
        <f t="shared" si="9"/>
        <v>4.7206137385730225</v>
      </c>
      <c r="I22" s="40">
        <f t="shared" si="10"/>
        <v>41.253778089374258</v>
      </c>
      <c r="J22" s="40">
        <f t="shared" si="11"/>
        <v>45.974391827947272</v>
      </c>
      <c r="K22" s="351"/>
    </row>
    <row r="23" spans="1:12" x14ac:dyDescent="0.2">
      <c r="A23" t="str">
        <f>$A$10</f>
        <v>Trade, accomod. and transport</v>
      </c>
      <c r="B23" s="18">
        <f t="shared" si="8"/>
        <v>28.509883274688246</v>
      </c>
      <c r="C23" s="18">
        <f t="shared" si="8"/>
        <v>28.463541768042251</v>
      </c>
      <c r="D23" s="18">
        <f t="shared" si="8"/>
        <v>27.996387262185713</v>
      </c>
      <c r="E23" s="18">
        <f t="shared" si="8"/>
        <v>28.182831446855122</v>
      </c>
      <c r="F23" s="18">
        <f t="shared" si="8"/>
        <v>28.421202750172625</v>
      </c>
      <c r="G23" s="351"/>
      <c r="H23" s="40">
        <f t="shared" si="9"/>
        <v>5.0798540287777341</v>
      </c>
      <c r="I23" s="40">
        <f t="shared" si="10"/>
        <v>48.358297817113979</v>
      </c>
      <c r="J23" s="40">
        <f t="shared" si="11"/>
        <v>53.43815184589171</v>
      </c>
      <c r="K23" s="351"/>
      <c r="L23" s="11"/>
    </row>
    <row r="24" spans="1:12" x14ac:dyDescent="0.2">
      <c r="A24" t="str">
        <f>$A$11</f>
        <v>Business and other services</v>
      </c>
      <c r="B24" s="18">
        <f t="shared" si="8"/>
        <v>21.713699026126129</v>
      </c>
      <c r="C24" s="18">
        <f t="shared" si="8"/>
        <v>23.156845723539522</v>
      </c>
      <c r="D24" s="18">
        <f t="shared" si="8"/>
        <v>23.452495411240264</v>
      </c>
      <c r="E24" s="18">
        <f t="shared" si="8"/>
        <v>23.52134058458406</v>
      </c>
      <c r="F24" s="18">
        <f t="shared" si="8"/>
        <v>24.02535503047406</v>
      </c>
      <c r="G24" s="351"/>
      <c r="H24" s="40">
        <f t="shared" si="9"/>
        <v>6.0375670840785114</v>
      </c>
      <c r="I24" s="40">
        <f t="shared" si="10"/>
        <v>48.884195126521327</v>
      </c>
      <c r="J24" s="40">
        <f t="shared" si="11"/>
        <v>54.921762210599844</v>
      </c>
      <c r="K24" s="351"/>
      <c r="L24" s="11"/>
    </row>
    <row r="25" spans="1:12" x14ac:dyDescent="0.2">
      <c r="A25" t="str">
        <f>$A$12</f>
        <v>Non-marketed services</v>
      </c>
      <c r="B25" s="18">
        <f t="shared" si="8"/>
        <v>25.079694181676786</v>
      </c>
      <c r="C25" s="18">
        <f t="shared" si="8"/>
        <v>24.785992066427138</v>
      </c>
      <c r="D25" s="18">
        <f t="shared" si="8"/>
        <v>24.579436529440908</v>
      </c>
      <c r="E25" s="18">
        <f t="shared" si="8"/>
        <v>24.931491054442052</v>
      </c>
      <c r="F25" s="18">
        <f t="shared" si="8"/>
        <v>25.264021076650582</v>
      </c>
      <c r="G25" s="351"/>
      <c r="H25" s="40">
        <f t="shared" si="9"/>
        <v>6.3921419878936279</v>
      </c>
      <c r="I25" s="40">
        <f t="shared" si="10"/>
        <v>54.731854687440062</v>
      </c>
      <c r="J25" s="40">
        <f t="shared" si="11"/>
        <v>61.123996675333693</v>
      </c>
      <c r="K25" s="351"/>
      <c r="L25" s="11"/>
    </row>
    <row r="26" spans="1:12" x14ac:dyDescent="0.2">
      <c r="B26" s="18"/>
      <c r="C26" s="18"/>
      <c r="D26" s="18"/>
      <c r="E26" s="18"/>
      <c r="F26" s="18"/>
      <c r="G26" s="351"/>
      <c r="H26" s="40"/>
      <c r="I26" s="40"/>
      <c r="J26" s="40"/>
      <c r="K26" s="351"/>
      <c r="L26" s="11"/>
    </row>
    <row r="27" spans="1:12" x14ac:dyDescent="0.2">
      <c r="A27" s="24" t="str">
        <f>$A$14</f>
        <v>All industries</v>
      </c>
      <c r="B27" s="26">
        <f>B14/B$14*100</f>
        <v>100</v>
      </c>
      <c r="C27" s="26">
        <f>C14/C$14*100</f>
        <v>100</v>
      </c>
      <c r="D27" s="26">
        <f>D14/D$14*100</f>
        <v>100</v>
      </c>
      <c r="E27" s="26">
        <f>E14/E$14*100</f>
        <v>100</v>
      </c>
      <c r="F27" s="26">
        <f>F14/F$14*100</f>
        <v>100</v>
      </c>
      <c r="G27" s="351"/>
      <c r="H27" s="43">
        <f>IF(D14&gt;0,(H14/D14)*100,0)</f>
        <v>3.5092115102602088</v>
      </c>
      <c r="I27" s="43">
        <f>IF(D14&gt;0,(I14/D14)*100,0)</f>
        <v>48.46844215733875</v>
      </c>
      <c r="J27" s="43">
        <f t="shared" si="11"/>
        <v>51.977653667598958</v>
      </c>
      <c r="K27" s="351"/>
      <c r="L27" s="11"/>
    </row>
    <row r="28" spans="1:12" x14ac:dyDescent="0.2">
      <c r="B28" s="18"/>
      <c r="C28" s="18"/>
      <c r="D28" s="18"/>
      <c r="E28" s="18"/>
      <c r="F28" s="18"/>
    </row>
    <row r="29" spans="1:12" x14ac:dyDescent="0.2">
      <c r="B29" s="18"/>
      <c r="C29" s="18"/>
      <c r="D29" s="18"/>
      <c r="E29" s="18"/>
      <c r="F29" s="18"/>
      <c r="G29" s="20"/>
      <c r="H29" s="20"/>
      <c r="I29" s="20"/>
      <c r="J29" s="20"/>
      <c r="K29" s="20"/>
    </row>
    <row r="30" spans="1:12" x14ac:dyDescent="0.2">
      <c r="B30" s="18"/>
      <c r="C30" s="18"/>
      <c r="D30" s="18"/>
      <c r="E30" s="18"/>
      <c r="F30" s="18"/>
      <c r="G30" s="18"/>
      <c r="H30" s="18"/>
      <c r="I30" s="18"/>
      <c r="J30" s="18"/>
      <c r="K30" s="18"/>
    </row>
    <row r="31" spans="1:12" ht="15.75" x14ac:dyDescent="0.25">
      <c r="A31" s="194" t="str">
        <f>CONCATENATE(A1," (Continued)")</f>
        <v>Industry Table 1  Employment by Industry Sector (SIC 2007), 2015-2035, Greater Lincolnshire (Continued)</v>
      </c>
      <c r="B31" s="18"/>
      <c r="C31" s="18"/>
      <c r="D31" s="18"/>
      <c r="E31" s="18"/>
      <c r="F31" s="18"/>
      <c r="G31" s="18"/>
      <c r="H31" s="18"/>
      <c r="I31" s="18"/>
      <c r="J31" s="18"/>
      <c r="K31" s="18"/>
    </row>
    <row r="32" spans="1:12" x14ac:dyDescent="0.2">
      <c r="G32" s="18"/>
      <c r="H32" s="18"/>
      <c r="I32" s="18"/>
      <c r="J32" s="18"/>
      <c r="K32" s="18"/>
    </row>
    <row r="33" spans="1:11" x14ac:dyDescent="0.2">
      <c r="A33" s="195" t="s">
        <v>15</v>
      </c>
      <c r="B33" s="25" t="str">
        <f>CONCATENATE(B$5,"-",C$5)</f>
        <v>2015-2019</v>
      </c>
      <c r="C33" s="25" t="str">
        <f>CONCATENATE(C$5,"-",D$5)</f>
        <v>2019-2020</v>
      </c>
      <c r="D33" s="25" t="str">
        <f>CONCATENATE(D$5,"-",E$5)</f>
        <v>2020-2025</v>
      </c>
      <c r="E33" s="25" t="str">
        <f>CONCATENATE(E$5,"-",F$5)</f>
        <v>2025-2035</v>
      </c>
      <c r="F33" s="25" t="str">
        <f>CONCATENATE(D$5,"-",F$5)</f>
        <v>2020-2035</v>
      </c>
      <c r="G33" s="18"/>
      <c r="H33" s="18"/>
      <c r="I33" s="18"/>
      <c r="J33" s="18"/>
      <c r="K33" s="18"/>
    </row>
    <row r="34" spans="1:11" x14ac:dyDescent="0.2">
      <c r="A34" t="str">
        <f>$A$7</f>
        <v>Primary sector and utilities</v>
      </c>
      <c r="B34" s="18">
        <f t="shared" ref="B34:E39" si="12">IF(C$5-B$5 &lt;&gt; 0,(EXP(LN(C7/B7)/(C$5-B$5))-1)*100,0)</f>
        <v>-1.2807603518351418</v>
      </c>
      <c r="C34" s="18">
        <f t="shared" si="12"/>
        <v>14.523133008095645</v>
      </c>
      <c r="D34" s="18">
        <f t="shared" si="12"/>
        <v>-8.8162054912033216E-2</v>
      </c>
      <c r="E34" s="18">
        <f t="shared" si="12"/>
        <v>-0.12910939706926028</v>
      </c>
      <c r="F34" s="18">
        <f t="shared" ref="F34:F39" si="13">IF(F$5-D$5 &lt;&gt; 0,(EXP(LN(F7/D7)/(F$5-D$5))-1)*100,0)</f>
        <v>-0.11546214798360266</v>
      </c>
      <c r="G34" s="18"/>
      <c r="H34" s="18"/>
      <c r="I34" s="18"/>
      <c r="J34" s="18"/>
      <c r="K34" s="18"/>
    </row>
    <row r="35" spans="1:11" x14ac:dyDescent="0.2">
      <c r="A35" t="str">
        <f>$A$8</f>
        <v>Manufacturing</v>
      </c>
      <c r="B35" s="18">
        <f t="shared" si="12"/>
        <v>-0.37828804135457972</v>
      </c>
      <c r="C35" s="18">
        <f t="shared" si="12"/>
        <v>0.12214684110614105</v>
      </c>
      <c r="D35" s="18">
        <f t="shared" si="12"/>
        <v>-0.6220906179218888</v>
      </c>
      <c r="E35" s="18">
        <f t="shared" si="12"/>
        <v>-0.5890393560136431</v>
      </c>
      <c r="F35" s="18">
        <f t="shared" si="13"/>
        <v>-0.60005766449598985</v>
      </c>
      <c r="G35" s="18"/>
      <c r="H35" s="18"/>
      <c r="I35" s="18"/>
      <c r="J35" s="18"/>
      <c r="K35" s="18"/>
    </row>
    <row r="36" spans="1:11" x14ac:dyDescent="0.2">
      <c r="A36" t="str">
        <f>$A$9</f>
        <v>Construction</v>
      </c>
      <c r="B36" s="18">
        <f t="shared" si="12"/>
        <v>-0.45629218228173674</v>
      </c>
      <c r="C36" s="18">
        <f t="shared" si="12"/>
        <v>-1.7075002889168411</v>
      </c>
      <c r="D36" s="18">
        <f t="shared" si="12"/>
        <v>0.20374756960739315</v>
      </c>
      <c r="E36" s="18">
        <f t="shared" si="12"/>
        <v>0.36013475311340581</v>
      </c>
      <c r="F36" s="18">
        <f t="shared" si="13"/>
        <v>0.30797859160296426</v>
      </c>
      <c r="G36" s="18"/>
      <c r="H36" s="18"/>
      <c r="I36" s="18"/>
      <c r="J36" s="18"/>
      <c r="K36" s="18"/>
    </row>
    <row r="37" spans="1:11" x14ac:dyDescent="0.2">
      <c r="A37" t="str">
        <f>$A$10</f>
        <v>Trade, accomod. and transport</v>
      </c>
      <c r="B37" s="18">
        <f t="shared" si="12"/>
        <v>0.5597652366129191</v>
      </c>
      <c r="C37" s="18">
        <f t="shared" si="12"/>
        <v>-1.4346672501980851</v>
      </c>
      <c r="D37" s="18">
        <f>IF(E$5-D$5 &lt;&gt; 0,(EXP(LN(E10/D10)/(E$5-D$5))-1)*100,0)</f>
        <v>0.34683439585330156</v>
      </c>
      <c r="E37" s="18">
        <f t="shared" si="12"/>
        <v>0.32290696554708731</v>
      </c>
      <c r="F37" s="18">
        <f t="shared" si="13"/>
        <v>0.33088214164520569</v>
      </c>
      <c r="G37" s="18"/>
      <c r="H37" s="18"/>
      <c r="I37" s="18"/>
      <c r="J37" s="18"/>
      <c r="K37" s="18"/>
    </row>
    <row r="38" spans="1:11" x14ac:dyDescent="0.2">
      <c r="A38" t="str">
        <f>$A$11</f>
        <v>Business and other services</v>
      </c>
      <c r="B38" s="18">
        <f t="shared" si="12"/>
        <v>2.2320978810358882</v>
      </c>
      <c r="C38" s="18">
        <f t="shared" si="12"/>
        <v>1.4894260834482864</v>
      </c>
      <c r="D38" s="18">
        <f t="shared" si="12"/>
        <v>0.27247911574488359</v>
      </c>
      <c r="E38" s="18">
        <f t="shared" si="12"/>
        <v>0.45119306020870997</v>
      </c>
      <c r="F38" s="18">
        <f t="shared" si="13"/>
        <v>0.39158638240996968</v>
      </c>
      <c r="G38" s="18"/>
      <c r="H38" s="18"/>
      <c r="I38" s="18"/>
      <c r="J38" s="18"/>
      <c r="K38" s="18"/>
    </row>
    <row r="39" spans="1:11" x14ac:dyDescent="0.2">
      <c r="A39" t="str">
        <f>$A$12</f>
        <v>Non-marketed services</v>
      </c>
      <c r="B39" s="18">
        <f t="shared" si="12"/>
        <v>0.30484087490354472</v>
      </c>
      <c r="C39" s="18">
        <f t="shared" si="12"/>
        <v>-0.62508834477218445</v>
      </c>
      <c r="D39" s="18">
        <f t="shared" si="12"/>
        <v>0.49915641519042708</v>
      </c>
      <c r="E39" s="18">
        <f t="shared" si="12"/>
        <v>0.37134575325203922</v>
      </c>
      <c r="F39" s="18">
        <f t="shared" si="13"/>
        <v>0.41393123653759023</v>
      </c>
    </row>
    <row r="40" spans="1:11" x14ac:dyDescent="0.2">
      <c r="B40" s="18"/>
      <c r="C40" s="18"/>
      <c r="D40" s="18"/>
      <c r="E40" s="18"/>
      <c r="F40" s="18"/>
      <c r="G40" s="20"/>
      <c r="H40" s="20"/>
      <c r="I40" s="20"/>
      <c r="J40" s="20"/>
      <c r="K40" s="20"/>
    </row>
    <row r="41" spans="1:11" x14ac:dyDescent="0.2">
      <c r="A41" t="str">
        <f>$A$14</f>
        <v>All industries</v>
      </c>
      <c r="B41" s="18">
        <f>IF(C$5-B$5 &lt;&gt; 0,(EXP(LN(C14/B14)/(C$5-B$5))-1)*100,0)</f>
        <v>0.60067062186752729</v>
      </c>
      <c r="C41" s="18">
        <f>IF(D$5-C$5 &lt;&gt; 0,(EXP(LN(D14/C14)/(D$5-C$5))-1)*100,0)</f>
        <v>0.21001779020037858</v>
      </c>
      <c r="D41" s="18">
        <f>IF(E$5-D$5 &lt;&gt; 0,(EXP(LN(E14/D14)/(E$5-D$5))-1)*100,0)</f>
        <v>0.2137122903617561</v>
      </c>
      <c r="E41" s="18">
        <f>IF(F$5-E$5 &lt;&gt; 0,(EXP(LN(F14/E14)/(F$5-E$5))-1)*100,0)</f>
        <v>0.23844593453650198</v>
      </c>
      <c r="F41" s="18">
        <f>IF(F$5-D$5 &lt;&gt; 0,(EXP(LN(F14/D14)/(F$5-D$5))-1)*100,0)</f>
        <v>0.23020070827648453</v>
      </c>
      <c r="G41" s="27"/>
      <c r="H41" s="27"/>
      <c r="I41" s="27"/>
      <c r="J41" s="27"/>
      <c r="K41" s="27"/>
    </row>
    <row r="42" spans="1:11" x14ac:dyDescent="0.2">
      <c r="B42" s="18"/>
      <c r="C42" s="18"/>
      <c r="D42" s="18"/>
      <c r="E42" s="18"/>
      <c r="F42" s="18"/>
      <c r="G42" s="27"/>
      <c r="H42" s="27"/>
      <c r="I42" s="27"/>
      <c r="J42" s="27"/>
      <c r="K42" s="27"/>
    </row>
    <row r="43" spans="1:11" x14ac:dyDescent="0.2">
      <c r="G43" s="27"/>
      <c r="H43" s="27"/>
      <c r="I43" s="27"/>
      <c r="J43" s="27"/>
      <c r="K43" s="27"/>
    </row>
    <row r="44" spans="1:11" x14ac:dyDescent="0.2">
      <c r="A44" s="1" t="s">
        <v>16</v>
      </c>
      <c r="B44" s="20" t="str">
        <f>CONCATENATE(B$5,"-",C$5)</f>
        <v>2015-2019</v>
      </c>
      <c r="C44" s="20" t="str">
        <f>CONCATENATE(C$5,"-",D$5)</f>
        <v>2019-2020</v>
      </c>
      <c r="D44" s="20" t="str">
        <f>CONCATENATE(D$5,"-",E$5)</f>
        <v>2020-2025</v>
      </c>
      <c r="E44" s="20" t="str">
        <f>CONCATENATE(E$5,"-",F$5)</f>
        <v>2025-2035</v>
      </c>
      <c r="F44" s="20" t="str">
        <f>CONCATENATE(D$5,"-",F$5)</f>
        <v>2020-2035</v>
      </c>
      <c r="G44" s="27"/>
      <c r="H44" s="27"/>
      <c r="I44" s="27"/>
      <c r="J44" s="27"/>
      <c r="K44" s="27"/>
    </row>
    <row r="45" spans="1:11" x14ac:dyDescent="0.2">
      <c r="A45" t="str">
        <f>$A$7</f>
        <v>Primary sector and utilities</v>
      </c>
      <c r="B45" s="27">
        <f>C7-B7</f>
        <v>-0.98700000000005872</v>
      </c>
      <c r="C45" s="27">
        <f>D7-C7</f>
        <v>2.7090000000000742</v>
      </c>
      <c r="D45" s="27">
        <f>E7-D7</f>
        <v>-9.4000000000008299E-2</v>
      </c>
      <c r="E45" s="27">
        <f>F7-E7</f>
        <v>-0.27299999999999613</v>
      </c>
      <c r="F45" s="27">
        <f>F7-D7</f>
        <v>-0.36700000000000443</v>
      </c>
      <c r="G45" s="27"/>
      <c r="H45" s="27"/>
      <c r="I45" s="27"/>
      <c r="J45" s="27"/>
      <c r="K45" s="27"/>
    </row>
    <row r="46" spans="1:11" x14ac:dyDescent="0.2">
      <c r="A46" t="str">
        <f>$A$8</f>
        <v>Manufacturing</v>
      </c>
      <c r="B46" s="27">
        <f t="shared" ref="B46:E52" si="14">C8-B8</f>
        <v>-1.0380000000001672</v>
      </c>
      <c r="C46" s="27">
        <f>D8-C8</f>
        <v>8.3000000000041041E-2</v>
      </c>
      <c r="D46" s="27">
        <f t="shared" si="14"/>
        <v>-2.0900000000000745</v>
      </c>
      <c r="E46" s="27">
        <f t="shared" si="14"/>
        <v>-3.7829999999999657</v>
      </c>
      <c r="F46" s="27">
        <f t="shared" ref="F46:F52" si="15">F8-D8</f>
        <v>-5.8730000000000402</v>
      </c>
      <c r="G46" s="27"/>
      <c r="H46" s="27"/>
      <c r="I46" s="27"/>
      <c r="J46" s="27"/>
      <c r="K46" s="27"/>
    </row>
    <row r="47" spans="1:11" x14ac:dyDescent="0.2">
      <c r="A47" t="str">
        <f>$A$9</f>
        <v>Construction</v>
      </c>
      <c r="B47" s="27">
        <f t="shared" si="14"/>
        <v>-0.63900000000009527</v>
      </c>
      <c r="C47" s="27">
        <f t="shared" ref="C47:C50" si="16">D9-C9</f>
        <v>-0.5909999999998945</v>
      </c>
      <c r="D47" s="27">
        <f t="shared" si="14"/>
        <v>0.34799999999993503</v>
      </c>
      <c r="E47" s="27">
        <f t="shared" si="14"/>
        <v>1.2579999999999956</v>
      </c>
      <c r="F47" s="27">
        <f t="shared" si="15"/>
        <v>1.6059999999999306</v>
      </c>
      <c r="G47" s="27"/>
      <c r="H47" s="27"/>
      <c r="I47" s="27"/>
      <c r="J47" s="27"/>
      <c r="K47" s="27"/>
    </row>
    <row r="48" spans="1:11" x14ac:dyDescent="0.2">
      <c r="A48" t="str">
        <f>$A$10</f>
        <v>Trade, accomod. and transport</v>
      </c>
      <c r="B48" s="27">
        <f t="shared" si="14"/>
        <v>3.2289999999998997</v>
      </c>
      <c r="C48" s="27">
        <f t="shared" si="16"/>
        <v>-2.0979999999996721</v>
      </c>
      <c r="D48" s="27">
        <f t="shared" si="14"/>
        <v>2.5169999999998538</v>
      </c>
      <c r="E48" s="27">
        <f t="shared" si="14"/>
        <v>4.8049999999998079</v>
      </c>
      <c r="F48" s="27">
        <f t="shared" si="15"/>
        <v>7.3219999999996617</v>
      </c>
      <c r="G48" s="27"/>
      <c r="H48" s="27"/>
      <c r="I48" s="27"/>
      <c r="J48" s="27"/>
      <c r="K48" s="27"/>
    </row>
    <row r="49" spans="1:6" x14ac:dyDescent="0.2">
      <c r="A49" t="str">
        <f>$A$11</f>
        <v>Business and other services</v>
      </c>
      <c r="B49" s="27">
        <f t="shared" si="14"/>
        <v>10.055000000000035</v>
      </c>
      <c r="C49" s="27">
        <f t="shared" si="16"/>
        <v>1.7720000000000908</v>
      </c>
      <c r="D49" s="27">
        <f t="shared" si="14"/>
        <v>1.654000000000039</v>
      </c>
      <c r="E49" s="27">
        <f t="shared" si="14"/>
        <v>5.6359999999997257</v>
      </c>
      <c r="F49" s="27">
        <f t="shared" si="15"/>
        <v>7.2899999999997647</v>
      </c>
    </row>
    <row r="50" spans="1:6" x14ac:dyDescent="0.2">
      <c r="A50" t="str">
        <f>$A$12</f>
        <v>Non-marketed services</v>
      </c>
      <c r="B50" s="27">
        <f t="shared" si="14"/>
        <v>1.5410000000001389</v>
      </c>
      <c r="C50" s="27">
        <f t="shared" si="16"/>
        <v>-0.79599999999979332</v>
      </c>
      <c r="D50" s="27">
        <f t="shared" si="14"/>
        <v>3.1899999999999693</v>
      </c>
      <c r="E50" s="27">
        <f t="shared" si="14"/>
        <v>4.8989999999999156</v>
      </c>
      <c r="F50" s="27">
        <f t="shared" si="15"/>
        <v>8.0889999999998849</v>
      </c>
    </row>
    <row r="51" spans="1:6" x14ac:dyDescent="0.2">
      <c r="B51" s="27"/>
      <c r="C51" s="27"/>
      <c r="D51" s="27"/>
      <c r="E51" s="27"/>
      <c r="F51" s="27"/>
    </row>
    <row r="52" spans="1:6" x14ac:dyDescent="0.2">
      <c r="A52" s="24" t="str">
        <f>$A$14</f>
        <v>All industries</v>
      </c>
      <c r="B52" s="29">
        <f>C14-B14</f>
        <v>12.160999999999774</v>
      </c>
      <c r="C52" s="29">
        <f>D14-C14</f>
        <v>1.0790000000008604</v>
      </c>
      <c r="D52" s="29">
        <f t="shared" si="14"/>
        <v>5.5249999999996362</v>
      </c>
      <c r="E52" s="29">
        <f t="shared" si="14"/>
        <v>12.541999999999462</v>
      </c>
      <c r="F52" s="29">
        <f t="shared" si="15"/>
        <v>18.066999999999098</v>
      </c>
    </row>
  </sheetData>
  <phoneticPr fontId="4" type="noConversion"/>
  <pageMargins left="0.74803149606299213" right="0.74803149606299213" top="0.78740157480314965" bottom="0.78740157480314965" header="0.51181102362204722" footer="0.51181102362204722"/>
  <pageSetup paperSize="9" scale="69" orientation="portrait" r:id="rId1"/>
  <headerFooter alignWithMargins="0"/>
  <colBreaks count="1" manualBreakCount="1">
    <brk id="10" max="51" man="1"/>
  </colBreaks>
  <ignoredErrors>
    <ignoredError sqref="C32 C42:C43 C51" formula="1"/>
  </ignoredErrors>
  <drawing r:id="rId2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eet7"/>
  <dimension ref="A1:I113"/>
  <sheetViews>
    <sheetView showGridLines="0" zoomScale="85" zoomScaleNormal="85" workbookViewId="0"/>
  </sheetViews>
  <sheetFormatPr defaultRowHeight="12.75" x14ac:dyDescent="0.2"/>
  <cols>
    <col min="1" max="1" width="25.140625" customWidth="1"/>
    <col min="2" max="6" width="11.7109375" customWidth="1"/>
  </cols>
  <sheetData>
    <row r="1" spans="1:7" ht="15.75" x14ac:dyDescent="0.25">
      <c r="A1" s="19" t="str">
        <f>CONCATENATE("Industry Table 2  Employment by Industry Group (SIC 2007), ",B$3,"-",F$3,", ",Info!B5)</f>
        <v>Industry Table 2  Employment by Industry Group (SIC 2007), 2015-2035, Greater Lincolnshire</v>
      </c>
    </row>
    <row r="2" spans="1:7" x14ac:dyDescent="0.2">
      <c r="A2" s="1" t="s">
        <v>514</v>
      </c>
    </row>
    <row r="3" spans="1:7" x14ac:dyDescent="0.2">
      <c r="A3" s="22"/>
      <c r="B3" s="23">
        <v>2015</v>
      </c>
      <c r="C3" s="23">
        <v>2019</v>
      </c>
      <c r="D3" s="23">
        <v>2020</v>
      </c>
      <c r="E3" s="23">
        <v>2025</v>
      </c>
      <c r="F3" s="23">
        <v>2035</v>
      </c>
    </row>
    <row r="4" spans="1:7" x14ac:dyDescent="0.2">
      <c r="A4" s="1" t="s">
        <v>13</v>
      </c>
    </row>
    <row r="5" spans="1:7" x14ac:dyDescent="0.2">
      <c r="A5" s="10" t="str">
        <f>name!B4</f>
        <v>Agriculture</v>
      </c>
      <c r="B5" s="11">
        <v>12.392000000000024</v>
      </c>
      <c r="C5" s="11">
        <v>11.259999999999964</v>
      </c>
      <c r="D5" s="11">
        <v>14.335000000000026</v>
      </c>
      <c r="E5" s="11">
        <v>14.250000000000018</v>
      </c>
      <c r="F5" s="11">
        <v>13.884000000000032</v>
      </c>
      <c r="G5" s="10"/>
    </row>
    <row r="6" spans="1:7" x14ac:dyDescent="0.2">
      <c r="A6" s="10" t="str">
        <f>name!B5</f>
        <v>Mining and quarrying</v>
      </c>
      <c r="B6" s="11">
        <v>0.70999999999999963</v>
      </c>
      <c r="C6" s="11">
        <v>0.93399999999999828</v>
      </c>
      <c r="D6" s="11">
        <v>0.92199999999999949</v>
      </c>
      <c r="E6" s="11">
        <v>0.747</v>
      </c>
      <c r="F6" s="11">
        <v>0.54099999999999993</v>
      </c>
    </row>
    <row r="7" spans="1:7" x14ac:dyDescent="0.2">
      <c r="A7" s="10" t="str">
        <f>name!B6</f>
        <v>Food drink and tobacco</v>
      </c>
      <c r="B7" s="11">
        <v>22.367999999999988</v>
      </c>
      <c r="C7" s="11">
        <v>24.064000000000018</v>
      </c>
      <c r="D7" s="11">
        <v>24.152000000000037</v>
      </c>
      <c r="E7" s="11">
        <v>24.98199999999995</v>
      </c>
      <c r="F7" s="11">
        <v>25.192000000000025</v>
      </c>
      <c r="G7" s="11"/>
    </row>
    <row r="8" spans="1:7" x14ac:dyDescent="0.2">
      <c r="A8" s="10" t="str">
        <f>name!B7</f>
        <v>Engineering</v>
      </c>
      <c r="B8" s="11">
        <v>7.5750000000000162</v>
      </c>
      <c r="C8" s="11">
        <v>5.5139999999999878</v>
      </c>
      <c r="D8" s="11">
        <v>5.2779999999999863</v>
      </c>
      <c r="E8" s="11">
        <v>5.2490000000000068</v>
      </c>
      <c r="F8" s="11">
        <v>4.7119999999999918</v>
      </c>
      <c r="G8" s="11"/>
    </row>
    <row r="9" spans="1:7" x14ac:dyDescent="0.2">
      <c r="A9" s="10" t="str">
        <f>name!B8</f>
        <v>Rest of manufacturing</v>
      </c>
      <c r="B9" s="11">
        <v>39.046000000000149</v>
      </c>
      <c r="C9" s="11">
        <v>38.372999999999969</v>
      </c>
      <c r="D9" s="11">
        <v>38.603999999999992</v>
      </c>
      <c r="E9" s="11">
        <v>35.712999999999994</v>
      </c>
      <c r="F9" s="11">
        <v>32.256999999999962</v>
      </c>
      <c r="G9" s="11"/>
    </row>
    <row r="10" spans="1:7" x14ac:dyDescent="0.2">
      <c r="A10" s="10" t="str">
        <f>name!B9</f>
        <v>Electricity and gas</v>
      </c>
      <c r="B10" s="11">
        <v>1.297000000000003</v>
      </c>
      <c r="C10" s="11">
        <v>1.3590000000000013</v>
      </c>
      <c r="D10" s="11">
        <v>1.3190000000000015</v>
      </c>
      <c r="E10" s="11">
        <v>1.2739999999999985</v>
      </c>
      <c r="F10" s="11">
        <v>1.2660000000000007</v>
      </c>
      <c r="G10" s="11"/>
    </row>
    <row r="11" spans="1:7" x14ac:dyDescent="0.2">
      <c r="A11" s="10" t="str">
        <f>name!B10</f>
        <v>Water and sewerage</v>
      </c>
      <c r="B11" s="11">
        <v>5.2409999999999943</v>
      </c>
      <c r="C11" s="11">
        <v>5.1000000000000014</v>
      </c>
      <c r="D11" s="11">
        <v>4.7860000000000129</v>
      </c>
      <c r="E11" s="11">
        <v>4.9970000000000159</v>
      </c>
      <c r="F11" s="11">
        <v>5.3039999999999985</v>
      </c>
      <c r="G11" s="11"/>
    </row>
    <row r="12" spans="1:7" x14ac:dyDescent="0.2">
      <c r="A12" s="10" t="str">
        <f>name!B11</f>
        <v>Construction</v>
      </c>
      <c r="B12" s="11">
        <v>35.251000000000047</v>
      </c>
      <c r="C12" s="11">
        <v>34.611999999999952</v>
      </c>
      <c r="D12" s="11">
        <v>34.021000000000058</v>
      </c>
      <c r="E12" s="11">
        <v>34.368999999999993</v>
      </c>
      <c r="F12" s="11">
        <v>35.626999999999988</v>
      </c>
      <c r="G12" s="11"/>
    </row>
    <row r="13" spans="1:7" x14ac:dyDescent="0.2">
      <c r="A13" s="10" t="str">
        <f>name!B12</f>
        <v>Wholesale and retail trade</v>
      </c>
      <c r="B13" s="11">
        <v>82.774000000000072</v>
      </c>
      <c r="C13" s="11">
        <v>84.95299999999996</v>
      </c>
      <c r="D13" s="11">
        <v>81.490000000000094</v>
      </c>
      <c r="E13" s="11">
        <v>82.538000000000139</v>
      </c>
      <c r="F13" s="11">
        <v>84.032000000000039</v>
      </c>
      <c r="G13" s="11"/>
    </row>
    <row r="14" spans="1:7" x14ac:dyDescent="0.2">
      <c r="A14" s="10" t="str">
        <f>name!B13</f>
        <v>Transport and storage</v>
      </c>
      <c r="B14" s="11">
        <v>26.086000000000016</v>
      </c>
      <c r="C14" s="11">
        <v>25.812999999999953</v>
      </c>
      <c r="D14" s="11">
        <v>28.585000000000058</v>
      </c>
      <c r="E14" s="11">
        <v>29.634999999999998</v>
      </c>
      <c r="F14" s="11">
        <v>29.983999999999959</v>
      </c>
      <c r="G14" s="11"/>
    </row>
    <row r="15" spans="1:7" x14ac:dyDescent="0.2">
      <c r="A15" s="10" t="str">
        <f>name!B14</f>
        <v>Accommodation and food</v>
      </c>
      <c r="B15" s="11">
        <v>34.146999999999935</v>
      </c>
      <c r="C15" s="11">
        <v>35.470000000000006</v>
      </c>
      <c r="D15" s="11">
        <v>34.063000000000066</v>
      </c>
      <c r="E15" s="11">
        <v>34.481999999999942</v>
      </c>
      <c r="F15" s="11">
        <v>37.443999999999896</v>
      </c>
      <c r="G15" s="11"/>
    </row>
    <row r="16" spans="1:7" x14ac:dyDescent="0.2">
      <c r="A16" s="10" t="str">
        <f>name!B15</f>
        <v>Media</v>
      </c>
      <c r="B16" s="11">
        <v>2.0880000000000023</v>
      </c>
      <c r="C16" s="11">
        <v>2.9180000000000046</v>
      </c>
      <c r="D16" s="11">
        <v>2.2020000000000048</v>
      </c>
      <c r="E16" s="11">
        <v>2.1680000000000015</v>
      </c>
      <c r="F16" s="11">
        <v>2.2050000000000014</v>
      </c>
      <c r="G16" s="11"/>
    </row>
    <row r="17" spans="1:7" x14ac:dyDescent="0.2">
      <c r="A17" s="10" t="str">
        <f>name!B16</f>
        <v>Information technology</v>
      </c>
      <c r="B17" s="11">
        <v>5.3660000000000121</v>
      </c>
      <c r="C17" s="11">
        <v>6.0439999999999996</v>
      </c>
      <c r="D17" s="11">
        <v>5.4690000000000101</v>
      </c>
      <c r="E17" s="11">
        <v>5.9120000000000088</v>
      </c>
      <c r="F17" s="11">
        <v>6.3659999999999899</v>
      </c>
      <c r="G17" s="11"/>
    </row>
    <row r="18" spans="1:7" x14ac:dyDescent="0.2">
      <c r="A18" s="10" t="str">
        <f>name!B17</f>
        <v>Finance and insurance</v>
      </c>
      <c r="B18" s="11">
        <v>6.1699999999999884</v>
      </c>
      <c r="C18" s="11">
        <v>4.4890000000000008</v>
      </c>
      <c r="D18" s="11">
        <v>4.9529999999999879</v>
      </c>
      <c r="E18" s="11">
        <v>4.9029999999999951</v>
      </c>
      <c r="F18" s="11">
        <v>4.6359999999999904</v>
      </c>
      <c r="G18" s="11"/>
    </row>
    <row r="19" spans="1:7" x14ac:dyDescent="0.2">
      <c r="A19" s="10" t="str">
        <f>name!B18</f>
        <v>Real estate</v>
      </c>
      <c r="B19" s="11">
        <v>5.752000000000014</v>
      </c>
      <c r="C19" s="11">
        <v>7.1069999999999958</v>
      </c>
      <c r="D19" s="11">
        <v>7.6729999999999938</v>
      </c>
      <c r="E19" s="11">
        <v>7.152000000000009</v>
      </c>
      <c r="F19" s="11">
        <v>7.7679999999999945</v>
      </c>
      <c r="G19" s="11"/>
    </row>
    <row r="20" spans="1:7" x14ac:dyDescent="0.2">
      <c r="A20" s="10" t="str">
        <f>name!B19</f>
        <v>Professional services</v>
      </c>
      <c r="B20" s="11">
        <v>26.284000000000049</v>
      </c>
      <c r="C20" s="11">
        <v>29.22300000000007</v>
      </c>
      <c r="D20" s="11">
        <v>31.242000000000051</v>
      </c>
      <c r="E20" s="11">
        <v>32.414999999999978</v>
      </c>
      <c r="F20" s="11">
        <v>34.318999999999946</v>
      </c>
      <c r="G20" s="11"/>
    </row>
    <row r="21" spans="1:7" x14ac:dyDescent="0.2">
      <c r="A21" s="10" t="str">
        <f>name!B20</f>
        <v>Support services</v>
      </c>
      <c r="B21" s="11">
        <v>39.827999999999939</v>
      </c>
      <c r="C21" s="11">
        <v>41.087999999999973</v>
      </c>
      <c r="D21" s="11">
        <v>41.575000000000088</v>
      </c>
      <c r="E21" s="11">
        <v>44.417000000000137</v>
      </c>
      <c r="F21" s="11">
        <v>47.441999999999965</v>
      </c>
      <c r="G21" s="11"/>
    </row>
    <row r="22" spans="1:7" x14ac:dyDescent="0.2">
      <c r="A22" s="10" t="str">
        <f>name!B21</f>
        <v>Public admin. and defence</v>
      </c>
      <c r="B22" s="11">
        <v>17.710000000000008</v>
      </c>
      <c r="C22" s="11">
        <v>17.408999999999953</v>
      </c>
      <c r="D22" s="11">
        <v>18.051000000000062</v>
      </c>
      <c r="E22" s="11">
        <v>18.392000000000017</v>
      </c>
      <c r="F22" s="11">
        <v>19.091000000000012</v>
      </c>
      <c r="G22" s="11"/>
    </row>
    <row r="23" spans="1:7" x14ac:dyDescent="0.2">
      <c r="A23" s="10" t="str">
        <f>name!B22</f>
        <v>Education</v>
      </c>
      <c r="B23" s="11">
        <v>45.402999999999956</v>
      </c>
      <c r="C23" s="11">
        <v>43.415000000000063</v>
      </c>
      <c r="D23" s="11">
        <v>43.085000000000015</v>
      </c>
      <c r="E23" s="11">
        <v>42.096000000000039</v>
      </c>
      <c r="F23" s="11">
        <v>42.527000000000065</v>
      </c>
      <c r="G23" s="11"/>
    </row>
    <row r="24" spans="1:7" x14ac:dyDescent="0.2">
      <c r="A24" s="10" t="str">
        <f>name!B23</f>
        <v>Health and social work</v>
      </c>
      <c r="B24" s="11">
        <v>62.687999999999903</v>
      </c>
      <c r="C24" s="11">
        <v>66.518000000000001</v>
      </c>
      <c r="D24" s="11">
        <v>65.410000000000139</v>
      </c>
      <c r="E24" s="11">
        <v>69.248000000000133</v>
      </c>
      <c r="F24" s="11">
        <v>73.017000000000039</v>
      </c>
      <c r="G24" s="11"/>
    </row>
    <row r="25" spans="1:7" x14ac:dyDescent="0.2">
      <c r="A25" s="10" t="str">
        <f>name!B24</f>
        <v>Arts and entertainment</v>
      </c>
      <c r="B25" s="11">
        <v>11.292000000000003</v>
      </c>
      <c r="C25" s="11">
        <v>12.757000000000005</v>
      </c>
      <c r="D25" s="11">
        <v>11.482000000000003</v>
      </c>
      <c r="E25" s="11">
        <v>10.555000000000017</v>
      </c>
      <c r="F25" s="11">
        <v>10.762999999999987</v>
      </c>
      <c r="G25" s="11"/>
    </row>
    <row r="26" spans="1:7" x14ac:dyDescent="0.2">
      <c r="A26" s="10" t="str">
        <f>name!B25</f>
        <v>Other services</v>
      </c>
      <c r="B26" s="11">
        <v>12.136999999999986</v>
      </c>
      <c r="C26" s="11">
        <v>15.345999999999977</v>
      </c>
      <c r="D26" s="11">
        <v>16.147999999999978</v>
      </c>
      <c r="E26" s="11">
        <v>14.876000000000003</v>
      </c>
      <c r="F26" s="11">
        <v>14.535000000000004</v>
      </c>
      <c r="G26" s="11"/>
    </row>
    <row r="27" spans="1:7" x14ac:dyDescent="0.2">
      <c r="B27" s="11"/>
      <c r="C27" s="11"/>
      <c r="D27" s="11"/>
      <c r="E27" s="11"/>
      <c r="F27" s="11"/>
      <c r="G27" s="11"/>
    </row>
    <row r="28" spans="1:7" x14ac:dyDescent="0.2">
      <c r="A28" s="10" t="str">
        <f>name!B3</f>
        <v>All industries</v>
      </c>
      <c r="B28" s="11">
        <f>SUM(B5:B26)</f>
        <v>501.60500000000019</v>
      </c>
      <c r="C28" s="11">
        <f t="shared" ref="C28:F28" si="0">SUM(C5:C26)</f>
        <v>513.76599999999974</v>
      </c>
      <c r="D28" s="11">
        <f t="shared" si="0"/>
        <v>514.84500000000071</v>
      </c>
      <c r="E28" s="11">
        <f t="shared" si="0"/>
        <v>520.37000000000046</v>
      </c>
      <c r="F28" s="11">
        <f t="shared" si="0"/>
        <v>532.91199999999981</v>
      </c>
      <c r="G28" s="11"/>
    </row>
    <row r="29" spans="1:7" x14ac:dyDescent="0.2">
      <c r="B29" s="11"/>
      <c r="C29" s="11"/>
      <c r="D29" s="11"/>
      <c r="E29" s="11"/>
      <c r="F29" s="11"/>
      <c r="G29" s="11"/>
    </row>
    <row r="31" spans="1:7" x14ac:dyDescent="0.2">
      <c r="A31" s="1" t="s">
        <v>14</v>
      </c>
      <c r="B31" s="17">
        <f>B$3</f>
        <v>2015</v>
      </c>
      <c r="C31" s="17">
        <f>C$3</f>
        <v>2019</v>
      </c>
      <c r="D31" s="17">
        <f>D$3</f>
        <v>2020</v>
      </c>
      <c r="E31" s="17">
        <f>E$3</f>
        <v>2025</v>
      </c>
      <c r="F31" s="17">
        <f>F$3</f>
        <v>2035</v>
      </c>
      <c r="G31" s="11"/>
    </row>
    <row r="32" spans="1:7" x14ac:dyDescent="0.2">
      <c r="A32" t="str">
        <f>$A$5</f>
        <v>Agriculture</v>
      </c>
      <c r="B32" s="18">
        <f>B5/B$28*100</f>
        <v>2.4704697919677874</v>
      </c>
      <c r="C32" s="18">
        <f t="shared" ref="C32:E32" si="1">C5/C$28*100</f>
        <v>2.1916592378631456</v>
      </c>
      <c r="D32" s="18">
        <f t="shared" si="1"/>
        <v>2.7843331488117795</v>
      </c>
      <c r="E32" s="18">
        <f t="shared" si="1"/>
        <v>2.7384361127659176</v>
      </c>
      <c r="F32" s="18">
        <f>F5/F$28*100</f>
        <v>2.6053081934728506</v>
      </c>
    </row>
    <row r="33" spans="1:6" x14ac:dyDescent="0.2">
      <c r="A33" t="str">
        <f>$A$6</f>
        <v>Mining and quarrying</v>
      </c>
      <c r="B33" s="18">
        <f t="shared" ref="B33:F53" si="2">B6/B$28*100</f>
        <v>0.14154563850041355</v>
      </c>
      <c r="C33" s="18">
        <f t="shared" si="2"/>
        <v>0.18179482488136597</v>
      </c>
      <c r="D33" s="18">
        <f t="shared" si="2"/>
        <v>0.17908302498810286</v>
      </c>
      <c r="E33" s="18">
        <f t="shared" si="2"/>
        <v>0.14355170359551844</v>
      </c>
      <c r="F33" s="18">
        <f t="shared" si="2"/>
        <v>0.10151769898219597</v>
      </c>
    </row>
    <row r="34" spans="1:6" x14ac:dyDescent="0.2">
      <c r="A34" t="str">
        <f>$A$7</f>
        <v>Food drink and tobacco</v>
      </c>
      <c r="B34" s="18">
        <f t="shared" si="2"/>
        <v>4.4592856929257048</v>
      </c>
      <c r="C34" s="18">
        <f t="shared" si="2"/>
        <v>4.6838443960869407</v>
      </c>
      <c r="D34" s="18">
        <f t="shared" si="2"/>
        <v>4.6911206285386875</v>
      </c>
      <c r="E34" s="18">
        <f t="shared" si="2"/>
        <v>4.8008148048503809</v>
      </c>
      <c r="F34" s="18">
        <f t="shared" si="2"/>
        <v>4.7272345152670674</v>
      </c>
    </row>
    <row r="35" spans="1:6" x14ac:dyDescent="0.2">
      <c r="A35" t="str">
        <f>$A$8</f>
        <v>Engineering</v>
      </c>
      <c r="B35" s="18">
        <f t="shared" si="2"/>
        <v>1.5101524107614583</v>
      </c>
      <c r="C35" s="18">
        <f t="shared" si="2"/>
        <v>1.0732512466765007</v>
      </c>
      <c r="D35" s="18">
        <f t="shared" si="2"/>
        <v>1.0251629131097668</v>
      </c>
      <c r="E35" s="18">
        <f t="shared" si="2"/>
        <v>1.0087053442742668</v>
      </c>
      <c r="F35" s="18">
        <f t="shared" si="2"/>
        <v>0.88419851682829309</v>
      </c>
    </row>
    <row r="36" spans="1:6" x14ac:dyDescent="0.2">
      <c r="A36" t="str">
        <f>$A$9</f>
        <v>Rest of manufacturing</v>
      </c>
      <c r="B36" s="18">
        <f t="shared" si="2"/>
        <v>7.7842126773058755</v>
      </c>
      <c r="C36" s="18">
        <f t="shared" si="2"/>
        <v>7.4689644702062781</v>
      </c>
      <c r="D36" s="18">
        <f t="shared" si="2"/>
        <v>7.498179063601655</v>
      </c>
      <c r="E36" s="18">
        <f t="shared" si="2"/>
        <v>6.8630013259795843</v>
      </c>
      <c r="F36" s="18">
        <f t="shared" si="2"/>
        <v>6.0529693457831639</v>
      </c>
    </row>
    <row r="37" spans="1:6" x14ac:dyDescent="0.2">
      <c r="A37" t="str">
        <f>$A$10</f>
        <v>Electricity and gas</v>
      </c>
      <c r="B37" s="18">
        <f t="shared" si="2"/>
        <v>0.25856999033103789</v>
      </c>
      <c r="C37" s="18">
        <f t="shared" si="2"/>
        <v>0.26451730943659213</v>
      </c>
      <c r="D37" s="18">
        <f t="shared" si="2"/>
        <v>0.25619361166953158</v>
      </c>
      <c r="E37" s="18">
        <f t="shared" si="2"/>
        <v>0.24482579702903651</v>
      </c>
      <c r="F37" s="18">
        <f t="shared" si="2"/>
        <v>0.23756267451286536</v>
      </c>
    </row>
    <row r="38" spans="1:6" x14ac:dyDescent="0.2">
      <c r="A38" t="str">
        <f>$A$11</f>
        <v>Water and sewerage</v>
      </c>
      <c r="B38" s="18">
        <f t="shared" si="2"/>
        <v>1.0448460441981227</v>
      </c>
      <c r="C38" s="18">
        <f t="shared" si="2"/>
        <v>0.9926698146627071</v>
      </c>
      <c r="D38" s="18">
        <f t="shared" si="2"/>
        <v>0.92960017092523117</v>
      </c>
      <c r="E38" s="18">
        <f t="shared" si="2"/>
        <v>0.9602782635432503</v>
      </c>
      <c r="F38" s="18">
        <f t="shared" si="2"/>
        <v>0.99528627615816501</v>
      </c>
    </row>
    <row r="39" spans="1:6" x14ac:dyDescent="0.2">
      <c r="A39" t="str">
        <f>$A$12</f>
        <v>Construction</v>
      </c>
      <c r="B39" s="18">
        <f t="shared" si="2"/>
        <v>7.0276412715184327</v>
      </c>
      <c r="C39" s="18">
        <f t="shared" si="2"/>
        <v>6.7369191421775607</v>
      </c>
      <c r="D39" s="18">
        <f t="shared" si="2"/>
        <v>6.6080082354883523</v>
      </c>
      <c r="E39" s="18">
        <f t="shared" si="2"/>
        <v>6.6047235620808191</v>
      </c>
      <c r="F39" s="18">
        <f t="shared" si="2"/>
        <v>6.6853439216981423</v>
      </c>
    </row>
    <row r="40" spans="1:6" x14ac:dyDescent="0.2">
      <c r="A40" t="str">
        <f>$A$13</f>
        <v>Wholesale and retail trade</v>
      </c>
      <c r="B40" s="18">
        <f t="shared" si="2"/>
        <v>16.50182912849753</v>
      </c>
      <c r="C40" s="18">
        <f t="shared" si="2"/>
        <v>16.535348777458999</v>
      </c>
      <c r="D40" s="18">
        <f t="shared" si="2"/>
        <v>15.828064757354152</v>
      </c>
      <c r="E40" s="18">
        <f t="shared" si="2"/>
        <v>15.861406307050766</v>
      </c>
      <c r="F40" s="18">
        <f t="shared" si="2"/>
        <v>15.768457081094079</v>
      </c>
    </row>
    <row r="41" spans="1:6" x14ac:dyDescent="0.2">
      <c r="A41" t="str">
        <f>$A$14</f>
        <v>Transport and storage</v>
      </c>
      <c r="B41" s="18">
        <f t="shared" si="2"/>
        <v>5.2005063745377358</v>
      </c>
      <c r="C41" s="18">
        <f t="shared" si="2"/>
        <v>5.0242717501741971</v>
      </c>
      <c r="D41" s="18">
        <f t="shared" si="2"/>
        <v>5.5521564742786707</v>
      </c>
      <c r="E41" s="18">
        <f t="shared" si="2"/>
        <v>5.6949862597766918</v>
      </c>
      <c r="F41" s="18">
        <f t="shared" si="2"/>
        <v>5.6264448914642511</v>
      </c>
    </row>
    <row r="42" spans="1:6" x14ac:dyDescent="0.2">
      <c r="A42" t="str">
        <f>$A$15</f>
        <v>Accommodation and food</v>
      </c>
      <c r="B42" s="18">
        <f t="shared" si="2"/>
        <v>6.8075477716529793</v>
      </c>
      <c r="C42" s="18">
        <f t="shared" si="2"/>
        <v>6.9039212404090629</v>
      </c>
      <c r="D42" s="18">
        <f t="shared" si="2"/>
        <v>6.6161660305528889</v>
      </c>
      <c r="E42" s="18">
        <f t="shared" si="2"/>
        <v>6.6264388800276564</v>
      </c>
      <c r="F42" s="18">
        <f t="shared" si="2"/>
        <v>7.0263007776142983</v>
      </c>
    </row>
    <row r="43" spans="1:6" x14ac:dyDescent="0.2">
      <c r="A43" t="str">
        <f>$A$16</f>
        <v>Media</v>
      </c>
      <c r="B43" s="18">
        <f t="shared" si="2"/>
        <v>0.41626379322375212</v>
      </c>
      <c r="C43" s="18">
        <f t="shared" si="2"/>
        <v>0.5679628468991732</v>
      </c>
      <c r="D43" s="18">
        <f t="shared" si="2"/>
        <v>0.42770154124056792</v>
      </c>
      <c r="E43" s="18">
        <f t="shared" si="2"/>
        <v>0.41662663105098291</v>
      </c>
      <c r="F43" s="18">
        <f t="shared" si="2"/>
        <v>0.41376437385534615</v>
      </c>
    </row>
    <row r="44" spans="1:6" x14ac:dyDescent="0.2">
      <c r="A44" t="str">
        <f>$A$17</f>
        <v>Information technology</v>
      </c>
      <c r="B44" s="18">
        <f t="shared" si="2"/>
        <v>1.0697660509763678</v>
      </c>
      <c r="C44" s="18">
        <f t="shared" si="2"/>
        <v>1.1764110509453725</v>
      </c>
      <c r="D44" s="18">
        <f t="shared" si="2"/>
        <v>1.062261457331819</v>
      </c>
      <c r="E44" s="18">
        <f t="shared" si="2"/>
        <v>1.1361146876261128</v>
      </c>
      <c r="F44" s="18">
        <f t="shared" si="2"/>
        <v>1.1945687092803299</v>
      </c>
    </row>
    <row r="45" spans="1:6" x14ac:dyDescent="0.2">
      <c r="A45" t="str">
        <f>$A$18</f>
        <v>Finance and insurance</v>
      </c>
      <c r="B45" s="18">
        <f t="shared" si="2"/>
        <v>1.2300515345740146</v>
      </c>
      <c r="C45" s="18">
        <f t="shared" si="2"/>
        <v>0.87374407804331222</v>
      </c>
      <c r="D45" s="18">
        <f t="shared" si="2"/>
        <v>0.96203711796753988</v>
      </c>
      <c r="E45" s="18">
        <f t="shared" si="2"/>
        <v>0.9422141937467553</v>
      </c>
      <c r="F45" s="18">
        <f t="shared" si="2"/>
        <v>0.86993725042783643</v>
      </c>
    </row>
    <row r="46" spans="1:6" x14ac:dyDescent="0.2">
      <c r="A46" t="str">
        <f>$A$19</f>
        <v>Real estate</v>
      </c>
      <c r="B46" s="18">
        <f t="shared" si="2"/>
        <v>1.1467190319075791</v>
      </c>
      <c r="C46" s="18">
        <f t="shared" si="2"/>
        <v>1.3833145829035007</v>
      </c>
      <c r="D46" s="18">
        <f t="shared" si="2"/>
        <v>1.490351465004027</v>
      </c>
      <c r="E46" s="18">
        <f t="shared" si="2"/>
        <v>1.3744066721755679</v>
      </c>
      <c r="F46" s="18">
        <f t="shared" si="2"/>
        <v>1.4576515447203284</v>
      </c>
    </row>
    <row r="47" spans="1:6" x14ac:dyDescent="0.2">
      <c r="A47" s="10" t="str">
        <f>$A$20</f>
        <v>Professional services</v>
      </c>
      <c r="B47" s="18">
        <f t="shared" si="2"/>
        <v>5.2399796652744763</v>
      </c>
      <c r="C47" s="18">
        <f t="shared" si="2"/>
        <v>5.6879980380173247</v>
      </c>
      <c r="D47" s="18">
        <f t="shared" si="2"/>
        <v>6.0682341287183537</v>
      </c>
      <c r="E47" s="18">
        <f t="shared" si="2"/>
        <v>6.2292215154601438</v>
      </c>
      <c r="F47" s="18">
        <f t="shared" si="2"/>
        <v>6.4399000210165953</v>
      </c>
    </row>
    <row r="48" spans="1:6" x14ac:dyDescent="0.2">
      <c r="A48" s="10" t="str">
        <f>$A$21</f>
        <v>Support services</v>
      </c>
      <c r="B48" s="18">
        <f t="shared" si="2"/>
        <v>7.9401122397105146</v>
      </c>
      <c r="C48" s="18">
        <f t="shared" si="2"/>
        <v>7.9974151656590733</v>
      </c>
      <c r="D48" s="18">
        <f t="shared" si="2"/>
        <v>8.0752459478095417</v>
      </c>
      <c r="E48" s="18">
        <f t="shared" si="2"/>
        <v>8.5356573207525592</v>
      </c>
      <c r="F48" s="18">
        <f t="shared" si="2"/>
        <v>8.9024079022427696</v>
      </c>
    </row>
    <row r="49" spans="1:9" x14ac:dyDescent="0.2">
      <c r="A49" s="10" t="str">
        <f>$A$22</f>
        <v>Public admin. and defence</v>
      </c>
      <c r="B49" s="18">
        <f t="shared" si="2"/>
        <v>3.530666560341305</v>
      </c>
      <c r="C49" s="18">
        <f t="shared" si="2"/>
        <v>3.3885076085221599</v>
      </c>
      <c r="D49" s="18">
        <f t="shared" si="2"/>
        <v>3.5061037788072209</v>
      </c>
      <c r="E49" s="18">
        <f t="shared" si="2"/>
        <v>3.5344082095432099</v>
      </c>
      <c r="F49" s="18">
        <f t="shared" si="2"/>
        <v>3.582392590146219</v>
      </c>
    </row>
    <row r="50" spans="1:9" x14ac:dyDescent="0.2">
      <c r="A50" s="10" t="str">
        <f>$A$23</f>
        <v>Education</v>
      </c>
      <c r="B50" s="18">
        <f t="shared" si="2"/>
        <v>9.0515445420201033</v>
      </c>
      <c r="C50" s="18">
        <f t="shared" si="2"/>
        <v>8.450345098741467</v>
      </c>
      <c r="D50" s="18">
        <f t="shared" si="2"/>
        <v>8.3685381037011055</v>
      </c>
      <c r="E50" s="18">
        <f t="shared" si="2"/>
        <v>8.0896285335434399</v>
      </c>
      <c r="F50" s="18">
        <f t="shared" si="2"/>
        <v>7.9801167922659051</v>
      </c>
    </row>
    <row r="51" spans="1:9" x14ac:dyDescent="0.2">
      <c r="A51" s="10" t="str">
        <f>$A$24</f>
        <v>Health and social work</v>
      </c>
      <c r="B51" s="18">
        <f t="shared" si="2"/>
        <v>12.497483079315373</v>
      </c>
      <c r="C51" s="18">
        <f t="shared" si="2"/>
        <v>12.947139359163518</v>
      </c>
      <c r="D51" s="18">
        <f t="shared" si="2"/>
        <v>12.704794646932582</v>
      </c>
      <c r="E51" s="18">
        <f t="shared" si="2"/>
        <v>13.307454311355396</v>
      </c>
      <c r="F51" s="18">
        <f t="shared" si="2"/>
        <v>13.70151169423846</v>
      </c>
    </row>
    <row r="52" spans="1:9" x14ac:dyDescent="0.2">
      <c r="A52" s="10" t="str">
        <f>$A$25</f>
        <v>Arts and entertainment</v>
      </c>
      <c r="B52" s="18">
        <f t="shared" si="2"/>
        <v>2.2511737323192551</v>
      </c>
      <c r="C52" s="18">
        <f t="shared" si="2"/>
        <v>2.4830370246376776</v>
      </c>
      <c r="D52" s="18">
        <f t="shared" si="2"/>
        <v>2.2301857840709314</v>
      </c>
      <c r="E52" s="18">
        <f t="shared" si="2"/>
        <v>2.0283644329995978</v>
      </c>
      <c r="F52" s="18">
        <f t="shared" si="2"/>
        <v>2.0196580298435749</v>
      </c>
    </row>
    <row r="53" spans="1:9" x14ac:dyDescent="0.2">
      <c r="A53" s="10" t="str">
        <f>$A$26</f>
        <v>Other services</v>
      </c>
      <c r="B53" s="18">
        <f t="shared" si="2"/>
        <v>2.4196329781401666</v>
      </c>
      <c r="C53" s="18">
        <f t="shared" si="2"/>
        <v>2.9869629364340935</v>
      </c>
      <c r="D53" s="18">
        <f t="shared" si="2"/>
        <v>3.1364779690974869</v>
      </c>
      <c r="E53" s="18">
        <f t="shared" si="2"/>
        <v>2.8587351307723328</v>
      </c>
      <c r="F53" s="18">
        <f t="shared" si="2"/>
        <v>2.7274671990872807</v>
      </c>
    </row>
    <row r="54" spans="1:9" x14ac:dyDescent="0.2">
      <c r="B54" s="18"/>
      <c r="C54" s="18"/>
      <c r="D54" s="18"/>
      <c r="E54" s="18"/>
      <c r="F54" s="18"/>
    </row>
    <row r="55" spans="1:9" x14ac:dyDescent="0.2">
      <c r="A55" s="24" t="str">
        <f>$A$28</f>
        <v>All industries</v>
      </c>
      <c r="B55" s="26">
        <f>B28/B$28*100</f>
        <v>100</v>
      </c>
      <c r="C55" s="26">
        <f>C28/C$28*100</f>
        <v>100</v>
      </c>
      <c r="D55" s="26">
        <f>D28/D$28*100</f>
        <v>100</v>
      </c>
      <c r="E55" s="26">
        <f>E28/E$28*100</f>
        <v>100</v>
      </c>
      <c r="F55" s="26">
        <f>F28/F$28*100</f>
        <v>100</v>
      </c>
    </row>
    <row r="56" spans="1:9" x14ac:dyDescent="0.2">
      <c r="B56" s="18"/>
      <c r="C56" s="18"/>
      <c r="D56" s="18"/>
      <c r="E56" s="18"/>
      <c r="F56" s="18"/>
    </row>
    <row r="57" spans="1:9" x14ac:dyDescent="0.2">
      <c r="B57" s="18"/>
      <c r="C57" s="18"/>
      <c r="D57" s="18"/>
      <c r="E57" s="18"/>
      <c r="F57" s="18"/>
    </row>
    <row r="58" spans="1:9" x14ac:dyDescent="0.2">
      <c r="B58" s="18"/>
      <c r="C58" s="18"/>
      <c r="D58" s="18"/>
      <c r="E58" s="18"/>
      <c r="F58" s="18"/>
    </row>
    <row r="59" spans="1:9" ht="15.75" x14ac:dyDescent="0.25">
      <c r="A59" s="19" t="str">
        <f>CONCATENATE(A1," (Continued)")</f>
        <v>Industry Table 2  Employment by Industry Group (SIC 2007), 2015-2035, Greater Lincolnshire (Continued)</v>
      </c>
      <c r="B59" s="18"/>
      <c r="C59" s="18"/>
      <c r="D59" s="18"/>
      <c r="E59" s="18"/>
      <c r="F59" s="18"/>
    </row>
    <row r="61" spans="1:9" x14ac:dyDescent="0.2">
      <c r="A61" s="22"/>
      <c r="B61" s="25" t="str">
        <f>CONCATENATE(B$3,"-",C$3)</f>
        <v>2015-2019</v>
      </c>
      <c r="C61" s="25" t="str">
        <f>CONCATENATE(C$3,"-",D$3)</f>
        <v>2019-2020</v>
      </c>
      <c r="D61" s="25" t="str">
        <f>CONCATENATE(D$3,"-",E$3)</f>
        <v>2020-2025</v>
      </c>
      <c r="E61" s="25" t="str">
        <f>CONCATENATE(E$3,"-",F$3)</f>
        <v>2025-2035</v>
      </c>
      <c r="F61" s="25" t="str">
        <f>CONCATENATE(D$3,"-",F$3)</f>
        <v>2020-2035</v>
      </c>
      <c r="G61" s="20"/>
      <c r="H61" s="20"/>
      <c r="I61" s="20"/>
    </row>
    <row r="62" spans="1:9" x14ac:dyDescent="0.2">
      <c r="A62" s="28" t="s">
        <v>15</v>
      </c>
    </row>
    <row r="63" spans="1:9" x14ac:dyDescent="0.2">
      <c r="A63" t="str">
        <f>$A$5</f>
        <v>Agriculture</v>
      </c>
      <c r="B63" s="18">
        <f>IF(AND(C$3-B$3 &lt;&gt; 0,B5&lt;&gt;0,C5&lt;&gt;0),(EXP(LN(C5/B5)/(C$3-B$3))-1)*100,0)</f>
        <v>-2.3664127492023512</v>
      </c>
      <c r="C63" s="18">
        <f>IF(AND(D$3-C$3 &lt;&gt; 0,C5&lt;&gt;0,D5&lt;&gt;0),(EXP(LN(D5/C5)/(D$3-C$3))-1)*100,0)</f>
        <v>27.309058614565473</v>
      </c>
      <c r="D63" s="18">
        <f t="shared" ref="B63:E78" si="3">IF(AND(E$3-D$3 &lt;&gt; 0,D5&lt;&gt;0,E5&lt;&gt;0),(EXP(LN(E5/D5)/(E$3-D$3))-1)*100,0)</f>
        <v>-0.11887314225126344</v>
      </c>
      <c r="E63" s="18">
        <f t="shared" si="3"/>
        <v>-0.25985986534089456</v>
      </c>
      <c r="F63" s="18">
        <f>IF(AND(F$3-D$3 &lt;&gt; 0,D5&lt;&gt;0,F5&lt;&gt;0),(EXP(LN(F5/D5)/(F$3-D$3))-1)*100,0)</f>
        <v>-0.21288641698670174</v>
      </c>
      <c r="G63" s="18"/>
      <c r="H63" s="18"/>
      <c r="I63" s="18"/>
    </row>
    <row r="64" spans="1:9" x14ac:dyDescent="0.2">
      <c r="A64" t="str">
        <f>$A$6</f>
        <v>Mining and quarrying</v>
      </c>
      <c r="B64" s="18">
        <f t="shared" si="3"/>
        <v>7.0957241802687809</v>
      </c>
      <c r="C64" s="18">
        <f t="shared" ref="C64:C78" si="4">IF(AND(D$3-C$3 &lt;&gt; 0,C6&lt;&gt;0,D6&lt;&gt;0),(EXP(LN(D6/C6)/(D$3-C$3))-1)*100,0)</f>
        <v>-1.2847965738756795</v>
      </c>
      <c r="D64" s="18">
        <f t="shared" si="3"/>
        <v>-4.1222273876092004</v>
      </c>
      <c r="E64" s="18">
        <f t="shared" si="3"/>
        <v>-3.1749641787478744</v>
      </c>
      <c r="F64" s="18">
        <f t="shared" ref="F64:F84" si="5">IF(AND(F$3-D$3 &lt;&gt; 0,D6&lt;&gt;0,F6&lt;&gt;0),(EXP(LN(F6/D6)/(F$3-D$3))-1)*100,0)</f>
        <v>-3.4917539161036459</v>
      </c>
    </row>
    <row r="65" spans="1:6" x14ac:dyDescent="0.2">
      <c r="A65" t="str">
        <f>$A$7</f>
        <v>Food drink and tobacco</v>
      </c>
      <c r="B65" s="18">
        <f t="shared" si="3"/>
        <v>1.8439338667604055</v>
      </c>
      <c r="C65" s="18">
        <f t="shared" si="4"/>
        <v>0.36569148936178575</v>
      </c>
      <c r="D65" s="18">
        <f t="shared" si="3"/>
        <v>0.67805592308813889</v>
      </c>
      <c r="E65" s="18">
        <f t="shared" si="3"/>
        <v>8.3744228464510684E-2</v>
      </c>
      <c r="F65" s="18">
        <f t="shared" si="5"/>
        <v>0.2814572920113223</v>
      </c>
    </row>
    <row r="66" spans="1:6" x14ac:dyDescent="0.2">
      <c r="A66" t="str">
        <f>$A$8</f>
        <v>Engineering</v>
      </c>
      <c r="B66" s="18">
        <f t="shared" si="3"/>
        <v>-7.6321082579061006</v>
      </c>
      <c r="C66" s="18">
        <f t="shared" si="4"/>
        <v>-4.2800145085237995</v>
      </c>
      <c r="D66" s="18">
        <f t="shared" si="3"/>
        <v>-0.11013242589923422</v>
      </c>
      <c r="E66" s="18">
        <f t="shared" si="3"/>
        <v>-1.0734483368883385</v>
      </c>
      <c r="F66" s="18">
        <f t="shared" si="5"/>
        <v>-0.75337970548389199</v>
      </c>
    </row>
    <row r="67" spans="1:6" x14ac:dyDescent="0.2">
      <c r="A67" t="str">
        <f>$A$9</f>
        <v>Rest of manufacturing</v>
      </c>
      <c r="B67" s="18">
        <f t="shared" si="3"/>
        <v>-0.43371550029991379</v>
      </c>
      <c r="C67" s="18">
        <f t="shared" si="4"/>
        <v>0.60198577124546127</v>
      </c>
      <c r="D67" s="18">
        <f t="shared" si="3"/>
        <v>-1.5447667584736369</v>
      </c>
      <c r="E67" s="18">
        <f t="shared" si="3"/>
        <v>-1.0126349168102067</v>
      </c>
      <c r="F67" s="18">
        <f t="shared" si="5"/>
        <v>-1.1903309956480146</v>
      </c>
    </row>
    <row r="68" spans="1:6" x14ac:dyDescent="0.2">
      <c r="A68" t="str">
        <f>$A$10</f>
        <v>Electricity and gas</v>
      </c>
      <c r="B68" s="18">
        <f t="shared" si="3"/>
        <v>1.1742212271355967</v>
      </c>
      <c r="C68" s="18">
        <f t="shared" si="4"/>
        <v>-2.943340691685048</v>
      </c>
      <c r="D68" s="18">
        <f t="shared" si="3"/>
        <v>-0.69184200905016979</v>
      </c>
      <c r="E68" s="18">
        <f t="shared" si="3"/>
        <v>-6.2972498274238564E-2</v>
      </c>
      <c r="F68" s="18">
        <f t="shared" si="5"/>
        <v>-0.27303690777481515</v>
      </c>
    </row>
    <row r="69" spans="1:6" x14ac:dyDescent="0.2">
      <c r="A69" t="str">
        <f>$A$11</f>
        <v>Water and sewerage</v>
      </c>
      <c r="B69" s="18">
        <f t="shared" si="3"/>
        <v>-0.67947555666799664</v>
      </c>
      <c r="C69" s="18">
        <f t="shared" si="4"/>
        <v>-6.1568627450978131</v>
      </c>
      <c r="D69" s="18">
        <f t="shared" si="3"/>
        <v>0.86658818003633176</v>
      </c>
      <c r="E69" s="18">
        <f t="shared" si="3"/>
        <v>0.59801622524462417</v>
      </c>
      <c r="F69" s="18">
        <f t="shared" si="5"/>
        <v>0.6874606591248833</v>
      </c>
    </row>
    <row r="70" spans="1:6" x14ac:dyDescent="0.2">
      <c r="A70" t="str">
        <f>$A$12</f>
        <v>Construction</v>
      </c>
      <c r="B70" s="18">
        <f t="shared" si="3"/>
        <v>-0.45629218228173674</v>
      </c>
      <c r="C70" s="18">
        <f t="shared" si="4"/>
        <v>-1.7075002889168411</v>
      </c>
      <c r="D70" s="18">
        <f t="shared" si="3"/>
        <v>0.20374756960739315</v>
      </c>
      <c r="E70" s="18">
        <f t="shared" si="3"/>
        <v>0.36013475311340581</v>
      </c>
      <c r="F70" s="18">
        <f t="shared" si="5"/>
        <v>0.30797859160296426</v>
      </c>
    </row>
    <row r="71" spans="1:6" x14ac:dyDescent="0.2">
      <c r="A71" t="str">
        <f>$A$13</f>
        <v>Wholesale and retail trade</v>
      </c>
      <c r="B71" s="18">
        <f t="shared" si="3"/>
        <v>0.65171850211787064</v>
      </c>
      <c r="C71" s="18">
        <f t="shared" si="4"/>
        <v>-4.0763716407894552</v>
      </c>
      <c r="D71" s="18">
        <f t="shared" si="3"/>
        <v>0.25589645794761307</v>
      </c>
      <c r="E71" s="18">
        <f t="shared" si="3"/>
        <v>0.17954985131480861</v>
      </c>
      <c r="F71" s="18">
        <f t="shared" si="5"/>
        <v>0.20499225808650046</v>
      </c>
    </row>
    <row r="72" spans="1:6" x14ac:dyDescent="0.2">
      <c r="A72" t="str">
        <f>$A$14</f>
        <v>Transport and storage</v>
      </c>
      <c r="B72" s="18">
        <f t="shared" ref="B72:B78" si="6">IF(AND(C$3-B$3 &lt;&gt; 0,B14&lt;&gt;0,C14&lt;&gt;0),(EXP(LN(C14/B14)/(C$3-B$3))-1)*100,0)</f>
        <v>-0.26266769698625181</v>
      </c>
      <c r="C72" s="18">
        <f t="shared" si="4"/>
        <v>10.73877503583509</v>
      </c>
      <c r="D72" s="18">
        <f t="shared" si="3"/>
        <v>0.72408874660359057</v>
      </c>
      <c r="E72" s="18">
        <f t="shared" si="3"/>
        <v>0.11714667133402301</v>
      </c>
      <c r="F72" s="18">
        <f t="shared" si="5"/>
        <v>0.31905323709113809</v>
      </c>
    </row>
    <row r="73" spans="1:6" x14ac:dyDescent="0.2">
      <c r="A73" t="str">
        <f>$A$15</f>
        <v>Accommodation and food</v>
      </c>
      <c r="B73" s="18">
        <f t="shared" si="6"/>
        <v>0.9548431741309038</v>
      </c>
      <c r="C73" s="18">
        <f>IF(AND(D$3-C$3 &lt;&gt; 0,C15&lt;&gt;0,D15&lt;&gt;0),(EXP(LN(D15/C15)/(D$3-C$3))-1)*100,0)</f>
        <v>-3.966732449957544</v>
      </c>
      <c r="D73" s="18">
        <f t="shared" si="3"/>
        <v>0.24481312993274162</v>
      </c>
      <c r="E73" s="18">
        <f t="shared" si="3"/>
        <v>0.82749531898316242</v>
      </c>
      <c r="F73" s="18">
        <f t="shared" si="5"/>
        <v>0.63289256999830013</v>
      </c>
    </row>
    <row r="74" spans="1:6" x14ac:dyDescent="0.2">
      <c r="A74" t="str">
        <f>$A$16</f>
        <v>Media</v>
      </c>
      <c r="B74" s="18">
        <f t="shared" si="6"/>
        <v>8.7273237525518521</v>
      </c>
      <c r="C74" s="18">
        <f>IF(AND(D$3-C$3 &lt;&gt; 0,C16&lt;&gt;0,D16&lt;&gt;0),(EXP(LN(D16/C16)/(D$3-C$3))-1)*100,0)</f>
        <v>-24.537354352296049</v>
      </c>
      <c r="D74" s="18">
        <f t="shared" si="3"/>
        <v>-0.3107353098448451</v>
      </c>
      <c r="E74" s="18">
        <f t="shared" si="3"/>
        <v>0.16936751825513685</v>
      </c>
      <c r="F74" s="18">
        <f t="shared" si="5"/>
        <v>9.0768825795173314E-3</v>
      </c>
    </row>
    <row r="75" spans="1:6" x14ac:dyDescent="0.2">
      <c r="A75" t="str">
        <f>$A$17</f>
        <v>Information technology</v>
      </c>
      <c r="B75" s="18">
        <f t="shared" si="6"/>
        <v>3.019264950020295</v>
      </c>
      <c r="C75" s="18">
        <f t="shared" si="4"/>
        <v>-9.5135671740567478</v>
      </c>
      <c r="D75" s="18">
        <f t="shared" si="3"/>
        <v>1.5699644396315771</v>
      </c>
      <c r="E75" s="18">
        <f t="shared" si="3"/>
        <v>0.74261526368695208</v>
      </c>
      <c r="F75" s="18">
        <f t="shared" si="5"/>
        <v>1.0176467915485432</v>
      </c>
    </row>
    <row r="76" spans="1:6" x14ac:dyDescent="0.2">
      <c r="A76" t="str">
        <f>$A$18</f>
        <v>Finance and insurance</v>
      </c>
      <c r="B76" s="18">
        <f t="shared" si="6"/>
        <v>-7.6437883473313146</v>
      </c>
      <c r="C76" s="18">
        <f t="shared" si="4"/>
        <v>10.336377812430086</v>
      </c>
      <c r="D76" s="18">
        <f t="shared" si="3"/>
        <v>-0.20271806755525201</v>
      </c>
      <c r="E76" s="18">
        <f t="shared" si="3"/>
        <v>-0.55838855513282715</v>
      </c>
      <c r="F76" s="18">
        <f t="shared" si="5"/>
        <v>-0.43997279222682817</v>
      </c>
    </row>
    <row r="77" spans="1:6" x14ac:dyDescent="0.2">
      <c r="A77" t="str">
        <f>$A$19</f>
        <v>Real estate</v>
      </c>
      <c r="B77" s="18">
        <f t="shared" si="6"/>
        <v>5.4306440480843543</v>
      </c>
      <c r="C77" s="18">
        <f t="shared" si="4"/>
        <v>7.9639791754607892</v>
      </c>
      <c r="D77" s="18">
        <f t="shared" si="3"/>
        <v>-1.3964703216004626</v>
      </c>
      <c r="E77" s="18">
        <f t="shared" si="3"/>
        <v>0.82962943981839121</v>
      </c>
      <c r="F77" s="18">
        <f t="shared" si="5"/>
        <v>8.2067375480954219E-2</v>
      </c>
    </row>
    <row r="78" spans="1:6" x14ac:dyDescent="0.2">
      <c r="A78" t="str">
        <f>$A$20</f>
        <v>Professional services</v>
      </c>
      <c r="B78" s="18">
        <f t="shared" si="6"/>
        <v>2.6853138624562511</v>
      </c>
      <c r="C78" s="18">
        <f t="shared" si="4"/>
        <v>6.9089415871059545</v>
      </c>
      <c r="D78" s="18">
        <f t="shared" si="3"/>
        <v>0.73988240769864433</v>
      </c>
      <c r="E78" s="18">
        <f t="shared" si="3"/>
        <v>0.57241062497352946</v>
      </c>
      <c r="F78" s="18">
        <f t="shared" si="5"/>
        <v>0.62820359543860338</v>
      </c>
    </row>
    <row r="79" spans="1:6" x14ac:dyDescent="0.2">
      <c r="A79" s="10" t="str">
        <f>$A$21</f>
        <v>Support services</v>
      </c>
      <c r="B79" s="18">
        <f t="shared" ref="B79:B84" si="7">IF(AND(C$3-B$3 &lt;&gt; 0,B21&lt;&gt;0,C21&lt;&gt;0),(EXP(LN(C21/B21)/(C$3-B$3))-1)*100,0)</f>
        <v>0.78168748664753096</v>
      </c>
      <c r="C79" s="18">
        <f t="shared" ref="C79:C84" si="8">IF(AND(D$3-C$3 &lt;&gt; 0,C21&lt;&gt;0,D21&lt;&gt;0),(EXP(LN(D21/C21)/(D$3-C$3))-1)*100,0)</f>
        <v>1.1852609034270767</v>
      </c>
      <c r="D79" s="18">
        <f t="shared" ref="D79:D84" si="9">IF(AND(E$3-D$3 &lt;&gt; 0,D21&lt;&gt;0,E21&lt;&gt;0),(EXP(LN(E21/D21)/(E$3-D$3))-1)*100,0)</f>
        <v>1.3312483243939743</v>
      </c>
      <c r="E79" s="18">
        <f t="shared" ref="E79:E84" si="10">IF(AND(F$3-E$3 &lt;&gt; 0,E21&lt;&gt;0,F21&lt;&gt;0),(EXP(LN(F21/E21)/(F$3-E$3))-1)*100,0)</f>
        <v>0.66103156569929933</v>
      </c>
      <c r="F79" s="18">
        <f t="shared" si="5"/>
        <v>0.88394315485351704</v>
      </c>
    </row>
    <row r="80" spans="1:6" x14ac:dyDescent="0.2">
      <c r="A80" s="10" t="str">
        <f>$A$22</f>
        <v>Public admin. and defence</v>
      </c>
      <c r="B80" s="18">
        <f t="shared" si="7"/>
        <v>-0.42763646804935274</v>
      </c>
      <c r="C80" s="18">
        <f t="shared" si="8"/>
        <v>3.6877477166989081</v>
      </c>
      <c r="D80" s="18">
        <f t="shared" si="9"/>
        <v>0.37499540604477577</v>
      </c>
      <c r="E80" s="18">
        <f t="shared" si="10"/>
        <v>0.37370888029548688</v>
      </c>
      <c r="F80" s="18">
        <f t="shared" si="5"/>
        <v>0.37413772037970805</v>
      </c>
    </row>
    <row r="81" spans="1:6" x14ac:dyDescent="0.2">
      <c r="A81" s="10" t="str">
        <f>$A$23</f>
        <v>Education</v>
      </c>
      <c r="B81" s="18">
        <f t="shared" si="7"/>
        <v>-1.1130882820741372</v>
      </c>
      <c r="C81" s="18">
        <f t="shared" si="8"/>
        <v>-0.76010595416341475</v>
      </c>
      <c r="D81" s="18">
        <f t="shared" si="9"/>
        <v>-0.46336681597938245</v>
      </c>
      <c r="E81" s="18">
        <f t="shared" si="10"/>
        <v>0.10191633980392023</v>
      </c>
      <c r="F81" s="18">
        <f t="shared" si="5"/>
        <v>-8.6867184314753931E-2</v>
      </c>
    </row>
    <row r="82" spans="1:6" x14ac:dyDescent="0.2">
      <c r="A82" s="10" t="str">
        <f>$A$24</f>
        <v>Health and social work</v>
      </c>
      <c r="B82" s="18">
        <f t="shared" si="7"/>
        <v>1.493608137017377</v>
      </c>
      <c r="C82" s="18">
        <f t="shared" si="8"/>
        <v>-1.66571454343164</v>
      </c>
      <c r="D82" s="18">
        <f t="shared" si="9"/>
        <v>1.1469093823150311</v>
      </c>
      <c r="E82" s="18">
        <f t="shared" si="10"/>
        <v>0.53138714937988052</v>
      </c>
      <c r="F82" s="18">
        <f t="shared" si="5"/>
        <v>0.73614390667773311</v>
      </c>
    </row>
    <row r="83" spans="1:6" x14ac:dyDescent="0.2">
      <c r="A83" s="10" t="str">
        <f>$A$25</f>
        <v>Arts and entertainment</v>
      </c>
      <c r="B83" s="18">
        <f>IF(AND(C$3-B$3 &lt;&gt; 0,B25&lt;&gt;0,C25&lt;&gt;0),(EXP(LN(C25/B25)/(C$3-B$3))-1)*100,0)</f>
        <v>3.0966186338607926</v>
      </c>
      <c r="C83" s="18">
        <f t="shared" si="8"/>
        <v>-9.994512816492918</v>
      </c>
      <c r="D83" s="18">
        <f t="shared" si="9"/>
        <v>-1.6695245627798339</v>
      </c>
      <c r="E83" s="18">
        <f t="shared" si="10"/>
        <v>0.19533698442346648</v>
      </c>
      <c r="F83" s="18">
        <f t="shared" si="5"/>
        <v>-0.43018049795472413</v>
      </c>
    </row>
    <row r="84" spans="1:6" x14ac:dyDescent="0.2">
      <c r="A84" s="10" t="str">
        <f>$A$26</f>
        <v>Other services</v>
      </c>
      <c r="B84" s="18">
        <f t="shared" si="7"/>
        <v>6.040303113130574</v>
      </c>
      <c r="C84" s="18">
        <f t="shared" si="8"/>
        <v>5.2261175550632144</v>
      </c>
      <c r="D84" s="18">
        <f t="shared" si="9"/>
        <v>-1.6275504504737137</v>
      </c>
      <c r="E84" s="18">
        <f t="shared" si="10"/>
        <v>-0.23162774849099232</v>
      </c>
      <c r="F84" s="18">
        <f t="shared" si="5"/>
        <v>-0.69912248152874668</v>
      </c>
    </row>
    <row r="85" spans="1:6" x14ac:dyDescent="0.2">
      <c r="B85" s="18"/>
      <c r="C85" s="18"/>
      <c r="D85" s="18"/>
      <c r="E85" s="18"/>
      <c r="F85" s="18"/>
    </row>
    <row r="86" spans="1:6" x14ac:dyDescent="0.2">
      <c r="A86" t="str">
        <f>$A$28</f>
        <v>All industries</v>
      </c>
      <c r="B86" s="18">
        <f>IF(AND(C$3-B$3 &lt;&gt; 0,B28&lt;&gt;0,C28&lt;&gt;0),(EXP(LN(C28/B28)/(C$3-B$3))-1)*100,0)</f>
        <v>0.60067062186750508</v>
      </c>
      <c r="C86" s="18">
        <f>IF(AND(D$3-C$3 &lt;&gt; 0,C28&lt;&gt;0,D28&lt;&gt;0),(EXP(LN(D28/C28)/(D$3-C$3))-1)*100,0)</f>
        <v>0.21001779020040079</v>
      </c>
      <c r="D86" s="18">
        <f>IF(AND(E$3-D$3 &lt;&gt; 0,D28&lt;&gt;0,E28&lt;&gt;0),(EXP(LN(E28/D28)/(E$3-D$3))-1)*100,0)</f>
        <v>0.2137122903617561</v>
      </c>
      <c r="E86" s="18">
        <f>IF(AND(F$3-E$3 &lt;&gt; 0,E28&lt;&gt;0,F28&lt;&gt;0),(EXP(LN(F28/E28)/(F$3-E$3))-1)*100,0)</f>
        <v>0.23844593453650198</v>
      </c>
      <c r="F86" s="18">
        <f>IF(AND(F$3-D$3 &lt;&gt; 0,D28&lt;&gt;0,F28&lt;&gt;0),(EXP(LN(F28/D28)/(F$3-D$3))-1)*100,0)</f>
        <v>0.23020070827648453</v>
      </c>
    </row>
    <row r="89" spans="1:6" x14ac:dyDescent="0.2">
      <c r="A89" s="1" t="s">
        <v>16</v>
      </c>
      <c r="B89" s="20" t="str">
        <f>CONCATENATE(B$3,"-",C$3)</f>
        <v>2015-2019</v>
      </c>
      <c r="C89" s="20" t="str">
        <f>CONCATENATE(C$3,"-",D$3)</f>
        <v>2019-2020</v>
      </c>
      <c r="D89" s="20" t="str">
        <f>CONCATENATE(D$3,"-",E$3)</f>
        <v>2020-2025</v>
      </c>
      <c r="E89" s="20" t="str">
        <f>CONCATENATE(E$3,"-",F$3)</f>
        <v>2025-2035</v>
      </c>
      <c r="F89" s="20" t="str">
        <f>CONCATENATE(D$3,"-",F$3)</f>
        <v>2020-2035</v>
      </c>
    </row>
    <row r="90" spans="1:6" x14ac:dyDescent="0.2">
      <c r="A90" t="str">
        <f>$A$5</f>
        <v>Agriculture</v>
      </c>
      <c r="B90" s="27">
        <f t="shared" ref="B90:E105" si="11">C5-B5</f>
        <v>-1.1320000000000601</v>
      </c>
      <c r="C90" s="27">
        <f>D5-C5</f>
        <v>3.0750000000000615</v>
      </c>
      <c r="D90" s="27">
        <f t="shared" si="11"/>
        <v>-8.5000000000007958E-2</v>
      </c>
      <c r="E90" s="27">
        <f t="shared" si="11"/>
        <v>-0.36599999999998545</v>
      </c>
      <c r="F90" s="27">
        <f>F5-D5</f>
        <v>-0.45099999999999341</v>
      </c>
    </row>
    <row r="91" spans="1:6" x14ac:dyDescent="0.2">
      <c r="A91" t="str">
        <f>$A$6</f>
        <v>Mining and quarrying</v>
      </c>
      <c r="B91" s="27">
        <f t="shared" si="11"/>
        <v>0.22399999999999864</v>
      </c>
      <c r="C91" s="27">
        <f t="shared" ref="C91:C105" si="12">D6-C6</f>
        <v>-1.1999999999998789E-2</v>
      </c>
      <c r="D91" s="27">
        <f t="shared" si="11"/>
        <v>-0.17499999999999949</v>
      </c>
      <c r="E91" s="27">
        <f t="shared" si="11"/>
        <v>-0.20600000000000007</v>
      </c>
      <c r="F91" s="27">
        <f t="shared" ref="F91:F111" si="13">F6-D6</f>
        <v>-0.38099999999999956</v>
      </c>
    </row>
    <row r="92" spans="1:6" x14ac:dyDescent="0.2">
      <c r="A92" t="str">
        <f>$A$7</f>
        <v>Food drink and tobacco</v>
      </c>
      <c r="B92" s="27">
        <f t="shared" si="11"/>
        <v>1.6960000000000299</v>
      </c>
      <c r="C92" s="27">
        <f t="shared" si="12"/>
        <v>8.800000000001873E-2</v>
      </c>
      <c r="D92" s="27">
        <f t="shared" si="11"/>
        <v>0.82999999999991303</v>
      </c>
      <c r="E92" s="27">
        <f t="shared" si="11"/>
        <v>0.21000000000007546</v>
      </c>
      <c r="F92" s="27">
        <f t="shared" si="13"/>
        <v>1.0399999999999885</v>
      </c>
    </row>
    <row r="93" spans="1:6" x14ac:dyDescent="0.2">
      <c r="A93" t="str">
        <f>$A$8</f>
        <v>Engineering</v>
      </c>
      <c r="B93" s="27">
        <f t="shared" si="11"/>
        <v>-2.0610000000000284</v>
      </c>
      <c r="C93" s="27">
        <f t="shared" si="12"/>
        <v>-0.23600000000000154</v>
      </c>
      <c r="D93" s="27">
        <f t="shared" si="11"/>
        <v>-2.8999999999979487E-2</v>
      </c>
      <c r="E93" s="27">
        <f t="shared" si="11"/>
        <v>-0.53700000000001502</v>
      </c>
      <c r="F93" s="27">
        <f t="shared" si="13"/>
        <v>-0.56599999999999451</v>
      </c>
    </row>
    <row r="94" spans="1:6" x14ac:dyDescent="0.2">
      <c r="A94" t="str">
        <f>$A$9</f>
        <v>Rest of manufacturing</v>
      </c>
      <c r="B94" s="27">
        <f t="shared" si="11"/>
        <v>-0.67300000000017945</v>
      </c>
      <c r="C94" s="27">
        <f t="shared" si="12"/>
        <v>0.23100000000002296</v>
      </c>
      <c r="D94" s="27">
        <f t="shared" si="11"/>
        <v>-2.8909999999999982</v>
      </c>
      <c r="E94" s="27">
        <f t="shared" si="11"/>
        <v>-3.4560000000000315</v>
      </c>
      <c r="F94" s="27">
        <f t="shared" si="13"/>
        <v>-6.3470000000000297</v>
      </c>
    </row>
    <row r="95" spans="1:6" x14ac:dyDescent="0.2">
      <c r="A95" t="str">
        <f>$A$10</f>
        <v>Electricity and gas</v>
      </c>
      <c r="B95" s="27">
        <f t="shared" si="11"/>
        <v>6.1999999999998279E-2</v>
      </c>
      <c r="C95" s="27">
        <f t="shared" si="12"/>
        <v>-3.9999999999999813E-2</v>
      </c>
      <c r="D95" s="27">
        <f t="shared" si="11"/>
        <v>-4.5000000000003038E-2</v>
      </c>
      <c r="E95" s="27">
        <f t="shared" si="11"/>
        <v>-7.9999999999977867E-3</v>
      </c>
      <c r="F95" s="27">
        <f t="shared" si="13"/>
        <v>-5.3000000000000824E-2</v>
      </c>
    </row>
    <row r="96" spans="1:6" x14ac:dyDescent="0.2">
      <c r="A96" t="str">
        <f>$A$11</f>
        <v>Water and sewerage</v>
      </c>
      <c r="B96" s="27">
        <f t="shared" si="11"/>
        <v>-0.14099999999999291</v>
      </c>
      <c r="C96" s="27">
        <f t="shared" si="12"/>
        <v>-0.31399999999998851</v>
      </c>
      <c r="D96" s="27">
        <f t="shared" si="11"/>
        <v>0.21100000000000296</v>
      </c>
      <c r="E96" s="27">
        <f t="shared" si="11"/>
        <v>0.30699999999998262</v>
      </c>
      <c r="F96" s="27">
        <f t="shared" si="13"/>
        <v>0.51799999999998558</v>
      </c>
    </row>
    <row r="97" spans="1:6" x14ac:dyDescent="0.2">
      <c r="A97" t="str">
        <f>$A$12</f>
        <v>Construction</v>
      </c>
      <c r="B97" s="27">
        <f t="shared" si="11"/>
        <v>-0.63900000000009527</v>
      </c>
      <c r="C97" s="27">
        <f t="shared" si="12"/>
        <v>-0.5909999999998945</v>
      </c>
      <c r="D97" s="27">
        <f t="shared" si="11"/>
        <v>0.34799999999993503</v>
      </c>
      <c r="E97" s="27">
        <f t="shared" si="11"/>
        <v>1.2579999999999956</v>
      </c>
      <c r="F97" s="27">
        <f t="shared" si="13"/>
        <v>1.6059999999999306</v>
      </c>
    </row>
    <row r="98" spans="1:6" x14ac:dyDescent="0.2">
      <c r="A98" t="str">
        <f>$A$13</f>
        <v>Wholesale and retail trade</v>
      </c>
      <c r="B98" s="27">
        <f t="shared" si="11"/>
        <v>2.1789999999998884</v>
      </c>
      <c r="C98" s="27">
        <f t="shared" si="12"/>
        <v>-3.462999999999866</v>
      </c>
      <c r="D98" s="27">
        <f t="shared" si="11"/>
        <v>1.0480000000000445</v>
      </c>
      <c r="E98" s="27">
        <f t="shared" si="11"/>
        <v>1.4939999999999003</v>
      </c>
      <c r="F98" s="27">
        <f t="shared" si="13"/>
        <v>2.5419999999999447</v>
      </c>
    </row>
    <row r="99" spans="1:6" x14ac:dyDescent="0.2">
      <c r="A99" t="str">
        <f>$A$14</f>
        <v>Transport and storage</v>
      </c>
      <c r="B99" s="27">
        <f t="shared" si="11"/>
        <v>-0.27300000000006364</v>
      </c>
      <c r="C99" s="27">
        <f t="shared" si="12"/>
        <v>2.772000000000105</v>
      </c>
      <c r="D99" s="27">
        <f t="shared" si="11"/>
        <v>1.0499999999999403</v>
      </c>
      <c r="E99" s="27">
        <f t="shared" si="11"/>
        <v>0.34899999999996112</v>
      </c>
      <c r="F99" s="27">
        <f t="shared" si="13"/>
        <v>1.3989999999999014</v>
      </c>
    </row>
    <row r="100" spans="1:6" x14ac:dyDescent="0.2">
      <c r="A100" t="str">
        <f>$A$15</f>
        <v>Accommodation and food</v>
      </c>
      <c r="B100" s="27">
        <f t="shared" si="11"/>
        <v>1.3230000000000715</v>
      </c>
      <c r="C100" s="27">
        <f t="shared" si="12"/>
        <v>-1.4069999999999396</v>
      </c>
      <c r="D100" s="27">
        <f t="shared" si="11"/>
        <v>0.41899999999987614</v>
      </c>
      <c r="E100" s="27">
        <f t="shared" si="11"/>
        <v>2.9619999999999536</v>
      </c>
      <c r="F100" s="27">
        <f t="shared" si="13"/>
        <v>3.3809999999998297</v>
      </c>
    </row>
    <row r="101" spans="1:6" x14ac:dyDescent="0.2">
      <c r="A101" t="str">
        <f>$A$16</f>
        <v>Media</v>
      </c>
      <c r="B101" s="27">
        <f t="shared" si="11"/>
        <v>0.83000000000000229</v>
      </c>
      <c r="C101" s="27">
        <f t="shared" si="12"/>
        <v>-0.71599999999999975</v>
      </c>
      <c r="D101" s="27">
        <f t="shared" si="11"/>
        <v>-3.4000000000003361E-2</v>
      </c>
      <c r="E101" s="27">
        <f t="shared" si="11"/>
        <v>3.6999999999999922E-2</v>
      </c>
      <c r="F101" s="27">
        <f t="shared" si="13"/>
        <v>2.999999999996561E-3</v>
      </c>
    </row>
    <row r="102" spans="1:6" x14ac:dyDescent="0.2">
      <c r="A102" t="str">
        <f>$A$17</f>
        <v>Information technology</v>
      </c>
      <c r="B102" s="27">
        <f t="shared" si="11"/>
        <v>0.6779999999999875</v>
      </c>
      <c r="C102" s="27">
        <f t="shared" si="12"/>
        <v>-0.57499999999998952</v>
      </c>
      <c r="D102" s="27">
        <f t="shared" si="11"/>
        <v>0.44299999999999873</v>
      </c>
      <c r="E102" s="27">
        <f t="shared" si="11"/>
        <v>0.45399999999998109</v>
      </c>
      <c r="F102" s="27">
        <f t="shared" si="13"/>
        <v>0.89699999999997981</v>
      </c>
    </row>
    <row r="103" spans="1:6" x14ac:dyDescent="0.2">
      <c r="A103" t="str">
        <f>$A$18</f>
        <v>Finance and insurance</v>
      </c>
      <c r="B103" s="27">
        <f t="shared" si="11"/>
        <v>-1.6809999999999876</v>
      </c>
      <c r="C103" s="27">
        <f t="shared" si="12"/>
        <v>0.46399999999998709</v>
      </c>
      <c r="D103" s="27">
        <f t="shared" si="11"/>
        <v>-4.9999999999992717E-2</v>
      </c>
      <c r="E103" s="27">
        <f t="shared" si="11"/>
        <v>-0.26700000000000479</v>
      </c>
      <c r="F103" s="27">
        <f t="shared" si="13"/>
        <v>-0.31699999999999751</v>
      </c>
    </row>
    <row r="104" spans="1:6" x14ac:dyDescent="0.2">
      <c r="A104" t="str">
        <f>$A$19</f>
        <v>Real estate</v>
      </c>
      <c r="B104" s="27">
        <f t="shared" si="11"/>
        <v>1.3549999999999818</v>
      </c>
      <c r="C104" s="27">
        <f t="shared" si="12"/>
        <v>0.56599999999999806</v>
      </c>
      <c r="D104" s="27">
        <f t="shared" si="11"/>
        <v>-0.52099999999998481</v>
      </c>
      <c r="E104" s="27">
        <f t="shared" si="11"/>
        <v>0.61599999999998545</v>
      </c>
      <c r="F104" s="27">
        <f t="shared" si="13"/>
        <v>9.5000000000000639E-2</v>
      </c>
    </row>
    <row r="105" spans="1:6" x14ac:dyDescent="0.2">
      <c r="A105" t="str">
        <f>$A$20</f>
        <v>Professional services</v>
      </c>
      <c r="B105" s="27">
        <f t="shared" si="11"/>
        <v>2.9390000000000214</v>
      </c>
      <c r="C105" s="27">
        <f t="shared" si="12"/>
        <v>2.0189999999999806</v>
      </c>
      <c r="D105" s="27">
        <f t="shared" si="11"/>
        <v>1.1729999999999272</v>
      </c>
      <c r="E105" s="27">
        <f t="shared" si="11"/>
        <v>1.9039999999999679</v>
      </c>
      <c r="F105" s="27">
        <f t="shared" si="13"/>
        <v>3.0769999999998952</v>
      </c>
    </row>
    <row r="106" spans="1:6" x14ac:dyDescent="0.2">
      <c r="A106" s="10" t="str">
        <f>$A$21</f>
        <v>Support services</v>
      </c>
      <c r="B106" s="27">
        <f t="shared" ref="B106:B111" si="14">C21-B21</f>
        <v>1.2600000000000335</v>
      </c>
      <c r="C106" s="27">
        <f t="shared" ref="C106:C111" si="15">D21-C21</f>
        <v>0.48700000000011556</v>
      </c>
      <c r="D106" s="27">
        <f t="shared" ref="D106:D111" si="16">E21-D21</f>
        <v>2.8420000000000485</v>
      </c>
      <c r="E106" s="27">
        <f t="shared" ref="E106:E111" si="17">F21-E21</f>
        <v>3.024999999999828</v>
      </c>
      <c r="F106" s="27">
        <f t="shared" si="13"/>
        <v>5.8669999999998765</v>
      </c>
    </row>
    <row r="107" spans="1:6" x14ac:dyDescent="0.2">
      <c r="A107" s="10" t="str">
        <f>$A$22</f>
        <v>Public admin. and defence</v>
      </c>
      <c r="B107" s="27">
        <f t="shared" si="14"/>
        <v>-0.30100000000005522</v>
      </c>
      <c r="C107" s="27">
        <f t="shared" si="15"/>
        <v>0.64200000000010959</v>
      </c>
      <c r="D107" s="27">
        <f t="shared" si="16"/>
        <v>0.34099999999995489</v>
      </c>
      <c r="E107" s="27">
        <f t="shared" si="17"/>
        <v>0.69899999999999451</v>
      </c>
      <c r="F107" s="27">
        <f t="shared" si="13"/>
        <v>1.0399999999999494</v>
      </c>
    </row>
    <row r="108" spans="1:6" x14ac:dyDescent="0.2">
      <c r="A108" s="10" t="str">
        <f>$A$23</f>
        <v>Education</v>
      </c>
      <c r="B108" s="27">
        <f t="shared" si="14"/>
        <v>-1.987999999999893</v>
      </c>
      <c r="C108" s="27">
        <f t="shared" si="15"/>
        <v>-0.33000000000004803</v>
      </c>
      <c r="D108" s="27">
        <f t="shared" si="16"/>
        <v>-0.9889999999999759</v>
      </c>
      <c r="E108" s="27">
        <f t="shared" si="17"/>
        <v>0.43100000000002581</v>
      </c>
      <c r="F108" s="27">
        <f t="shared" si="13"/>
        <v>-0.55799999999995009</v>
      </c>
    </row>
    <row r="109" spans="1:6" x14ac:dyDescent="0.2">
      <c r="A109" s="10" t="str">
        <f>$A$24</f>
        <v>Health and social work</v>
      </c>
      <c r="B109" s="27">
        <f t="shared" si="14"/>
        <v>3.8300000000000978</v>
      </c>
      <c r="C109" s="27">
        <f t="shared" si="15"/>
        <v>-1.107999999999862</v>
      </c>
      <c r="D109" s="27">
        <f t="shared" si="16"/>
        <v>3.8379999999999939</v>
      </c>
      <c r="E109" s="27">
        <f t="shared" si="17"/>
        <v>3.768999999999906</v>
      </c>
      <c r="F109" s="27">
        <f t="shared" si="13"/>
        <v>7.6069999999998998</v>
      </c>
    </row>
    <row r="110" spans="1:6" x14ac:dyDescent="0.2">
      <c r="A110" s="10" t="str">
        <f>$A$25</f>
        <v>Arts and entertainment</v>
      </c>
      <c r="B110" s="27">
        <f t="shared" si="14"/>
        <v>1.4650000000000016</v>
      </c>
      <c r="C110" s="27">
        <f t="shared" si="15"/>
        <v>-1.2750000000000021</v>
      </c>
      <c r="D110" s="27">
        <f t="shared" si="16"/>
        <v>-0.92699999999998539</v>
      </c>
      <c r="E110" s="27">
        <f t="shared" si="17"/>
        <v>0.20799999999996999</v>
      </c>
      <c r="F110" s="27">
        <f t="shared" si="13"/>
        <v>-0.7190000000000154</v>
      </c>
    </row>
    <row r="111" spans="1:6" x14ac:dyDescent="0.2">
      <c r="A111" s="10" t="str">
        <f>$A$26</f>
        <v>Other services</v>
      </c>
      <c r="B111" s="27">
        <f t="shared" si="14"/>
        <v>3.2089999999999907</v>
      </c>
      <c r="C111" s="27">
        <f t="shared" si="15"/>
        <v>0.80200000000000138</v>
      </c>
      <c r="D111" s="27">
        <f t="shared" si="16"/>
        <v>-1.2719999999999754</v>
      </c>
      <c r="E111" s="27">
        <f t="shared" si="17"/>
        <v>-0.3409999999999993</v>
      </c>
      <c r="F111" s="27">
        <f t="shared" si="13"/>
        <v>-1.6129999999999747</v>
      </c>
    </row>
    <row r="112" spans="1:6" x14ac:dyDescent="0.2">
      <c r="B112" s="27"/>
      <c r="C112" s="27"/>
      <c r="D112" s="27"/>
      <c r="E112" s="27"/>
      <c r="F112" s="27"/>
    </row>
    <row r="113" spans="1:6" x14ac:dyDescent="0.2">
      <c r="A113" s="24" t="str">
        <f>$A$28</f>
        <v>All industries</v>
      </c>
      <c r="B113" s="29">
        <f>C28-B28</f>
        <v>12.160999999999547</v>
      </c>
      <c r="C113" s="29">
        <f>D28-C28</f>
        <v>1.0790000000009741</v>
      </c>
      <c r="D113" s="29">
        <f>E28-D28</f>
        <v>5.5249999999997499</v>
      </c>
      <c r="E113" s="29">
        <f>F28-E28</f>
        <v>12.541999999999348</v>
      </c>
      <c r="F113" s="29">
        <f>F28-D28</f>
        <v>18.066999999999098</v>
      </c>
    </row>
  </sheetData>
  <phoneticPr fontId="4" type="noConversion"/>
  <pageMargins left="0.74803149606299213" right="0.74803149606299213" top="0.78740157480314965" bottom="0.78740157480314965" header="0.51181102362204722" footer="0.51181102362204722"/>
  <pageSetup paperSize="9" scale="93" orientation="portrait" r:id="rId1"/>
  <headerFooter alignWithMargins="0"/>
  <rowBreaks count="1" manualBreakCount="1">
    <brk id="58" max="6" man="1"/>
  </rowBreaks>
  <ignoredErrors>
    <ignoredError sqref="C62 C87:C88 C112" formula="1"/>
  </ignoredErrors>
  <drawing r:id="rId2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Sheet9"/>
  <dimension ref="A1:L122"/>
  <sheetViews>
    <sheetView showGridLines="0" zoomScale="85" zoomScaleNormal="85" workbookViewId="0"/>
  </sheetViews>
  <sheetFormatPr defaultRowHeight="12.75" x14ac:dyDescent="0.2"/>
  <cols>
    <col min="1" max="1" width="26.7109375" customWidth="1"/>
    <col min="2" max="6" width="11.7109375" customWidth="1"/>
    <col min="7" max="7" width="5.7109375" customWidth="1"/>
    <col min="8" max="12" width="11.7109375" customWidth="1"/>
  </cols>
  <sheetData>
    <row r="1" spans="1:12" ht="15.75" x14ac:dyDescent="0.25">
      <c r="A1" s="19" t="str">
        <f>CONCATENATE("Industry Table 4  Employment by Industry Group in Sector (SIC 2007), ",B$5,"-",F$5,", ",Info!B5)</f>
        <v>Industry Table 4  Employment by Industry Group in Sector (SIC 2007), 2015-2035, Greater Lincolnshire</v>
      </c>
    </row>
    <row r="2" spans="1:12" ht="12.75" customHeight="1" x14ac:dyDescent="0.2">
      <c r="A2" s="182" t="s">
        <v>515</v>
      </c>
    </row>
    <row r="3" spans="1:12" ht="12.75" customHeight="1" x14ac:dyDescent="0.25">
      <c r="A3" s="19"/>
      <c r="L3" s="38" t="s">
        <v>20</v>
      </c>
    </row>
    <row r="4" spans="1:12" x14ac:dyDescent="0.2">
      <c r="A4" s="36"/>
      <c r="B4" s="28" t="s">
        <v>18</v>
      </c>
      <c r="C4" s="36"/>
      <c r="D4" s="36"/>
      <c r="E4" s="36"/>
      <c r="F4" s="36"/>
      <c r="G4" s="36"/>
      <c r="H4" s="28" t="s">
        <v>19</v>
      </c>
      <c r="I4" s="36"/>
      <c r="J4" s="36"/>
      <c r="K4" s="36"/>
      <c r="L4" s="36"/>
    </row>
    <row r="5" spans="1:12" x14ac:dyDescent="0.2">
      <c r="A5" s="24"/>
      <c r="B5" s="42">
        <f>'Ind T1'!B5</f>
        <v>2015</v>
      </c>
      <c r="C5" s="42">
        <f>'Ind T1'!C5</f>
        <v>2019</v>
      </c>
      <c r="D5" s="42">
        <f>'Ind T1'!D5</f>
        <v>2020</v>
      </c>
      <c r="E5" s="42">
        <f>'Ind T1'!E5</f>
        <v>2025</v>
      </c>
      <c r="F5" s="42">
        <f>'Ind T1'!F5</f>
        <v>2035</v>
      </c>
      <c r="H5" s="37" t="str">
        <f>CONCATENATE(B$5,"-",C$5)</f>
        <v>2015-2019</v>
      </c>
      <c r="I5" s="37" t="str">
        <f>CONCATENATE(C$5,"-",D$5)</f>
        <v>2019-2020</v>
      </c>
      <c r="J5" s="37" t="str">
        <f>CONCATENATE(D$5,"-",E$5)</f>
        <v>2020-2025</v>
      </c>
      <c r="K5" s="37" t="str">
        <f>CONCATENATE(E$5,"-",F$5)</f>
        <v>2025-2035</v>
      </c>
      <c r="L5" s="37" t="str">
        <f>CONCATENATE(D$5,"-",F$5)</f>
        <v>2020-2035</v>
      </c>
    </row>
    <row r="7" spans="1:12" s="30" customFormat="1" x14ac:dyDescent="0.2">
      <c r="A7" s="30" t="str">
        <f>'Ind T1'!A7</f>
        <v>Primary sector and utilities</v>
      </c>
      <c r="B7" s="31">
        <f>'Ind T1'!B7</f>
        <v>19.640000000000022</v>
      </c>
      <c r="C7" s="31">
        <f>'Ind T1'!C7</f>
        <v>18.652999999999963</v>
      </c>
      <c r="D7" s="31">
        <f>'Ind T1'!D7</f>
        <v>21.362000000000037</v>
      </c>
      <c r="E7" s="31">
        <f>'Ind T1'!E7</f>
        <v>21.268000000000029</v>
      </c>
      <c r="F7" s="31">
        <f>'Ind T1'!F7</f>
        <v>20.995000000000033</v>
      </c>
      <c r="H7" s="31">
        <f>C7-B7</f>
        <v>-0.98700000000005872</v>
      </c>
      <c r="I7" s="31">
        <f>D7-C7</f>
        <v>2.7090000000000742</v>
      </c>
      <c r="J7" s="31">
        <f>E7-D7</f>
        <v>-9.4000000000008299E-2</v>
      </c>
      <c r="K7" s="31">
        <f>F7-E7</f>
        <v>-0.27299999999999613</v>
      </c>
      <c r="L7" s="31">
        <f>F7-D7</f>
        <v>-0.36700000000000443</v>
      </c>
    </row>
    <row r="8" spans="1:12" x14ac:dyDescent="0.2">
      <c r="A8" t="str">
        <f>'Ind T2'!A5</f>
        <v>Agriculture</v>
      </c>
      <c r="B8" s="32">
        <f>'Ind T2'!B5</f>
        <v>12.392000000000024</v>
      </c>
      <c r="C8" s="32">
        <f>'Ind T2'!C5</f>
        <v>11.259999999999964</v>
      </c>
      <c r="D8" s="32">
        <f>'Ind T2'!D5</f>
        <v>14.335000000000026</v>
      </c>
      <c r="E8" s="32">
        <f>'Ind T2'!E5</f>
        <v>14.250000000000018</v>
      </c>
      <c r="F8" s="32">
        <f>'Ind T2'!F5</f>
        <v>13.884000000000032</v>
      </c>
      <c r="H8" s="11">
        <f t="shared" ref="H8:H40" si="0">C8-B8</f>
        <v>-1.1320000000000601</v>
      </c>
      <c r="I8" s="31">
        <f t="shared" ref="I8:I38" si="1">D8-C8</f>
        <v>3.0750000000000615</v>
      </c>
      <c r="J8" s="11">
        <f t="shared" ref="J8:J38" si="2">E8-D8</f>
        <v>-8.5000000000007958E-2</v>
      </c>
      <c r="K8" s="11">
        <f t="shared" ref="K8:K38" si="3">F8-E8</f>
        <v>-0.36599999999998545</v>
      </c>
      <c r="L8" s="31">
        <f t="shared" ref="L8:L40" si="4">F8-D8</f>
        <v>-0.45099999999999341</v>
      </c>
    </row>
    <row r="9" spans="1:12" x14ac:dyDescent="0.2">
      <c r="A9" t="str">
        <f>'Ind T2'!A6</f>
        <v>Mining and quarrying</v>
      </c>
      <c r="B9" s="32">
        <f>'Ind T2'!B6</f>
        <v>0.70999999999999963</v>
      </c>
      <c r="C9" s="32">
        <f>'Ind T2'!C6</f>
        <v>0.93399999999999828</v>
      </c>
      <c r="D9" s="32">
        <f>'Ind T2'!D6</f>
        <v>0.92199999999999949</v>
      </c>
      <c r="E9" s="32">
        <f>'Ind T2'!E6</f>
        <v>0.747</v>
      </c>
      <c r="F9" s="32">
        <f>'Ind T2'!F6</f>
        <v>0.54099999999999993</v>
      </c>
      <c r="H9" s="11">
        <f t="shared" si="0"/>
        <v>0.22399999999999864</v>
      </c>
      <c r="I9" s="31">
        <f t="shared" si="1"/>
        <v>-1.1999999999998789E-2</v>
      </c>
      <c r="J9" s="11">
        <f t="shared" si="2"/>
        <v>-0.17499999999999949</v>
      </c>
      <c r="K9" s="11">
        <f t="shared" si="3"/>
        <v>-0.20600000000000007</v>
      </c>
      <c r="L9" s="31">
        <f t="shared" si="4"/>
        <v>-0.38099999999999956</v>
      </c>
    </row>
    <row r="10" spans="1:12" x14ac:dyDescent="0.2">
      <c r="A10" t="str">
        <f>'Ind T2'!A10</f>
        <v>Electricity and gas</v>
      </c>
      <c r="B10" s="32">
        <f>'Ind T2'!B10</f>
        <v>1.297000000000003</v>
      </c>
      <c r="C10" s="32">
        <f>'Ind T2'!C10</f>
        <v>1.3590000000000013</v>
      </c>
      <c r="D10" s="32">
        <f>'Ind T2'!D10</f>
        <v>1.3190000000000015</v>
      </c>
      <c r="E10" s="32">
        <f>'Ind T2'!E10</f>
        <v>1.2739999999999985</v>
      </c>
      <c r="F10" s="32">
        <f>'Ind T2'!F10</f>
        <v>1.2660000000000007</v>
      </c>
      <c r="H10" s="11">
        <f t="shared" si="0"/>
        <v>6.1999999999998279E-2</v>
      </c>
      <c r="I10" s="31">
        <f t="shared" si="1"/>
        <v>-3.9999999999999813E-2</v>
      </c>
      <c r="J10" s="11">
        <f t="shared" si="2"/>
        <v>-4.5000000000003038E-2</v>
      </c>
      <c r="K10" s="11">
        <f t="shared" si="3"/>
        <v>-7.9999999999977867E-3</v>
      </c>
      <c r="L10" s="31">
        <f t="shared" si="4"/>
        <v>-5.3000000000000824E-2</v>
      </c>
    </row>
    <row r="11" spans="1:12" x14ac:dyDescent="0.2">
      <c r="A11" t="str">
        <f>'Ind T2'!A11</f>
        <v>Water and sewerage</v>
      </c>
      <c r="B11" s="32">
        <f>'Ind T2'!B11</f>
        <v>5.2409999999999943</v>
      </c>
      <c r="C11" s="32">
        <f>'Ind T2'!C11</f>
        <v>5.1000000000000014</v>
      </c>
      <c r="D11" s="32">
        <f>'Ind T2'!D11</f>
        <v>4.7860000000000129</v>
      </c>
      <c r="E11" s="32">
        <f>'Ind T2'!E11</f>
        <v>4.9970000000000159</v>
      </c>
      <c r="F11" s="32">
        <f>'Ind T2'!F11</f>
        <v>5.3039999999999985</v>
      </c>
      <c r="H11" s="11">
        <f t="shared" ref="H11" si="5">C11-B11</f>
        <v>-0.14099999999999291</v>
      </c>
      <c r="I11" s="31">
        <f t="shared" ref="I11" si="6">D11-C11</f>
        <v>-0.31399999999998851</v>
      </c>
      <c r="J11" s="11">
        <f t="shared" ref="J11" si="7">E11-D11</f>
        <v>0.21100000000000296</v>
      </c>
      <c r="K11" s="11">
        <f t="shared" ref="K11" si="8">F11-E11</f>
        <v>0.30699999999998262</v>
      </c>
      <c r="L11" s="31">
        <f t="shared" si="4"/>
        <v>0.51799999999998558</v>
      </c>
    </row>
    <row r="12" spans="1:12" x14ac:dyDescent="0.2">
      <c r="B12" s="32"/>
      <c r="C12" s="32"/>
      <c r="D12" s="32"/>
      <c r="E12" s="32"/>
      <c r="F12" s="32"/>
      <c r="H12" s="11"/>
      <c r="I12" s="31"/>
      <c r="J12" s="11"/>
      <c r="K12" s="11"/>
      <c r="L12" s="31"/>
    </row>
    <row r="13" spans="1:12" s="30" customFormat="1" x14ac:dyDescent="0.2">
      <c r="A13" s="30" t="str">
        <f>'Ind T1'!A8</f>
        <v>Manufacturing</v>
      </c>
      <c r="B13" s="31">
        <f>'Ind T1'!B8</f>
        <v>68.989000000000146</v>
      </c>
      <c r="C13" s="31">
        <f>'Ind T1'!C8</f>
        <v>67.950999999999979</v>
      </c>
      <c r="D13" s="31">
        <f>'Ind T1'!D8</f>
        <v>68.03400000000002</v>
      </c>
      <c r="E13" s="31">
        <f>'Ind T1'!E8</f>
        <v>65.943999999999946</v>
      </c>
      <c r="F13" s="31">
        <f>'Ind T1'!F8</f>
        <v>62.16099999999998</v>
      </c>
      <c r="H13" s="31">
        <f t="shared" si="0"/>
        <v>-1.0380000000001672</v>
      </c>
      <c r="I13" s="31">
        <f t="shared" si="1"/>
        <v>8.3000000000041041E-2</v>
      </c>
      <c r="J13" s="31">
        <f t="shared" si="2"/>
        <v>-2.0900000000000745</v>
      </c>
      <c r="K13" s="31">
        <f t="shared" si="3"/>
        <v>-3.7829999999999657</v>
      </c>
      <c r="L13" s="31">
        <f t="shared" si="4"/>
        <v>-5.8730000000000402</v>
      </c>
    </row>
    <row r="14" spans="1:12" x14ac:dyDescent="0.2">
      <c r="A14" t="str">
        <f>'Ind T2'!A7</f>
        <v>Food drink and tobacco</v>
      </c>
      <c r="B14" s="32">
        <f>'Ind T2'!B7</f>
        <v>22.367999999999988</v>
      </c>
      <c r="C14" s="32">
        <f>'Ind T2'!C7</f>
        <v>24.064000000000018</v>
      </c>
      <c r="D14" s="32">
        <f>'Ind T2'!D7</f>
        <v>24.152000000000037</v>
      </c>
      <c r="E14" s="32">
        <f>'Ind T2'!E7</f>
        <v>24.98199999999995</v>
      </c>
      <c r="F14" s="32">
        <f>'Ind T2'!F7</f>
        <v>25.192000000000025</v>
      </c>
      <c r="H14" s="11">
        <f t="shared" si="0"/>
        <v>1.6960000000000299</v>
      </c>
      <c r="I14" s="31">
        <f t="shared" si="1"/>
        <v>8.800000000001873E-2</v>
      </c>
      <c r="J14" s="11">
        <f t="shared" si="2"/>
        <v>0.82999999999991303</v>
      </c>
      <c r="K14" s="11">
        <f t="shared" si="3"/>
        <v>0.21000000000007546</v>
      </c>
      <c r="L14" s="31">
        <f t="shared" si="4"/>
        <v>1.0399999999999885</v>
      </c>
    </row>
    <row r="15" spans="1:12" x14ac:dyDescent="0.2">
      <c r="A15" t="str">
        <f>'Ind T2'!A8</f>
        <v>Engineering</v>
      </c>
      <c r="B15" s="32">
        <f>'Ind T2'!B8</f>
        <v>7.5750000000000162</v>
      </c>
      <c r="C15" s="32">
        <f>'Ind T2'!C8</f>
        <v>5.5139999999999878</v>
      </c>
      <c r="D15" s="32">
        <f>'Ind T2'!D8</f>
        <v>5.2779999999999863</v>
      </c>
      <c r="E15" s="32">
        <f>'Ind T2'!E8</f>
        <v>5.2490000000000068</v>
      </c>
      <c r="F15" s="32">
        <f>'Ind T2'!F8</f>
        <v>4.7119999999999918</v>
      </c>
      <c r="H15" s="11">
        <f t="shared" si="0"/>
        <v>-2.0610000000000284</v>
      </c>
      <c r="I15" s="31">
        <f t="shared" si="1"/>
        <v>-0.23600000000000154</v>
      </c>
      <c r="J15" s="11">
        <f t="shared" si="2"/>
        <v>-2.8999999999979487E-2</v>
      </c>
      <c r="K15" s="11">
        <f t="shared" si="3"/>
        <v>-0.53700000000001502</v>
      </c>
      <c r="L15" s="31">
        <f t="shared" si="4"/>
        <v>-0.56599999999999451</v>
      </c>
    </row>
    <row r="16" spans="1:12" x14ac:dyDescent="0.2">
      <c r="A16" t="str">
        <f>'Ind T2'!A9</f>
        <v>Rest of manufacturing</v>
      </c>
      <c r="B16" s="32">
        <f>'Ind T2'!B9</f>
        <v>39.046000000000149</v>
      </c>
      <c r="C16" s="32">
        <f>'Ind T2'!C9</f>
        <v>38.372999999999969</v>
      </c>
      <c r="D16" s="32">
        <f>'Ind T2'!D9</f>
        <v>38.603999999999992</v>
      </c>
      <c r="E16" s="32">
        <f>'Ind T2'!E9</f>
        <v>35.712999999999994</v>
      </c>
      <c r="F16" s="32">
        <f>'Ind T2'!F9</f>
        <v>32.256999999999962</v>
      </c>
      <c r="H16" s="11">
        <f t="shared" si="0"/>
        <v>-0.67300000000017945</v>
      </c>
      <c r="I16" s="31">
        <f t="shared" si="1"/>
        <v>0.23100000000002296</v>
      </c>
      <c r="J16" s="11">
        <f t="shared" si="2"/>
        <v>-2.8909999999999982</v>
      </c>
      <c r="K16" s="11">
        <f t="shared" si="3"/>
        <v>-3.4560000000000315</v>
      </c>
      <c r="L16" s="31">
        <f t="shared" si="4"/>
        <v>-6.3470000000000297</v>
      </c>
    </row>
    <row r="17" spans="1:12" x14ac:dyDescent="0.2">
      <c r="B17" s="32"/>
      <c r="C17" s="32"/>
      <c r="D17" s="32"/>
      <c r="E17" s="32"/>
      <c r="F17" s="32"/>
      <c r="H17" s="11"/>
      <c r="I17" s="31">
        <f t="shared" si="1"/>
        <v>0</v>
      </c>
      <c r="J17" s="11"/>
      <c r="K17" s="11"/>
      <c r="L17" s="31"/>
    </row>
    <row r="18" spans="1:12" s="30" customFormat="1" x14ac:dyDescent="0.2">
      <c r="A18" s="30" t="str">
        <f>'Ind T1'!A9</f>
        <v>Construction</v>
      </c>
      <c r="B18" s="31">
        <f>'Ind T1'!B9</f>
        <v>35.251000000000047</v>
      </c>
      <c r="C18" s="31">
        <f>'Ind T1'!C9</f>
        <v>34.611999999999952</v>
      </c>
      <c r="D18" s="31">
        <f>'Ind T1'!D9</f>
        <v>34.021000000000058</v>
      </c>
      <c r="E18" s="31">
        <f>'Ind T1'!E9</f>
        <v>34.368999999999993</v>
      </c>
      <c r="F18" s="31">
        <f>'Ind T1'!F9</f>
        <v>35.626999999999988</v>
      </c>
      <c r="H18" s="31">
        <f t="shared" si="0"/>
        <v>-0.63900000000009527</v>
      </c>
      <c r="I18" s="31">
        <f t="shared" si="1"/>
        <v>-0.5909999999998945</v>
      </c>
      <c r="J18" s="31">
        <f t="shared" si="2"/>
        <v>0.34799999999993503</v>
      </c>
      <c r="K18" s="31">
        <f t="shared" si="3"/>
        <v>1.2579999999999956</v>
      </c>
      <c r="L18" s="31">
        <f t="shared" si="4"/>
        <v>1.6059999999999306</v>
      </c>
    </row>
    <row r="19" spans="1:12" x14ac:dyDescent="0.2">
      <c r="A19" s="30"/>
      <c r="B19" s="32"/>
      <c r="C19" s="32"/>
      <c r="D19" s="32"/>
      <c r="E19" s="32"/>
      <c r="F19" s="32"/>
      <c r="H19" s="11"/>
      <c r="I19" s="31"/>
      <c r="J19" s="11"/>
      <c r="K19" s="11"/>
      <c r="L19" s="31"/>
    </row>
    <row r="20" spans="1:12" s="30" customFormat="1" x14ac:dyDescent="0.2">
      <c r="A20" s="30" t="str">
        <f>'Ind T1'!A10</f>
        <v>Trade, accomod. and transport</v>
      </c>
      <c r="B20" s="31">
        <f>'Ind T1'!B10</f>
        <v>143.00700000000001</v>
      </c>
      <c r="C20" s="31">
        <f>'Ind T1'!C10</f>
        <v>146.2359999999999</v>
      </c>
      <c r="D20" s="31">
        <f>'Ind T1'!D10</f>
        <v>144.13800000000023</v>
      </c>
      <c r="E20" s="31">
        <f>'Ind T1'!E10</f>
        <v>146.65500000000009</v>
      </c>
      <c r="F20" s="31">
        <f>'Ind T1'!F10</f>
        <v>151.45999999999989</v>
      </c>
      <c r="H20" s="31">
        <f t="shared" si="0"/>
        <v>3.2289999999998997</v>
      </c>
      <c r="I20" s="31">
        <f t="shared" si="1"/>
        <v>-2.0979999999996721</v>
      </c>
      <c r="J20" s="31">
        <f t="shared" si="2"/>
        <v>2.5169999999998538</v>
      </c>
      <c r="K20" s="31">
        <f t="shared" si="3"/>
        <v>4.8049999999998079</v>
      </c>
      <c r="L20" s="31">
        <f t="shared" si="4"/>
        <v>7.3219999999996617</v>
      </c>
    </row>
    <row r="21" spans="1:12" x14ac:dyDescent="0.2">
      <c r="A21" s="10" t="str">
        <f>'Ind T2'!A13</f>
        <v>Wholesale and retail trade</v>
      </c>
      <c r="B21" s="32">
        <f>'Ind T2'!B13</f>
        <v>82.774000000000072</v>
      </c>
      <c r="C21" s="32">
        <f>'Ind T2'!C13</f>
        <v>84.95299999999996</v>
      </c>
      <c r="D21" s="32">
        <f>'Ind T2'!D13</f>
        <v>81.490000000000094</v>
      </c>
      <c r="E21" s="32">
        <f>'Ind T2'!E13</f>
        <v>82.538000000000139</v>
      </c>
      <c r="F21" s="32">
        <f>'Ind T2'!F13</f>
        <v>84.032000000000039</v>
      </c>
      <c r="H21" s="11">
        <f t="shared" si="0"/>
        <v>2.1789999999998884</v>
      </c>
      <c r="I21" s="31">
        <f t="shared" si="1"/>
        <v>-3.462999999999866</v>
      </c>
      <c r="J21" s="11">
        <f t="shared" si="2"/>
        <v>1.0480000000000445</v>
      </c>
      <c r="K21" s="11">
        <f t="shared" si="3"/>
        <v>1.4939999999999003</v>
      </c>
      <c r="L21" s="31">
        <f t="shared" si="4"/>
        <v>2.5419999999999447</v>
      </c>
    </row>
    <row r="22" spans="1:12" x14ac:dyDescent="0.2">
      <c r="A22" s="10" t="str">
        <f>'Ind T2'!A14</f>
        <v>Transport and storage</v>
      </c>
      <c r="B22" s="32">
        <f>'Ind T2'!B14</f>
        <v>26.086000000000016</v>
      </c>
      <c r="C22" s="32">
        <f>'Ind T2'!C14</f>
        <v>25.812999999999953</v>
      </c>
      <c r="D22" s="32">
        <f>'Ind T2'!D14</f>
        <v>28.585000000000058</v>
      </c>
      <c r="E22" s="32">
        <f>'Ind T2'!E14</f>
        <v>29.634999999999998</v>
      </c>
      <c r="F22" s="32">
        <f>'Ind T2'!F14</f>
        <v>29.983999999999959</v>
      </c>
      <c r="H22" s="11">
        <f t="shared" si="0"/>
        <v>-0.27300000000006364</v>
      </c>
      <c r="I22" s="31">
        <f t="shared" si="1"/>
        <v>2.772000000000105</v>
      </c>
      <c r="J22" s="11">
        <f t="shared" si="2"/>
        <v>1.0499999999999403</v>
      </c>
      <c r="K22" s="11">
        <f t="shared" si="3"/>
        <v>0.34899999999996112</v>
      </c>
      <c r="L22" s="31">
        <f t="shared" si="4"/>
        <v>1.3989999999999014</v>
      </c>
    </row>
    <row r="23" spans="1:12" x14ac:dyDescent="0.2">
      <c r="A23" s="10" t="str">
        <f>'Ind T2'!A15</f>
        <v>Accommodation and food</v>
      </c>
      <c r="B23" s="32">
        <f>'Ind T2'!B15</f>
        <v>34.146999999999935</v>
      </c>
      <c r="C23" s="32">
        <f>'Ind T2'!C15</f>
        <v>35.470000000000006</v>
      </c>
      <c r="D23" s="32">
        <f>'Ind T2'!D15</f>
        <v>34.063000000000066</v>
      </c>
      <c r="E23" s="32">
        <f>'Ind T2'!E15</f>
        <v>34.481999999999942</v>
      </c>
      <c r="F23" s="32">
        <f>'Ind T2'!F15</f>
        <v>37.443999999999896</v>
      </c>
      <c r="H23" s="11">
        <f t="shared" si="0"/>
        <v>1.3230000000000715</v>
      </c>
      <c r="I23" s="31">
        <f t="shared" si="1"/>
        <v>-1.4069999999999396</v>
      </c>
      <c r="J23" s="11">
        <f t="shared" si="2"/>
        <v>0.41899999999987614</v>
      </c>
      <c r="K23" s="11">
        <f t="shared" si="3"/>
        <v>2.9619999999999536</v>
      </c>
      <c r="L23" s="31">
        <f t="shared" si="4"/>
        <v>3.3809999999998297</v>
      </c>
    </row>
    <row r="24" spans="1:12" x14ac:dyDescent="0.2">
      <c r="B24" s="32"/>
      <c r="C24" s="32"/>
      <c r="D24" s="32"/>
      <c r="E24" s="32"/>
      <c r="F24" s="32"/>
      <c r="H24" s="11"/>
      <c r="I24" s="31"/>
      <c r="J24" s="11"/>
      <c r="K24" s="11"/>
      <c r="L24" s="31"/>
    </row>
    <row r="25" spans="1:12" s="30" customFormat="1" x14ac:dyDescent="0.2">
      <c r="A25" s="30" t="str">
        <f>'Ind T1'!A11</f>
        <v>Business and other services</v>
      </c>
      <c r="B25" s="31">
        <f>'Ind T1'!B11</f>
        <v>108.91699999999999</v>
      </c>
      <c r="C25" s="31">
        <f>'Ind T1'!C11</f>
        <v>118.97200000000002</v>
      </c>
      <c r="D25" s="31">
        <f>'Ind T1'!D11</f>
        <v>120.74400000000011</v>
      </c>
      <c r="E25" s="31">
        <f>'Ind T1'!E11</f>
        <v>122.39800000000015</v>
      </c>
      <c r="F25" s="31">
        <f>'Ind T1'!F11</f>
        <v>128.03399999999988</v>
      </c>
      <c r="H25" s="31">
        <f t="shared" si="0"/>
        <v>10.055000000000035</v>
      </c>
      <c r="I25" s="31">
        <f t="shared" si="1"/>
        <v>1.7720000000000908</v>
      </c>
      <c r="J25" s="31">
        <f t="shared" si="2"/>
        <v>1.654000000000039</v>
      </c>
      <c r="K25" s="31">
        <f t="shared" si="3"/>
        <v>5.6359999999997257</v>
      </c>
      <c r="L25" s="31">
        <f t="shared" si="4"/>
        <v>7.2899999999997647</v>
      </c>
    </row>
    <row r="26" spans="1:12" x14ac:dyDescent="0.2">
      <c r="A26" s="10" t="str">
        <f>'Ind T2'!A16</f>
        <v>Media</v>
      </c>
      <c r="B26" s="11">
        <f>'Ind T2'!B16</f>
        <v>2.0880000000000023</v>
      </c>
      <c r="C26" s="11">
        <f>'Ind T2'!C16</f>
        <v>2.9180000000000046</v>
      </c>
      <c r="D26" s="11">
        <f>'Ind T2'!D16</f>
        <v>2.2020000000000048</v>
      </c>
      <c r="E26" s="11">
        <f>'Ind T2'!E16</f>
        <v>2.1680000000000015</v>
      </c>
      <c r="F26" s="11">
        <f>'Ind T2'!F16</f>
        <v>2.2050000000000014</v>
      </c>
      <c r="H26" s="11">
        <f t="shared" si="0"/>
        <v>0.83000000000000229</v>
      </c>
      <c r="I26" s="31">
        <f t="shared" si="1"/>
        <v>-0.71599999999999975</v>
      </c>
      <c r="J26" s="11">
        <f t="shared" si="2"/>
        <v>-3.4000000000003361E-2</v>
      </c>
      <c r="K26" s="11">
        <f t="shared" si="3"/>
        <v>3.6999999999999922E-2</v>
      </c>
      <c r="L26" s="31">
        <f t="shared" si="4"/>
        <v>2.999999999996561E-3</v>
      </c>
    </row>
    <row r="27" spans="1:12" x14ac:dyDescent="0.2">
      <c r="A27" s="10" t="str">
        <f>'Ind T2'!A17</f>
        <v>Information technology</v>
      </c>
      <c r="B27" s="11">
        <f>'Ind T2'!B17</f>
        <v>5.3660000000000121</v>
      </c>
      <c r="C27" s="11">
        <f>'Ind T2'!C17</f>
        <v>6.0439999999999996</v>
      </c>
      <c r="D27" s="11">
        <f>'Ind T2'!D17</f>
        <v>5.4690000000000101</v>
      </c>
      <c r="E27" s="11">
        <f>'Ind T2'!E17</f>
        <v>5.9120000000000088</v>
      </c>
      <c r="F27" s="11">
        <f>'Ind T2'!F17</f>
        <v>6.3659999999999899</v>
      </c>
      <c r="H27" s="11">
        <f t="shared" si="0"/>
        <v>0.6779999999999875</v>
      </c>
      <c r="I27" s="31">
        <f t="shared" si="1"/>
        <v>-0.57499999999998952</v>
      </c>
      <c r="J27" s="11">
        <f t="shared" si="2"/>
        <v>0.44299999999999873</v>
      </c>
      <c r="K27" s="11">
        <f t="shared" si="3"/>
        <v>0.45399999999998109</v>
      </c>
      <c r="L27" s="31">
        <f t="shared" si="4"/>
        <v>0.89699999999997981</v>
      </c>
    </row>
    <row r="28" spans="1:12" x14ac:dyDescent="0.2">
      <c r="A28" s="10" t="str">
        <f>'Ind T2'!A18</f>
        <v>Finance and insurance</v>
      </c>
      <c r="B28" s="11">
        <f>'Ind T2'!B18</f>
        <v>6.1699999999999884</v>
      </c>
      <c r="C28" s="11">
        <f>'Ind T2'!C18</f>
        <v>4.4890000000000008</v>
      </c>
      <c r="D28" s="11">
        <f>'Ind T2'!D18</f>
        <v>4.9529999999999879</v>
      </c>
      <c r="E28" s="11">
        <f>'Ind T2'!E18</f>
        <v>4.9029999999999951</v>
      </c>
      <c r="F28" s="11">
        <f>'Ind T2'!F18</f>
        <v>4.6359999999999904</v>
      </c>
      <c r="H28" s="11">
        <f t="shared" si="0"/>
        <v>-1.6809999999999876</v>
      </c>
      <c r="I28" s="31">
        <f t="shared" si="1"/>
        <v>0.46399999999998709</v>
      </c>
      <c r="J28" s="11">
        <f t="shared" si="2"/>
        <v>-4.9999999999992717E-2</v>
      </c>
      <c r="K28" s="11">
        <f t="shared" si="3"/>
        <v>-0.26700000000000479</v>
      </c>
      <c r="L28" s="31">
        <f t="shared" si="4"/>
        <v>-0.31699999999999751</v>
      </c>
    </row>
    <row r="29" spans="1:12" x14ac:dyDescent="0.2">
      <c r="A29" s="10" t="str">
        <f>'Ind T2'!A19</f>
        <v>Real estate</v>
      </c>
      <c r="B29" s="11">
        <f>'Ind T2'!B19</f>
        <v>5.752000000000014</v>
      </c>
      <c r="C29" s="11">
        <f>'Ind T2'!C19</f>
        <v>7.1069999999999958</v>
      </c>
      <c r="D29" s="11">
        <f>'Ind T2'!D19</f>
        <v>7.6729999999999938</v>
      </c>
      <c r="E29" s="11">
        <f>'Ind T2'!E19</f>
        <v>7.152000000000009</v>
      </c>
      <c r="F29" s="11">
        <f>'Ind T2'!F19</f>
        <v>7.7679999999999945</v>
      </c>
      <c r="H29" s="11">
        <f t="shared" ref="H29:H31" si="9">C29-B29</f>
        <v>1.3549999999999818</v>
      </c>
      <c r="I29" s="31">
        <f t="shared" ref="I29:I31" si="10">D29-C29</f>
        <v>0.56599999999999806</v>
      </c>
      <c r="J29" s="11">
        <f t="shared" ref="J29:J31" si="11">E29-D29</f>
        <v>-0.52099999999998481</v>
      </c>
      <c r="K29" s="11">
        <f t="shared" ref="K29:K31" si="12">F29-E29</f>
        <v>0.61599999999998545</v>
      </c>
      <c r="L29" s="31">
        <f t="shared" si="4"/>
        <v>9.5000000000000639E-2</v>
      </c>
    </row>
    <row r="30" spans="1:12" x14ac:dyDescent="0.2">
      <c r="A30" s="10" t="str">
        <f>'Ind T2'!A20</f>
        <v>Professional services</v>
      </c>
      <c r="B30" s="11">
        <f>'Ind T2'!B20</f>
        <v>26.284000000000049</v>
      </c>
      <c r="C30" s="11">
        <f>'Ind T2'!C20</f>
        <v>29.22300000000007</v>
      </c>
      <c r="D30" s="11">
        <f>'Ind T2'!D20</f>
        <v>31.242000000000051</v>
      </c>
      <c r="E30" s="11">
        <f>'Ind T2'!E20</f>
        <v>32.414999999999978</v>
      </c>
      <c r="F30" s="11">
        <f>'Ind T2'!F20</f>
        <v>34.318999999999946</v>
      </c>
      <c r="H30" s="11">
        <f t="shared" si="9"/>
        <v>2.9390000000000214</v>
      </c>
      <c r="I30" s="31">
        <f t="shared" si="10"/>
        <v>2.0189999999999806</v>
      </c>
      <c r="J30" s="11">
        <f t="shared" si="11"/>
        <v>1.1729999999999272</v>
      </c>
      <c r="K30" s="11">
        <f t="shared" si="12"/>
        <v>1.9039999999999679</v>
      </c>
      <c r="L30" s="31">
        <f t="shared" si="4"/>
        <v>3.0769999999998952</v>
      </c>
    </row>
    <row r="31" spans="1:12" x14ac:dyDescent="0.2">
      <c r="A31" s="10" t="str">
        <f>'Ind T2'!A21</f>
        <v>Support services</v>
      </c>
      <c r="B31" s="11">
        <f>'Ind T2'!B21</f>
        <v>39.827999999999939</v>
      </c>
      <c r="C31" s="11">
        <f>'Ind T2'!C21</f>
        <v>41.087999999999973</v>
      </c>
      <c r="D31" s="11">
        <f>'Ind T2'!D21</f>
        <v>41.575000000000088</v>
      </c>
      <c r="E31" s="11">
        <f>'Ind T2'!E21</f>
        <v>44.417000000000137</v>
      </c>
      <c r="F31" s="11">
        <f>'Ind T2'!F21</f>
        <v>47.441999999999965</v>
      </c>
      <c r="H31" s="11">
        <f t="shared" si="9"/>
        <v>1.2600000000000335</v>
      </c>
      <c r="I31" s="31">
        <f t="shared" si="10"/>
        <v>0.48700000000011556</v>
      </c>
      <c r="J31" s="11">
        <f t="shared" si="11"/>
        <v>2.8420000000000485</v>
      </c>
      <c r="K31" s="11">
        <f t="shared" si="12"/>
        <v>3.024999999999828</v>
      </c>
      <c r="L31" s="31">
        <f t="shared" si="4"/>
        <v>5.8669999999998765</v>
      </c>
    </row>
    <row r="32" spans="1:12" x14ac:dyDescent="0.2">
      <c r="A32" s="10" t="str">
        <f>'Ind T2'!A25</f>
        <v>Arts and entertainment</v>
      </c>
      <c r="B32" s="11">
        <f>'Ind T2'!B25</f>
        <v>11.292000000000003</v>
      </c>
      <c r="C32" s="11">
        <f>'Ind T2'!C25</f>
        <v>12.757000000000005</v>
      </c>
      <c r="D32" s="11">
        <f>'Ind T2'!D25</f>
        <v>11.482000000000003</v>
      </c>
      <c r="E32" s="11">
        <f>'Ind T2'!E25</f>
        <v>10.555000000000017</v>
      </c>
      <c r="F32" s="11">
        <f>'Ind T2'!F25</f>
        <v>10.762999999999987</v>
      </c>
      <c r="H32" s="11">
        <f t="shared" ref="H32" si="13">C32-B32</f>
        <v>1.4650000000000016</v>
      </c>
      <c r="I32" s="31">
        <f t="shared" ref="I32:I33" si="14">D32-C32</f>
        <v>-1.2750000000000021</v>
      </c>
      <c r="J32" s="11">
        <f t="shared" ref="J32:J33" si="15">E32-D32</f>
        <v>-0.92699999999998539</v>
      </c>
      <c r="K32" s="11">
        <f t="shared" ref="K32:K33" si="16">F32-E32</f>
        <v>0.20799999999996999</v>
      </c>
      <c r="L32" s="31">
        <f t="shared" si="4"/>
        <v>-0.7190000000000154</v>
      </c>
    </row>
    <row r="33" spans="1:12" x14ac:dyDescent="0.2">
      <c r="A33" s="10" t="str">
        <f>'Ind T2'!A26</f>
        <v>Other services</v>
      </c>
      <c r="B33" s="11">
        <f>'Ind T2'!B26</f>
        <v>12.136999999999986</v>
      </c>
      <c r="C33" s="11">
        <f>'Ind T2'!C26</f>
        <v>15.345999999999977</v>
      </c>
      <c r="D33" s="11">
        <f>'Ind T2'!D26</f>
        <v>16.147999999999978</v>
      </c>
      <c r="E33" s="11">
        <f>'Ind T2'!E26</f>
        <v>14.876000000000003</v>
      </c>
      <c r="F33" s="11">
        <f>'Ind T2'!F26</f>
        <v>14.535000000000004</v>
      </c>
      <c r="H33" s="11">
        <f>C33-B33</f>
        <v>3.2089999999999907</v>
      </c>
      <c r="I33" s="31">
        <f t="shared" si="14"/>
        <v>0.80200000000000138</v>
      </c>
      <c r="J33" s="11">
        <f t="shared" si="15"/>
        <v>-1.2719999999999754</v>
      </c>
      <c r="K33" s="11">
        <f t="shared" si="16"/>
        <v>-0.3409999999999993</v>
      </c>
      <c r="L33" s="31">
        <f t="shared" si="4"/>
        <v>-1.6129999999999747</v>
      </c>
    </row>
    <row r="34" spans="1:12" x14ac:dyDescent="0.2">
      <c r="B34" s="32"/>
      <c r="C34" s="32"/>
      <c r="D34" s="32"/>
      <c r="E34" s="32"/>
      <c r="F34" s="32"/>
      <c r="H34" s="11"/>
      <c r="I34" s="31"/>
      <c r="J34" s="11"/>
      <c r="K34" s="11"/>
      <c r="L34" s="31"/>
    </row>
    <row r="35" spans="1:12" s="30" customFormat="1" x14ac:dyDescent="0.2">
      <c r="A35" s="30" t="str">
        <f>'Ind T1'!A12</f>
        <v>Non-marketed services</v>
      </c>
      <c r="B35" s="31">
        <f>'Ind T1'!B12</f>
        <v>125.80099999999987</v>
      </c>
      <c r="C35" s="31">
        <f>'Ind T1'!C12</f>
        <v>127.34200000000001</v>
      </c>
      <c r="D35" s="31">
        <f>'Ind T1'!D12</f>
        <v>126.54600000000022</v>
      </c>
      <c r="E35" s="31">
        <f>'Ind T1'!E12</f>
        <v>129.73600000000019</v>
      </c>
      <c r="F35" s="31">
        <f>'Ind T1'!F12</f>
        <v>134.6350000000001</v>
      </c>
      <c r="H35" s="31">
        <f t="shared" si="0"/>
        <v>1.5410000000001389</v>
      </c>
      <c r="I35" s="31">
        <f t="shared" si="1"/>
        <v>-0.79599999999979332</v>
      </c>
      <c r="J35" s="31">
        <f t="shared" si="2"/>
        <v>3.1899999999999693</v>
      </c>
      <c r="K35" s="31">
        <f t="shared" si="3"/>
        <v>4.8989999999999156</v>
      </c>
      <c r="L35" s="31">
        <f t="shared" si="4"/>
        <v>8.0889999999998849</v>
      </c>
    </row>
    <row r="36" spans="1:12" x14ac:dyDescent="0.2">
      <c r="A36" s="10" t="str">
        <f>'Ind T2'!A22</f>
        <v>Public admin. and defence</v>
      </c>
      <c r="B36" s="32">
        <f>'Ind T2'!B22</f>
        <v>17.710000000000008</v>
      </c>
      <c r="C36" s="32">
        <f>'Ind T2'!C22</f>
        <v>17.408999999999953</v>
      </c>
      <c r="D36" s="32">
        <f>'Ind T2'!D22</f>
        <v>18.051000000000062</v>
      </c>
      <c r="E36" s="32">
        <f>'Ind T2'!E22</f>
        <v>18.392000000000017</v>
      </c>
      <c r="F36" s="32">
        <f>'Ind T2'!F22</f>
        <v>19.091000000000012</v>
      </c>
      <c r="H36" s="11">
        <f t="shared" si="0"/>
        <v>-0.30100000000005522</v>
      </c>
      <c r="I36" s="31">
        <f t="shared" si="1"/>
        <v>0.64200000000010959</v>
      </c>
      <c r="J36" s="11">
        <f t="shared" si="2"/>
        <v>0.34099999999995489</v>
      </c>
      <c r="K36" s="11">
        <f t="shared" si="3"/>
        <v>0.69899999999999451</v>
      </c>
      <c r="L36" s="31">
        <f t="shared" si="4"/>
        <v>1.0399999999999494</v>
      </c>
    </row>
    <row r="37" spans="1:12" x14ac:dyDescent="0.2">
      <c r="A37" s="10" t="str">
        <f>'Ind T2'!A23</f>
        <v>Education</v>
      </c>
      <c r="B37" s="32">
        <f>'Ind T2'!B23</f>
        <v>45.402999999999956</v>
      </c>
      <c r="C37" s="32">
        <f>'Ind T2'!C23</f>
        <v>43.415000000000063</v>
      </c>
      <c r="D37" s="32">
        <f>'Ind T2'!D23</f>
        <v>43.085000000000015</v>
      </c>
      <c r="E37" s="32">
        <f>'Ind T2'!E23</f>
        <v>42.096000000000039</v>
      </c>
      <c r="F37" s="32">
        <f>'Ind T2'!F23</f>
        <v>42.527000000000065</v>
      </c>
      <c r="H37" s="11">
        <f t="shared" si="0"/>
        <v>-1.987999999999893</v>
      </c>
      <c r="I37" s="31">
        <f t="shared" si="1"/>
        <v>-0.33000000000004803</v>
      </c>
      <c r="J37" s="11">
        <f t="shared" si="2"/>
        <v>-0.9889999999999759</v>
      </c>
      <c r="K37" s="11">
        <f t="shared" si="3"/>
        <v>0.43100000000002581</v>
      </c>
      <c r="L37" s="31">
        <f t="shared" si="4"/>
        <v>-0.55799999999995009</v>
      </c>
    </row>
    <row r="38" spans="1:12" x14ac:dyDescent="0.2">
      <c r="A38" s="10" t="str">
        <f>'Ind T2'!A24</f>
        <v>Health and social work</v>
      </c>
      <c r="B38" s="32">
        <f>'Ind T2'!B24</f>
        <v>62.687999999999903</v>
      </c>
      <c r="C38" s="32">
        <f>'Ind T2'!C24</f>
        <v>66.518000000000001</v>
      </c>
      <c r="D38" s="32">
        <f>'Ind T2'!D24</f>
        <v>65.410000000000139</v>
      </c>
      <c r="E38" s="32">
        <f>'Ind T2'!E24</f>
        <v>69.248000000000133</v>
      </c>
      <c r="F38" s="32">
        <f>'Ind T2'!F24</f>
        <v>73.017000000000039</v>
      </c>
      <c r="H38" s="11">
        <f t="shared" si="0"/>
        <v>3.8300000000000978</v>
      </c>
      <c r="I38" s="31">
        <f t="shared" si="1"/>
        <v>-1.107999999999862</v>
      </c>
      <c r="J38" s="11">
        <f t="shared" si="2"/>
        <v>3.8379999999999939</v>
      </c>
      <c r="K38" s="11">
        <f t="shared" si="3"/>
        <v>3.768999999999906</v>
      </c>
      <c r="L38" s="31">
        <f t="shared" si="4"/>
        <v>7.6069999999998998</v>
      </c>
    </row>
    <row r="39" spans="1:12" x14ac:dyDescent="0.2">
      <c r="B39" s="32"/>
      <c r="C39" s="32"/>
      <c r="D39" s="32"/>
      <c r="E39" s="32"/>
      <c r="F39" s="32"/>
      <c r="H39" s="11"/>
      <c r="I39" s="11"/>
      <c r="J39" s="11"/>
      <c r="K39" s="11"/>
      <c r="L39" s="31"/>
    </row>
    <row r="40" spans="1:12" x14ac:dyDescent="0.2">
      <c r="A40" s="39" t="str">
        <f>'Ind T1'!A14</f>
        <v>All industries</v>
      </c>
      <c r="B40" s="33">
        <f>'Ind T1'!B14</f>
        <v>501.60500000000008</v>
      </c>
      <c r="C40" s="33">
        <f>'Ind T1'!C14</f>
        <v>513.76599999999985</v>
      </c>
      <c r="D40" s="33">
        <f>'Ind T1'!D14</f>
        <v>514.84500000000071</v>
      </c>
      <c r="E40" s="33">
        <f>'Ind T1'!E14</f>
        <v>520.37000000000035</v>
      </c>
      <c r="F40" s="33">
        <f>'Ind T1'!F14</f>
        <v>532.91199999999981</v>
      </c>
      <c r="G40" s="24"/>
      <c r="H40" s="34">
        <f t="shared" si="0"/>
        <v>12.160999999999774</v>
      </c>
      <c r="I40" s="34">
        <f>D40-C40</f>
        <v>1.0790000000008604</v>
      </c>
      <c r="J40" s="34">
        <f>E40-D40</f>
        <v>5.5249999999996362</v>
      </c>
      <c r="K40" s="34">
        <f>F40-E40</f>
        <v>12.541999999999462</v>
      </c>
      <c r="L40" s="205">
        <f t="shared" si="4"/>
        <v>18.066999999999098</v>
      </c>
    </row>
    <row r="44" spans="1:12" ht="15.75" x14ac:dyDescent="0.25">
      <c r="A44" s="19" t="str">
        <f>CONCATENATE(A1," (Continued)")</f>
        <v>Industry Table 4  Employment by Industry Group in Sector (SIC 2007), 2015-2035, Greater Lincolnshire (Continued)</v>
      </c>
    </row>
    <row r="46" spans="1:12" x14ac:dyDescent="0.2">
      <c r="L46" s="16" t="s">
        <v>21</v>
      </c>
    </row>
    <row r="47" spans="1:12" x14ac:dyDescent="0.2">
      <c r="A47" s="36"/>
      <c r="B47" s="28" t="s">
        <v>15</v>
      </c>
      <c r="C47" s="28"/>
      <c r="D47" s="28"/>
      <c r="E47" s="28"/>
      <c r="F47" s="28"/>
      <c r="G47" s="28"/>
      <c r="H47" s="28" t="s">
        <v>14</v>
      </c>
      <c r="I47" s="28"/>
      <c r="J47" s="28"/>
      <c r="K47" s="28"/>
      <c r="L47" s="28"/>
    </row>
    <row r="48" spans="1:12" x14ac:dyDescent="0.2">
      <c r="A48" s="24"/>
      <c r="B48" s="37" t="str">
        <f>H5</f>
        <v>2015-2019</v>
      </c>
      <c r="C48" s="37" t="str">
        <f>I5</f>
        <v>2019-2020</v>
      </c>
      <c r="D48" s="37" t="str">
        <f>J5</f>
        <v>2020-2025</v>
      </c>
      <c r="E48" s="37" t="str">
        <f>K5</f>
        <v>2025-2035</v>
      </c>
      <c r="F48" s="37" t="str">
        <f>L5</f>
        <v>2020-2035</v>
      </c>
      <c r="G48" s="41"/>
      <c r="H48" s="42">
        <f>B5</f>
        <v>2015</v>
      </c>
      <c r="I48" s="42">
        <f>C5</f>
        <v>2019</v>
      </c>
      <c r="J48" s="42">
        <f>D5</f>
        <v>2020</v>
      </c>
      <c r="K48" s="42">
        <f>E5</f>
        <v>2025</v>
      </c>
      <c r="L48" s="42">
        <f>F5</f>
        <v>2035</v>
      </c>
    </row>
    <row r="50" spans="1:12" s="30" customFormat="1" x14ac:dyDescent="0.2">
      <c r="A50" s="30" t="str">
        <f>A7</f>
        <v>Primary sector and utilities</v>
      </c>
      <c r="B50" s="44">
        <f>IF(AND(C$5-B$5 &lt;&gt; 0,B7&lt;&gt;0,C7&lt;&gt;0),(EXP(LN(C7/B7)/(C$5-B$5))-1)*100,0)</f>
        <v>-1.2807603518351418</v>
      </c>
      <c r="C50" s="44">
        <f t="shared" ref="B50:E54" si="17">IF(AND(D$5-C$5 &lt;&gt; 0,C7&lt;&gt;0,D7&lt;&gt;0),(EXP(LN(D7/C7)/(D$5-C$5))-1)*100,0)</f>
        <v>14.523133008095645</v>
      </c>
      <c r="D50" s="44">
        <f t="shared" si="17"/>
        <v>-8.8162054912033216E-2</v>
      </c>
      <c r="E50" s="44">
        <f t="shared" si="17"/>
        <v>-0.12910939706926028</v>
      </c>
      <c r="F50" s="44">
        <f>IF(AND(F$5-D$5 &lt;&gt; 0,D7&lt;&gt;0,F7&lt;&gt;0),(EXP(LN(F7/D7)/(F$5-D$5))-1)*100,0)</f>
        <v>-0.11546214798360266</v>
      </c>
      <c r="H50" s="44">
        <f>(B7/B$40)*100</f>
        <v>3.9154314649973618</v>
      </c>
      <c r="I50" s="44">
        <f>(C7/C$40)*100</f>
        <v>3.6306411868438104</v>
      </c>
      <c r="J50" s="44">
        <f>(D7/D$40)*100</f>
        <v>4.1492099563946443</v>
      </c>
      <c r="K50" s="44">
        <f>(E7/E$40)*100</f>
        <v>4.087091876933723</v>
      </c>
      <c r="L50" s="44">
        <f>(F7/F$40)*100</f>
        <v>3.9396748431260771</v>
      </c>
    </row>
    <row r="51" spans="1:12" x14ac:dyDescent="0.2">
      <c r="A51" t="str">
        <f>A8</f>
        <v>Agriculture</v>
      </c>
      <c r="B51" s="40">
        <f t="shared" si="17"/>
        <v>-2.3664127492023512</v>
      </c>
      <c r="C51" s="44">
        <f t="shared" si="17"/>
        <v>27.309058614565473</v>
      </c>
      <c r="D51" s="40">
        <f t="shared" si="17"/>
        <v>-0.11887314225126344</v>
      </c>
      <c r="E51" s="40">
        <f t="shared" si="17"/>
        <v>-0.25985986534089456</v>
      </c>
      <c r="F51" s="44">
        <f t="shared" ref="F51:F83" si="18">IF(AND(F$5-D$5 &lt;&gt; 0,D8&lt;&gt;0,F8&lt;&gt;0),(EXP(LN(F8/D8)/(F$5-D$5))-1)*100,0)</f>
        <v>-0.21288641698670174</v>
      </c>
      <c r="H51" s="40">
        <f t="shared" ref="H51:L54" si="19">(B8/B$7)*100</f>
        <v>63.095723014256677</v>
      </c>
      <c r="I51" s="40">
        <f t="shared" si="19"/>
        <v>60.365624832466558</v>
      </c>
      <c r="J51" s="40">
        <f t="shared" si="19"/>
        <v>67.105139968167776</v>
      </c>
      <c r="K51" s="40">
        <f t="shared" si="19"/>
        <v>67.002068835809652</v>
      </c>
      <c r="L51" s="40">
        <f t="shared" si="19"/>
        <v>66.130030959752375</v>
      </c>
    </row>
    <row r="52" spans="1:12" x14ac:dyDescent="0.2">
      <c r="A52" t="str">
        <f>A9</f>
        <v>Mining and quarrying</v>
      </c>
      <c r="B52" s="40">
        <f>IF(AND(C$5-B$5 &lt;&gt; 0,B9&lt;&gt;0,C9&lt;&gt;0),(EXP(LN(C9/B9)/(C$5-B$5))-1)*100,0)</f>
        <v>7.0957241802687809</v>
      </c>
      <c r="C52" s="44">
        <f t="shared" si="17"/>
        <v>-1.2847965738756795</v>
      </c>
      <c r="D52" s="40">
        <f t="shared" si="17"/>
        <v>-4.1222273876092004</v>
      </c>
      <c r="E52" s="40">
        <f t="shared" si="17"/>
        <v>-3.1749641787478744</v>
      </c>
      <c r="F52" s="44">
        <f t="shared" si="18"/>
        <v>-3.4917539161036459</v>
      </c>
      <c r="H52" s="40">
        <f t="shared" si="19"/>
        <v>3.6150712830957175</v>
      </c>
      <c r="I52" s="40">
        <f t="shared" si="19"/>
        <v>5.0072374416983862</v>
      </c>
      <c r="J52" s="40">
        <f t="shared" si="19"/>
        <v>4.3160752738507533</v>
      </c>
      <c r="K52" s="40">
        <f t="shared" si="19"/>
        <v>3.512318976866649</v>
      </c>
      <c r="L52" s="40">
        <f t="shared" si="19"/>
        <v>2.5768040009526034</v>
      </c>
    </row>
    <row r="53" spans="1:12" x14ac:dyDescent="0.2">
      <c r="A53" t="str">
        <f>A10</f>
        <v>Electricity and gas</v>
      </c>
      <c r="B53" s="40">
        <f t="shared" si="17"/>
        <v>1.1742212271355967</v>
      </c>
      <c r="C53" s="44">
        <f t="shared" si="17"/>
        <v>-2.943340691685048</v>
      </c>
      <c r="D53" s="40">
        <f t="shared" si="17"/>
        <v>-0.69184200905016979</v>
      </c>
      <c r="E53" s="40">
        <f t="shared" si="17"/>
        <v>-6.2972498274238564E-2</v>
      </c>
      <c r="F53" s="44">
        <f t="shared" si="18"/>
        <v>-0.27303690777481515</v>
      </c>
      <c r="H53" s="40">
        <f t="shared" si="19"/>
        <v>6.6038696537678288</v>
      </c>
      <c r="I53" s="40">
        <f t="shared" si="19"/>
        <v>7.2856913097089153</v>
      </c>
      <c r="J53" s="40">
        <f t="shared" si="19"/>
        <v>6.1745154948038534</v>
      </c>
      <c r="K53" s="40">
        <f t="shared" si="19"/>
        <v>5.9902200488997401</v>
      </c>
      <c r="L53" s="40">
        <f t="shared" si="19"/>
        <v>6.0300071445582217</v>
      </c>
    </row>
    <row r="54" spans="1:12" x14ac:dyDescent="0.2">
      <c r="A54" t="str">
        <f>A11</f>
        <v>Water and sewerage</v>
      </c>
      <c r="B54" s="40">
        <f t="shared" si="17"/>
        <v>-0.67947555666799664</v>
      </c>
      <c r="C54" s="44">
        <f t="shared" si="17"/>
        <v>-6.1568627450978131</v>
      </c>
      <c r="D54" s="40">
        <f t="shared" si="17"/>
        <v>0.86658818003633176</v>
      </c>
      <c r="E54" s="40">
        <f t="shared" si="17"/>
        <v>0.59801622524462417</v>
      </c>
      <c r="F54" s="44">
        <f t="shared" si="18"/>
        <v>0.6874606591248833</v>
      </c>
      <c r="H54" s="40">
        <f t="shared" si="19"/>
        <v>26.685336048879776</v>
      </c>
      <c r="I54" s="40">
        <f t="shared" si="19"/>
        <v>27.341446416126153</v>
      </c>
      <c r="J54" s="40">
        <f t="shared" si="19"/>
        <v>22.404269263177625</v>
      </c>
      <c r="K54" s="40">
        <f t="shared" si="19"/>
        <v>23.495392138423966</v>
      </c>
      <c r="L54" s="40">
        <f t="shared" si="19"/>
        <v>25.263157894736793</v>
      </c>
    </row>
    <row r="55" spans="1:12" x14ac:dyDescent="0.2">
      <c r="B55" s="40"/>
      <c r="C55" s="44"/>
      <c r="D55" s="40"/>
      <c r="E55" s="40"/>
      <c r="F55" s="44"/>
      <c r="H55" s="40"/>
      <c r="I55" s="40"/>
      <c r="J55" s="40"/>
      <c r="K55" s="40"/>
      <c r="L55" s="40"/>
    </row>
    <row r="56" spans="1:12" s="30" customFormat="1" x14ac:dyDescent="0.2">
      <c r="A56" s="30" t="str">
        <f>A13</f>
        <v>Manufacturing</v>
      </c>
      <c r="B56" s="44">
        <f t="shared" ref="B56:E59" si="20">IF(AND(C$5-B$5 &lt;&gt; 0,B13&lt;&gt;0,C13&lt;&gt;0),(EXP(LN(C13/B13)/(C$5-B$5))-1)*100,0)</f>
        <v>-0.37828804135457972</v>
      </c>
      <c r="C56" s="44">
        <f t="shared" si="20"/>
        <v>0.12214684110614105</v>
      </c>
      <c r="D56" s="44">
        <f t="shared" si="20"/>
        <v>-0.6220906179218888</v>
      </c>
      <c r="E56" s="44">
        <f t="shared" si="20"/>
        <v>-0.5890393560136431</v>
      </c>
      <c r="F56" s="44">
        <f t="shared" si="18"/>
        <v>-0.60005766449598985</v>
      </c>
      <c r="H56" s="44">
        <f>(B13/B$40)*100</f>
        <v>13.75365078099304</v>
      </c>
      <c r="I56" s="44">
        <f>(C13/C$40)*100</f>
        <v>13.226060112969718</v>
      </c>
      <c r="J56" s="44">
        <f>(D13/D$40)*100</f>
        <v>13.214462605250111</v>
      </c>
      <c r="K56" s="44">
        <f>(E13/E$40)*100</f>
        <v>12.672521475104235</v>
      </c>
      <c r="L56" s="44">
        <f>(F13/F$40)*100</f>
        <v>11.664402377878524</v>
      </c>
    </row>
    <row r="57" spans="1:12" x14ac:dyDescent="0.2">
      <c r="A57" t="str">
        <f>A14</f>
        <v>Food drink and tobacco</v>
      </c>
      <c r="B57" s="40">
        <f t="shared" si="20"/>
        <v>1.8439338667604055</v>
      </c>
      <c r="C57" s="44">
        <f t="shared" si="20"/>
        <v>0.36569148936178575</v>
      </c>
      <c r="D57" s="40">
        <f t="shared" si="20"/>
        <v>0.67805592308813889</v>
      </c>
      <c r="E57" s="40">
        <f t="shared" si="20"/>
        <v>8.3744228464510684E-2</v>
      </c>
      <c r="F57" s="44">
        <f t="shared" si="18"/>
        <v>0.2814572920113223</v>
      </c>
      <c r="H57" s="40">
        <f t="shared" ref="H57:L59" si="21">(B14/B$13)*100</f>
        <v>32.422560118279641</v>
      </c>
      <c r="I57" s="40">
        <f t="shared" si="21"/>
        <v>35.413754028638323</v>
      </c>
      <c r="J57" s="40">
        <f t="shared" si="21"/>
        <v>35.499897110268435</v>
      </c>
      <c r="K57" s="40">
        <f t="shared" si="21"/>
        <v>37.883658862064742</v>
      </c>
      <c r="L57" s="40">
        <f t="shared" si="21"/>
        <v>40.5270185486077</v>
      </c>
    </row>
    <row r="58" spans="1:12" x14ac:dyDescent="0.2">
      <c r="A58" t="str">
        <f>A15</f>
        <v>Engineering</v>
      </c>
      <c r="B58" s="40">
        <f t="shared" si="20"/>
        <v>-7.6321082579061006</v>
      </c>
      <c r="C58" s="44">
        <f t="shared" si="20"/>
        <v>-4.2800145085237995</v>
      </c>
      <c r="D58" s="40">
        <f t="shared" si="20"/>
        <v>-0.11013242589923422</v>
      </c>
      <c r="E58" s="40">
        <f t="shared" si="20"/>
        <v>-1.0734483368883385</v>
      </c>
      <c r="F58" s="44">
        <f t="shared" si="18"/>
        <v>-0.75337970548389199</v>
      </c>
      <c r="H58" s="40">
        <f t="shared" si="21"/>
        <v>10.980011306150256</v>
      </c>
      <c r="I58" s="40">
        <f t="shared" si="21"/>
        <v>8.1146708657709077</v>
      </c>
      <c r="J58" s="40">
        <f t="shared" si="21"/>
        <v>7.7578857630008295</v>
      </c>
      <c r="K58" s="40">
        <f t="shared" si="21"/>
        <v>7.9597840592017635</v>
      </c>
      <c r="L58" s="40">
        <f t="shared" si="21"/>
        <v>7.580315631987891</v>
      </c>
    </row>
    <row r="59" spans="1:12" x14ac:dyDescent="0.2">
      <c r="A59" t="str">
        <f>A16</f>
        <v>Rest of manufacturing</v>
      </c>
      <c r="B59" s="40">
        <f t="shared" si="20"/>
        <v>-0.43371550029991379</v>
      </c>
      <c r="C59" s="44">
        <f t="shared" si="20"/>
        <v>0.60198577124546127</v>
      </c>
      <c r="D59" s="40">
        <f t="shared" si="20"/>
        <v>-1.5447667584736369</v>
      </c>
      <c r="E59" s="40">
        <f t="shared" si="20"/>
        <v>-1.0126349168102067</v>
      </c>
      <c r="F59" s="44">
        <f t="shared" si="18"/>
        <v>-1.1903309956480146</v>
      </c>
      <c r="H59" s="40">
        <f t="shared" si="21"/>
        <v>56.59742857557012</v>
      </c>
      <c r="I59" s="40">
        <f t="shared" si="21"/>
        <v>56.471575105590766</v>
      </c>
      <c r="J59" s="40">
        <f t="shared" si="21"/>
        <v>56.742217126730722</v>
      </c>
      <c r="K59" s="40">
        <f t="shared" si="21"/>
        <v>54.156557078733499</v>
      </c>
      <c r="L59" s="40">
        <f t="shared" si="21"/>
        <v>51.892665819404407</v>
      </c>
    </row>
    <row r="60" spans="1:12" x14ac:dyDescent="0.2">
      <c r="B60" s="40"/>
      <c r="C60" s="44"/>
      <c r="D60" s="40"/>
      <c r="E60" s="40"/>
      <c r="F60" s="44"/>
      <c r="H60" s="40"/>
      <c r="I60" s="40"/>
      <c r="J60" s="40"/>
      <c r="K60" s="40"/>
      <c r="L60" s="40"/>
    </row>
    <row r="61" spans="1:12" s="30" customFormat="1" x14ac:dyDescent="0.2">
      <c r="A61" s="30" t="str">
        <f>A18</f>
        <v>Construction</v>
      </c>
      <c r="B61" s="44">
        <f>IF(AND(C$5-B$5 &lt;&gt; 0,B18&lt;&gt;0,C18&lt;&gt;0),(EXP(LN(C18/B18)/(C$5-B$5))-1)*100,0)</f>
        <v>-0.45629218228173674</v>
      </c>
      <c r="C61" s="44">
        <f>IF(AND(D$5-C$5 &lt;&gt; 0,C18&lt;&gt;0,D18&lt;&gt;0),(EXP(LN(D18/C18)/(D$5-C$5))-1)*100,0)</f>
        <v>-1.7075002889168411</v>
      </c>
      <c r="D61" s="44">
        <f>IF(AND(E$5-D$5 &lt;&gt; 0,D18&lt;&gt;0,E18&lt;&gt;0),(EXP(LN(E18/D18)/(E$5-D$5))-1)*100,0)</f>
        <v>0.20374756960739315</v>
      </c>
      <c r="E61" s="44">
        <f>IF(AND(F$5-E$5 &lt;&gt; 0,E18&lt;&gt;0,F18&lt;&gt;0),(EXP(LN(F18/E18)/(F$5-E$5))-1)*100,0)</f>
        <v>0.36013475311340581</v>
      </c>
      <c r="F61" s="44">
        <f t="shared" si="18"/>
        <v>0.30797859160296426</v>
      </c>
      <c r="H61" s="44">
        <f>(B18/B$40)*100</f>
        <v>7.0276412715184335</v>
      </c>
      <c r="I61" s="44">
        <f>(C18/C$40)*100</f>
        <v>6.7369191421775598</v>
      </c>
      <c r="J61" s="44">
        <f>(D18/D$40)*100</f>
        <v>6.6080082354883523</v>
      </c>
      <c r="K61" s="44">
        <f>(E18/E$40)*100</f>
        <v>6.6047235620808209</v>
      </c>
      <c r="L61" s="44">
        <f>(F18/F$40)*100</f>
        <v>6.6853439216981423</v>
      </c>
    </row>
    <row r="62" spans="1:12" x14ac:dyDescent="0.2">
      <c r="B62" s="40"/>
      <c r="C62" s="44"/>
      <c r="D62" s="40"/>
      <c r="E62" s="40"/>
      <c r="F62" s="44"/>
      <c r="H62" s="40"/>
      <c r="I62" s="40"/>
      <c r="J62" s="40"/>
      <c r="K62" s="40"/>
      <c r="L62" s="40"/>
    </row>
    <row r="63" spans="1:12" s="30" customFormat="1" x14ac:dyDescent="0.2">
      <c r="A63" s="30" t="str">
        <f>A20</f>
        <v>Trade, accomod. and transport</v>
      </c>
      <c r="B63" s="44">
        <f t="shared" ref="B63:E66" si="22">IF(AND(C$5-B$5 &lt;&gt; 0,B20&lt;&gt;0,C20&lt;&gt;0),(EXP(LN(C20/B20)/(C$5-B$5))-1)*100,0)</f>
        <v>0.5597652366129191</v>
      </c>
      <c r="C63" s="44">
        <f t="shared" si="22"/>
        <v>-1.4346672501980851</v>
      </c>
      <c r="D63" s="44">
        <f t="shared" si="22"/>
        <v>0.34683439585330156</v>
      </c>
      <c r="E63" s="44">
        <f t="shared" si="22"/>
        <v>0.32290696554708731</v>
      </c>
      <c r="F63" s="44">
        <f t="shared" si="18"/>
        <v>0.33088214164520569</v>
      </c>
      <c r="H63" s="44">
        <f>(B20/B$40)*100</f>
        <v>28.509883274688246</v>
      </c>
      <c r="I63" s="44">
        <f>(C20/C$40)*100</f>
        <v>28.463541768042251</v>
      </c>
      <c r="J63" s="44">
        <f>(D20/D$40)*100</f>
        <v>27.996387262185713</v>
      </c>
      <c r="K63" s="44">
        <f>(E20/E$40)*100</f>
        <v>28.182831446855122</v>
      </c>
      <c r="L63" s="44">
        <f>(F20/F$40)*100</f>
        <v>28.421202750172625</v>
      </c>
    </row>
    <row r="64" spans="1:12" x14ac:dyDescent="0.2">
      <c r="A64" t="str">
        <f>A21</f>
        <v>Wholesale and retail trade</v>
      </c>
      <c r="B64" s="40">
        <f t="shared" si="22"/>
        <v>0.65171850211787064</v>
      </c>
      <c r="C64" s="44">
        <f t="shared" si="22"/>
        <v>-4.0763716407894552</v>
      </c>
      <c r="D64" s="40">
        <f t="shared" si="22"/>
        <v>0.25589645794761307</v>
      </c>
      <c r="E64" s="40">
        <f t="shared" si="22"/>
        <v>0.17954985131480861</v>
      </c>
      <c r="F64" s="44">
        <f t="shared" si="18"/>
        <v>0.20499225808650046</v>
      </c>
      <c r="H64" s="40">
        <f t="shared" ref="H64:L66" si="23">(B21/B$20)*100</f>
        <v>57.881082744201386</v>
      </c>
      <c r="I64" s="40">
        <f t="shared" si="23"/>
        <v>58.093082414726894</v>
      </c>
      <c r="J64" s="40">
        <f t="shared" si="23"/>
        <v>56.536097351149571</v>
      </c>
      <c r="K64" s="40">
        <f t="shared" si="23"/>
        <v>56.280385939790719</v>
      </c>
      <c r="L64" s="40">
        <f t="shared" si="23"/>
        <v>55.481315198732403</v>
      </c>
    </row>
    <row r="65" spans="1:12" x14ac:dyDescent="0.2">
      <c r="A65" t="str">
        <f>A22</f>
        <v>Transport and storage</v>
      </c>
      <c r="B65" s="40">
        <f>IF(AND(C$5-B$5 &lt;&gt; 0,B22&lt;&gt;0,C22&lt;&gt;0),(EXP(LN(C22/B22)/(C$5-B$5))-1)*100,0)</f>
        <v>-0.26266769698625181</v>
      </c>
      <c r="C65" s="44">
        <f t="shared" si="22"/>
        <v>10.73877503583509</v>
      </c>
      <c r="D65" s="40">
        <f t="shared" si="22"/>
        <v>0.72408874660359057</v>
      </c>
      <c r="E65" s="40">
        <f t="shared" si="22"/>
        <v>0.11714667133402301</v>
      </c>
      <c r="F65" s="44">
        <f t="shared" si="18"/>
        <v>0.31905323709113809</v>
      </c>
      <c r="H65" s="40">
        <f t="shared" si="23"/>
        <v>18.241065122686312</v>
      </c>
      <c r="I65" s="40">
        <f t="shared" si="23"/>
        <v>17.651604256133897</v>
      </c>
      <c r="J65" s="40">
        <f t="shared" si="23"/>
        <v>19.831689075746862</v>
      </c>
      <c r="K65" s="40">
        <f t="shared" si="23"/>
        <v>20.207289216187636</v>
      </c>
      <c r="L65" s="40">
        <f t="shared" si="23"/>
        <v>19.796645979136393</v>
      </c>
    </row>
    <row r="66" spans="1:12" x14ac:dyDescent="0.2">
      <c r="A66" t="str">
        <f>A23</f>
        <v>Accommodation and food</v>
      </c>
      <c r="B66" s="40">
        <f t="shared" si="22"/>
        <v>0.9548431741309038</v>
      </c>
      <c r="C66" s="44">
        <f t="shared" si="22"/>
        <v>-3.966732449957544</v>
      </c>
      <c r="D66" s="40">
        <f t="shared" si="22"/>
        <v>0.24481312993274162</v>
      </c>
      <c r="E66" s="40">
        <f t="shared" si="22"/>
        <v>0.82749531898316242</v>
      </c>
      <c r="F66" s="44">
        <f t="shared" si="18"/>
        <v>0.63289256999830013</v>
      </c>
      <c r="H66" s="40">
        <f t="shared" si="23"/>
        <v>23.877852133112317</v>
      </c>
      <c r="I66" s="40">
        <f t="shared" si="23"/>
        <v>24.25531332913922</v>
      </c>
      <c r="J66" s="40">
        <f t="shared" si="23"/>
        <v>23.632213573103559</v>
      </c>
      <c r="K66" s="40">
        <f t="shared" si="23"/>
        <v>23.512324844021631</v>
      </c>
      <c r="L66" s="40">
        <f t="shared" si="23"/>
        <v>24.722038822131204</v>
      </c>
    </row>
    <row r="67" spans="1:12" x14ac:dyDescent="0.2">
      <c r="B67" s="40"/>
      <c r="C67" s="44"/>
      <c r="D67" s="40"/>
      <c r="E67" s="40"/>
      <c r="F67" s="44"/>
      <c r="H67" s="40"/>
      <c r="I67" s="40"/>
      <c r="J67" s="40"/>
      <c r="K67" s="40"/>
      <c r="L67" s="40"/>
    </row>
    <row r="68" spans="1:12" s="30" customFormat="1" x14ac:dyDescent="0.2">
      <c r="A68" s="30" t="str">
        <f>A25</f>
        <v>Business and other services</v>
      </c>
      <c r="B68" s="44">
        <f t="shared" ref="B68:E71" si="24">IF(AND(C$5-B$5 &lt;&gt; 0,B25&lt;&gt;0,C25&lt;&gt;0),(EXP(LN(C25/B25)/(C$5-B$5))-1)*100,0)</f>
        <v>2.2320978810358882</v>
      </c>
      <c r="C68" s="44">
        <f t="shared" si="24"/>
        <v>1.4894260834482864</v>
      </c>
      <c r="D68" s="44">
        <f t="shared" si="24"/>
        <v>0.27247911574488359</v>
      </c>
      <c r="E68" s="44">
        <f t="shared" si="24"/>
        <v>0.45119306020870997</v>
      </c>
      <c r="F68" s="44">
        <f t="shared" si="18"/>
        <v>0.39158638240996968</v>
      </c>
      <c r="H68" s="44">
        <f>(B25/B$40)*100</f>
        <v>21.713699026126129</v>
      </c>
      <c r="I68" s="44">
        <f>(C25/C$40)*100</f>
        <v>23.156845723539522</v>
      </c>
      <c r="J68" s="44">
        <f>(D25/D$40)*100</f>
        <v>23.452495411240264</v>
      </c>
      <c r="K68" s="44">
        <f>(E25/E$40)*100</f>
        <v>23.52134058458406</v>
      </c>
      <c r="L68" s="44">
        <f>(F25/F$40)*100</f>
        <v>24.02535503047406</v>
      </c>
    </row>
    <row r="69" spans="1:12" x14ac:dyDescent="0.2">
      <c r="A69" t="str">
        <f>A26</f>
        <v>Media</v>
      </c>
      <c r="B69" s="40">
        <f t="shared" si="24"/>
        <v>8.7273237525518521</v>
      </c>
      <c r="C69" s="44">
        <f t="shared" si="24"/>
        <v>-24.537354352296049</v>
      </c>
      <c r="D69" s="40">
        <f t="shared" si="24"/>
        <v>-0.3107353098448451</v>
      </c>
      <c r="E69" s="40">
        <f t="shared" si="24"/>
        <v>0.16936751825513685</v>
      </c>
      <c r="F69" s="44">
        <f t="shared" si="18"/>
        <v>9.0768825795173314E-3</v>
      </c>
      <c r="H69" s="40">
        <f t="shared" ref="H69:L71" si="25">(B26/B$25)*100</f>
        <v>1.9170561069438219</v>
      </c>
      <c r="I69" s="40">
        <f t="shared" si="25"/>
        <v>2.4526779410281447</v>
      </c>
      <c r="J69" s="40">
        <f t="shared" si="25"/>
        <v>1.8236931027628724</v>
      </c>
      <c r="K69" s="40">
        <f t="shared" si="25"/>
        <v>1.7712707723982406</v>
      </c>
      <c r="L69" s="40">
        <f t="shared" si="25"/>
        <v>1.7221987909461576</v>
      </c>
    </row>
    <row r="70" spans="1:12" x14ac:dyDescent="0.2">
      <c r="A70" t="str">
        <f>A27</f>
        <v>Information technology</v>
      </c>
      <c r="B70" s="40">
        <f t="shared" si="24"/>
        <v>3.019264950020295</v>
      </c>
      <c r="C70" s="44">
        <f t="shared" si="24"/>
        <v>-9.5135671740567478</v>
      </c>
      <c r="D70" s="40">
        <f t="shared" si="24"/>
        <v>1.5699644396315771</v>
      </c>
      <c r="E70" s="40">
        <f t="shared" si="24"/>
        <v>0.74261526368695208</v>
      </c>
      <c r="F70" s="44">
        <f t="shared" si="18"/>
        <v>1.0176467915485432</v>
      </c>
      <c r="H70" s="40">
        <f t="shared" si="25"/>
        <v>4.9266872939945214</v>
      </c>
      <c r="I70" s="40">
        <f t="shared" si="25"/>
        <v>5.0801869347409463</v>
      </c>
      <c r="J70" s="40">
        <f t="shared" si="25"/>
        <v>4.5294176108129633</v>
      </c>
      <c r="K70" s="40">
        <f t="shared" si="25"/>
        <v>4.8301442834033246</v>
      </c>
      <c r="L70" s="40">
        <f t="shared" si="25"/>
        <v>4.9721167814799161</v>
      </c>
    </row>
    <row r="71" spans="1:12" x14ac:dyDescent="0.2">
      <c r="A71" t="str">
        <f>A28</f>
        <v>Finance and insurance</v>
      </c>
      <c r="B71" s="40">
        <f t="shared" si="24"/>
        <v>-7.6437883473313146</v>
      </c>
      <c r="C71" s="44">
        <f t="shared" si="24"/>
        <v>10.336377812430086</v>
      </c>
      <c r="D71" s="40">
        <f t="shared" si="24"/>
        <v>-0.20271806755525201</v>
      </c>
      <c r="E71" s="40">
        <f t="shared" si="24"/>
        <v>-0.55838855513282715</v>
      </c>
      <c r="F71" s="44">
        <f t="shared" si="18"/>
        <v>-0.43997279222682817</v>
      </c>
      <c r="H71" s="40">
        <f t="shared" si="25"/>
        <v>5.6648640708062006</v>
      </c>
      <c r="I71" s="40">
        <f t="shared" si="25"/>
        <v>3.7731567091416465</v>
      </c>
      <c r="J71" s="40">
        <f t="shared" si="25"/>
        <v>4.102067183462518</v>
      </c>
      <c r="K71" s="40">
        <f t="shared" si="25"/>
        <v>4.005784408241956</v>
      </c>
      <c r="L71" s="40">
        <f t="shared" si="25"/>
        <v>3.6209131949325921</v>
      </c>
    </row>
    <row r="72" spans="1:12" x14ac:dyDescent="0.2">
      <c r="A72" t="str">
        <f t="shared" ref="A72:A76" si="26">A29</f>
        <v>Real estate</v>
      </c>
      <c r="B72" s="40">
        <f t="shared" ref="B72:E72" si="27">IF(AND(C$5-B$5 &lt;&gt; 0,B29&lt;&gt;0,C29&lt;&gt;0),(EXP(LN(C29/B29)/(C$5-B$5))-1)*100,0)</f>
        <v>5.4306440480843543</v>
      </c>
      <c r="C72" s="44">
        <f t="shared" si="27"/>
        <v>7.9639791754607892</v>
      </c>
      <c r="D72" s="40">
        <f t="shared" si="27"/>
        <v>-1.3964703216004626</v>
      </c>
      <c r="E72" s="40">
        <f t="shared" si="27"/>
        <v>0.82962943981839121</v>
      </c>
      <c r="F72" s="44">
        <f t="shared" si="18"/>
        <v>8.2067375480954219E-2</v>
      </c>
      <c r="H72" s="40">
        <f t="shared" ref="H72:L72" si="28">(B29/B$25)*100</f>
        <v>5.2810855972896924</v>
      </c>
      <c r="I72" s="40">
        <f t="shared" si="28"/>
        <v>5.973674478028439</v>
      </c>
      <c r="J72" s="40">
        <f t="shared" si="28"/>
        <v>6.3547671105810526</v>
      </c>
      <c r="K72" s="40">
        <f t="shared" si="28"/>
        <v>5.8432327325609901</v>
      </c>
      <c r="L72" s="40">
        <f t="shared" si="28"/>
        <v>6.0671384163581559</v>
      </c>
    </row>
    <row r="73" spans="1:12" x14ac:dyDescent="0.2">
      <c r="A73" t="str">
        <f t="shared" si="26"/>
        <v>Professional services</v>
      </c>
      <c r="B73" s="40">
        <f t="shared" ref="B73:E73" si="29">IF(AND(C$5-B$5 &lt;&gt; 0,B30&lt;&gt;0,C30&lt;&gt;0),(EXP(LN(C30/B30)/(C$5-B$5))-1)*100,0)</f>
        <v>2.6853138624562511</v>
      </c>
      <c r="C73" s="44">
        <f t="shared" si="29"/>
        <v>6.9089415871059545</v>
      </c>
      <c r="D73" s="40">
        <f t="shared" si="29"/>
        <v>0.73988240769864433</v>
      </c>
      <c r="E73" s="40">
        <f t="shared" si="29"/>
        <v>0.57241062497352946</v>
      </c>
      <c r="F73" s="44">
        <f t="shared" si="18"/>
        <v>0.62820359543860338</v>
      </c>
      <c r="H73" s="40">
        <f t="shared" ref="H73:L73" si="30">(B30/B$25)*100</f>
        <v>24.13213731557062</v>
      </c>
      <c r="I73" s="40">
        <f t="shared" si="30"/>
        <v>24.56292236828839</v>
      </c>
      <c r="J73" s="40">
        <f t="shared" si="30"/>
        <v>25.874577618763684</v>
      </c>
      <c r="K73" s="40">
        <f t="shared" si="30"/>
        <v>26.483275870520711</v>
      </c>
      <c r="L73" s="40">
        <f t="shared" si="30"/>
        <v>26.804598778449456</v>
      </c>
    </row>
    <row r="74" spans="1:12" x14ac:dyDescent="0.2">
      <c r="A74" t="str">
        <f t="shared" si="26"/>
        <v>Support services</v>
      </c>
      <c r="B74" s="40">
        <f t="shared" ref="B74:E74" si="31">IF(AND(C$5-B$5 &lt;&gt; 0,B31&lt;&gt;0,C31&lt;&gt;0),(EXP(LN(C31/B31)/(C$5-B$5))-1)*100,0)</f>
        <v>0.78168748664753096</v>
      </c>
      <c r="C74" s="44">
        <f t="shared" si="31"/>
        <v>1.1852609034270767</v>
      </c>
      <c r="D74" s="40">
        <f t="shared" si="31"/>
        <v>1.3312483243939743</v>
      </c>
      <c r="E74" s="40">
        <f t="shared" si="31"/>
        <v>0.66103156569929933</v>
      </c>
      <c r="F74" s="44">
        <f t="shared" si="18"/>
        <v>0.88394315485351704</v>
      </c>
      <c r="H74" s="40">
        <f>(B31/B$25)*100</f>
        <v>36.567294361761654</v>
      </c>
      <c r="I74" s="40">
        <f t="shared" ref="I74:L74" si="32">(C31/C$25)*100</f>
        <v>34.535857176478466</v>
      </c>
      <c r="J74" s="40">
        <f t="shared" si="32"/>
        <v>34.432352746306279</v>
      </c>
      <c r="K74" s="40">
        <f t="shared" si="32"/>
        <v>36.288991650190425</v>
      </c>
      <c r="L74" s="40">
        <f t="shared" si="32"/>
        <v>37.05421997281973</v>
      </c>
    </row>
    <row r="75" spans="1:12" x14ac:dyDescent="0.2">
      <c r="A75" t="str">
        <f t="shared" si="26"/>
        <v>Arts and entertainment</v>
      </c>
      <c r="B75" s="40">
        <f t="shared" ref="B75:E75" si="33">IF(AND(C$5-B$5 &lt;&gt; 0,B32&lt;&gt;0,C32&lt;&gt;0),(EXP(LN(C32/B32)/(C$5-B$5))-1)*100,0)</f>
        <v>3.0966186338607926</v>
      </c>
      <c r="C75" s="44">
        <f t="shared" si="33"/>
        <v>-9.994512816492918</v>
      </c>
      <c r="D75" s="40">
        <f t="shared" si="33"/>
        <v>-1.6695245627798339</v>
      </c>
      <c r="E75" s="40">
        <f t="shared" si="33"/>
        <v>0.19533698442346648</v>
      </c>
      <c r="F75" s="44">
        <f t="shared" si="18"/>
        <v>-0.43018049795472413</v>
      </c>
      <c r="H75" s="40">
        <f t="shared" ref="H75:L75" si="34">(B32/B$25)*100</f>
        <v>10.367527566862844</v>
      </c>
      <c r="I75" s="40">
        <f t="shared" si="34"/>
        <v>10.722691053357094</v>
      </c>
      <c r="J75" s="40">
        <f t="shared" si="34"/>
        <v>9.5093752070496187</v>
      </c>
      <c r="K75" s="40">
        <f t="shared" si="34"/>
        <v>8.623506920047717</v>
      </c>
      <c r="L75" s="40">
        <f t="shared" si="34"/>
        <v>8.4063608104097334</v>
      </c>
    </row>
    <row r="76" spans="1:12" x14ac:dyDescent="0.2">
      <c r="A76" t="str">
        <f t="shared" si="26"/>
        <v>Other services</v>
      </c>
      <c r="B76" s="40">
        <f t="shared" ref="B76:E76" si="35">IF(AND(C$5-B$5 &lt;&gt; 0,B33&lt;&gt;0,C33&lt;&gt;0),(EXP(LN(C33/B33)/(C$5-B$5))-1)*100,0)</f>
        <v>6.040303113130574</v>
      </c>
      <c r="C76" s="44">
        <f t="shared" si="35"/>
        <v>5.2261175550632144</v>
      </c>
      <c r="D76" s="40">
        <f t="shared" si="35"/>
        <v>-1.6275504504737137</v>
      </c>
      <c r="E76" s="40">
        <f t="shared" si="35"/>
        <v>-0.23162774849099232</v>
      </c>
      <c r="F76" s="44">
        <f t="shared" si="18"/>
        <v>-0.69912248152874668</v>
      </c>
      <c r="H76" s="40">
        <f t="shared" ref="H76:L76" si="36">(B33/B$25)*100</f>
        <v>11.14334768677065</v>
      </c>
      <c r="I76" s="40">
        <f t="shared" si="36"/>
        <v>12.898833338936871</v>
      </c>
      <c r="J76" s="40">
        <f t="shared" si="36"/>
        <v>13.373749420261017</v>
      </c>
      <c r="K76" s="40">
        <f t="shared" si="36"/>
        <v>12.153793362636632</v>
      </c>
      <c r="L76" s="40">
        <f t="shared" si="36"/>
        <v>11.35245325460426</v>
      </c>
    </row>
    <row r="77" spans="1:12" x14ac:dyDescent="0.2">
      <c r="B77" s="40"/>
      <c r="C77" s="44"/>
      <c r="D77" s="40"/>
      <c r="E77" s="40"/>
      <c r="F77" s="44">
        <f t="shared" si="18"/>
        <v>0</v>
      </c>
      <c r="H77" s="40"/>
      <c r="I77" s="40"/>
      <c r="J77" s="40"/>
      <c r="K77" s="40"/>
      <c r="L77" s="40"/>
    </row>
    <row r="78" spans="1:12" s="30" customFormat="1" x14ac:dyDescent="0.2">
      <c r="A78" s="30" t="str">
        <f>A35</f>
        <v>Non-marketed services</v>
      </c>
      <c r="B78" s="44">
        <f t="shared" ref="B78:E79" si="37">IF(AND(C$5-B$5 &lt;&gt; 0,B35&lt;&gt;0,C35&lt;&gt;0),(EXP(LN(C35/B35)/(C$5-B$5))-1)*100,0)</f>
        <v>0.30484087490354472</v>
      </c>
      <c r="C78" s="44">
        <f t="shared" ref="C78:C83" si="38">IF(AND(D$5-C$5 &lt;&gt; 0,C35&lt;&gt;0,D35&lt;&gt;0),(EXP(LN(D35/C35)/(D$5-C$5))-1)*100,0)</f>
        <v>-0.62508834477218445</v>
      </c>
      <c r="D78" s="44">
        <f t="shared" si="37"/>
        <v>0.49915641519042708</v>
      </c>
      <c r="E78" s="44">
        <f t="shared" si="37"/>
        <v>0.37134575325203922</v>
      </c>
      <c r="F78" s="44">
        <f t="shared" si="18"/>
        <v>0.41393123653759023</v>
      </c>
      <c r="H78" s="44">
        <f>(B35/B$40)*100</f>
        <v>25.079694181676786</v>
      </c>
      <c r="I78" s="44">
        <f>(C35/C$40)*100</f>
        <v>24.785992066427138</v>
      </c>
      <c r="J78" s="44">
        <f>(D35/D$40)*100</f>
        <v>24.579436529440908</v>
      </c>
      <c r="K78" s="44">
        <f>(E35/E$40)*100</f>
        <v>24.931491054442052</v>
      </c>
      <c r="L78" s="44">
        <f>(F35/F$40)*100</f>
        <v>25.264021076650582</v>
      </c>
    </row>
    <row r="79" spans="1:12" x14ac:dyDescent="0.2">
      <c r="A79" t="str">
        <f>A36</f>
        <v>Public admin. and defence</v>
      </c>
      <c r="B79" s="40">
        <f t="shared" si="37"/>
        <v>-0.42763646804935274</v>
      </c>
      <c r="C79" s="44">
        <f t="shared" si="38"/>
        <v>3.6877477166989081</v>
      </c>
      <c r="D79" s="40">
        <f t="shared" si="37"/>
        <v>0.37499540604477577</v>
      </c>
      <c r="E79" s="40">
        <f t="shared" si="37"/>
        <v>0.37370888029548688</v>
      </c>
      <c r="F79" s="44">
        <f t="shared" si="18"/>
        <v>0.37413772037970805</v>
      </c>
      <c r="H79" s="40">
        <f>(B36/B$35)*100</f>
        <v>14.077789524725578</v>
      </c>
      <c r="I79" s="40">
        <f t="shared" ref="I79:L81" si="39">(C36/C$35)*100</f>
        <v>13.671059037866495</v>
      </c>
      <c r="J79" s="40">
        <f t="shared" si="39"/>
        <v>14.26437817078377</v>
      </c>
      <c r="K79" s="40">
        <f t="shared" si="39"/>
        <v>14.176481470062274</v>
      </c>
      <c r="L79" s="40">
        <f t="shared" si="39"/>
        <v>14.17981951201396</v>
      </c>
    </row>
    <row r="80" spans="1:12" x14ac:dyDescent="0.2">
      <c r="A80" t="str">
        <f>A37</f>
        <v>Education</v>
      </c>
      <c r="B80" s="40">
        <f t="shared" ref="B80:E81" si="40">IF(AND(C$5-B$5 &lt;&gt; 0,B37&lt;&gt;0,C37&lt;&gt;0),(EXP(LN(C37/B37)/(C$5-B$5))-1)*100,0)</f>
        <v>-1.1130882820741372</v>
      </c>
      <c r="C80" s="44">
        <f t="shared" si="38"/>
        <v>-0.76010595416341475</v>
      </c>
      <c r="D80" s="40">
        <f t="shared" si="40"/>
        <v>-0.46336681597938245</v>
      </c>
      <c r="E80" s="40">
        <f t="shared" si="40"/>
        <v>0.10191633980392023</v>
      </c>
      <c r="F80" s="44">
        <f t="shared" si="18"/>
        <v>-8.6867184314753931E-2</v>
      </c>
      <c r="H80" s="40">
        <f>(B37/B$35)*100</f>
        <v>36.091128051446333</v>
      </c>
      <c r="I80" s="40">
        <f t="shared" si="39"/>
        <v>34.093229256647497</v>
      </c>
      <c r="J80" s="40">
        <f t="shared" si="39"/>
        <v>34.046907843787984</v>
      </c>
      <c r="K80" s="40">
        <f t="shared" si="39"/>
        <v>32.447431707467459</v>
      </c>
      <c r="L80" s="40">
        <f t="shared" si="39"/>
        <v>31.586883054183556</v>
      </c>
    </row>
    <row r="81" spans="1:12" x14ac:dyDescent="0.2">
      <c r="A81" t="str">
        <f>A38</f>
        <v>Health and social work</v>
      </c>
      <c r="B81" s="40">
        <f>IF(AND(C$5-B$5 &lt;&gt; 0,B38&lt;&gt;0,C38&lt;&gt;0),(EXP(LN(C38/B38)/(C$5-B$5))-1)*100,0)</f>
        <v>1.493608137017377</v>
      </c>
      <c r="C81" s="44">
        <f t="shared" si="38"/>
        <v>-1.66571454343164</v>
      </c>
      <c r="D81" s="40">
        <f t="shared" si="40"/>
        <v>1.1469093823150311</v>
      </c>
      <c r="E81" s="40">
        <f t="shared" si="40"/>
        <v>0.53138714937988052</v>
      </c>
      <c r="F81" s="44">
        <f t="shared" si="18"/>
        <v>0.73614390667773311</v>
      </c>
      <c r="H81" s="40">
        <f>(B38/B$35)*100</f>
        <v>49.831082423828086</v>
      </c>
      <c r="I81" s="40">
        <f t="shared" si="39"/>
        <v>52.235711705486011</v>
      </c>
      <c r="J81" s="40">
        <f t="shared" si="39"/>
        <v>51.688713985428251</v>
      </c>
      <c r="K81" s="40">
        <f t="shared" si="39"/>
        <v>53.37608682247027</v>
      </c>
      <c r="L81" s="40">
        <f t="shared" si="39"/>
        <v>54.233297433802484</v>
      </c>
    </row>
    <row r="82" spans="1:12" x14ac:dyDescent="0.2">
      <c r="B82" s="40"/>
      <c r="C82" s="44"/>
      <c r="D82" s="40"/>
      <c r="E82" s="40"/>
      <c r="F82" s="44"/>
      <c r="H82" s="40"/>
      <c r="I82" s="40"/>
      <c r="J82" s="40"/>
      <c r="K82" s="40"/>
      <c r="L82" s="40"/>
    </row>
    <row r="83" spans="1:12" x14ac:dyDescent="0.2">
      <c r="A83" s="24" t="str">
        <f>A40</f>
        <v>All industries</v>
      </c>
      <c r="B83" s="43">
        <f>IF(AND(C$5-B$5 &lt;&gt; 0,B40&lt;&gt;0,C40&lt;&gt;0),(EXP(LN(C40/B40)/(C$5-B$5))-1)*100,0)</f>
        <v>0.60067062186752729</v>
      </c>
      <c r="C83" s="206">
        <f t="shared" si="38"/>
        <v>0.21001779020037858</v>
      </c>
      <c r="D83" s="43">
        <f>IF(AND(E$5-D$5 &lt;&gt; 0,D40&lt;&gt;0,E40&lt;&gt;0),(EXP(LN(E40/D40)/(E$5-D$5))-1)*100,0)</f>
        <v>0.2137122903617561</v>
      </c>
      <c r="E83" s="43">
        <f>IF(AND(F$5-E$5 &lt;&gt; 0,E40&lt;&gt;0,F40&lt;&gt;0),(EXP(LN(F40/E40)/(F$5-E$5))-1)*100,0)</f>
        <v>0.23844593453650198</v>
      </c>
      <c r="F83" s="206">
        <f t="shared" si="18"/>
        <v>0.23020070827648453</v>
      </c>
      <c r="G83" s="24"/>
      <c r="H83" s="43">
        <f>(B40/B$40)*100</f>
        <v>100</v>
      </c>
      <c r="I83" s="43">
        <f>(C40/C$40)*100</f>
        <v>100</v>
      </c>
      <c r="J83" s="43">
        <f>(D40/D$40)*100</f>
        <v>100</v>
      </c>
      <c r="K83" s="43">
        <f>(E40/E$40)*100</f>
        <v>100</v>
      </c>
      <c r="L83" s="43">
        <f>(F40/F$40)*100</f>
        <v>100</v>
      </c>
    </row>
    <row r="86" spans="1:12" x14ac:dyDescent="0.2">
      <c r="A86" s="36"/>
      <c r="B86" s="28" t="s">
        <v>15</v>
      </c>
      <c r="C86" s="28"/>
    </row>
    <row r="87" spans="1:12" x14ac:dyDescent="0.2">
      <c r="A87" s="24"/>
      <c r="B87" s="37" t="str">
        <f>B5&amp;"-"&amp;D5</f>
        <v>2015-2020</v>
      </c>
      <c r="C87" s="37" t="str">
        <f>F48</f>
        <v>2020-2035</v>
      </c>
    </row>
    <row r="89" spans="1:12" x14ac:dyDescent="0.2">
      <c r="A89" s="30" t="str">
        <f>A7</f>
        <v>Primary sector and utilities</v>
      </c>
      <c r="B89" s="44">
        <f>IF(AND(D$5-B$5 &lt;&gt; 0,B7&lt;&gt;0,D7&lt;&gt;0),(EXP(LN(D7/B7)/(D$5-B$5))-1)*100,0)</f>
        <v>1.6951135220768965</v>
      </c>
      <c r="C89" s="44">
        <f>IF(AND(F$5-D$5 &lt;&gt; 0,D7&lt;&gt;0,F7&lt;&gt;0),(EXP(LN(F7/D7)/(F$5-D$5))-1)*100,0)</f>
        <v>-0.11546214798360266</v>
      </c>
    </row>
    <row r="90" spans="1:12" x14ac:dyDescent="0.2">
      <c r="A90" s="30" t="str">
        <f t="shared" ref="A90:A122" si="41">A8</f>
        <v>Agriculture</v>
      </c>
      <c r="B90" s="44">
        <f t="shared" ref="B90:B122" si="42">IF(AND(D$5-B$5 &lt;&gt; 0,B8&lt;&gt;0,D8&lt;&gt;0),(EXP(LN(D8/B8)/(D$5-B$5))-1)*100,0)</f>
        <v>2.9559045328480638</v>
      </c>
      <c r="C90" s="44">
        <f t="shared" ref="C90:C122" si="43">IF(AND(F$5-D$5 &lt;&gt; 0,D8&lt;&gt;0,F8&lt;&gt;0),(EXP(LN(F8/D8)/(F$5-D$5))-1)*100,0)</f>
        <v>-0.21288641698670174</v>
      </c>
    </row>
    <row r="91" spans="1:12" x14ac:dyDescent="0.2">
      <c r="A91" s="30" t="str">
        <f t="shared" si="41"/>
        <v>Mining and quarrying</v>
      </c>
      <c r="B91" s="44">
        <f t="shared" si="42"/>
        <v>5.3645494647709846</v>
      </c>
      <c r="C91" s="44">
        <f t="shared" si="43"/>
        <v>-3.4917539161036459</v>
      </c>
    </row>
    <row r="92" spans="1:12" x14ac:dyDescent="0.2">
      <c r="A92" s="30" t="str">
        <f t="shared" si="41"/>
        <v>Electricity and gas</v>
      </c>
      <c r="B92" s="44">
        <f t="shared" si="42"/>
        <v>0.33696582569997524</v>
      </c>
      <c r="C92" s="44">
        <f t="shared" si="43"/>
        <v>-0.27303690777481515</v>
      </c>
    </row>
    <row r="93" spans="1:12" x14ac:dyDescent="0.2">
      <c r="A93" s="30" t="str">
        <f t="shared" si="41"/>
        <v>Water and sewerage</v>
      </c>
      <c r="B93" s="44">
        <f t="shared" si="42"/>
        <v>-1.799950452106891</v>
      </c>
      <c r="C93" s="44">
        <f t="shared" si="43"/>
        <v>0.6874606591248833</v>
      </c>
    </row>
    <row r="94" spans="1:12" x14ac:dyDescent="0.2">
      <c r="A94" s="30"/>
      <c r="B94" s="44"/>
      <c r="C94" s="44"/>
    </row>
    <row r="95" spans="1:12" x14ac:dyDescent="0.2">
      <c r="A95" s="30" t="str">
        <f t="shared" si="41"/>
        <v>Manufacturing</v>
      </c>
      <c r="B95" s="44">
        <f t="shared" si="42"/>
        <v>-0.27840156966945084</v>
      </c>
      <c r="C95" s="44">
        <f t="shared" si="43"/>
        <v>-0.60005766449598985</v>
      </c>
    </row>
    <row r="96" spans="1:12" x14ac:dyDescent="0.2">
      <c r="A96" s="30" t="str">
        <f t="shared" si="41"/>
        <v>Food drink and tobacco</v>
      </c>
      <c r="B96" s="44">
        <f t="shared" si="42"/>
        <v>1.5465537797197948</v>
      </c>
      <c r="C96" s="44">
        <f t="shared" si="43"/>
        <v>0.2814572920113223</v>
      </c>
    </row>
    <row r="97" spans="1:3" x14ac:dyDescent="0.2">
      <c r="A97" s="30" t="str">
        <f t="shared" si="41"/>
        <v>Engineering</v>
      </c>
      <c r="B97" s="44">
        <f t="shared" si="42"/>
        <v>-6.9712148201588438</v>
      </c>
      <c r="C97" s="44">
        <f t="shared" si="43"/>
        <v>-0.75337970548389199</v>
      </c>
    </row>
    <row r="98" spans="1:3" x14ac:dyDescent="0.2">
      <c r="A98" s="30" t="str">
        <f t="shared" si="41"/>
        <v>Rest of manufacturing</v>
      </c>
      <c r="B98" s="44">
        <f t="shared" si="42"/>
        <v>-0.22743178542734555</v>
      </c>
      <c r="C98" s="44">
        <f t="shared" si="43"/>
        <v>-1.1903309956480146</v>
      </c>
    </row>
    <row r="99" spans="1:3" x14ac:dyDescent="0.2">
      <c r="A99" s="30"/>
      <c r="B99" s="44"/>
      <c r="C99" s="44"/>
    </row>
    <row r="100" spans="1:3" x14ac:dyDescent="0.2">
      <c r="A100" s="30" t="str">
        <f t="shared" si="41"/>
        <v>Construction</v>
      </c>
      <c r="B100" s="44">
        <f t="shared" si="42"/>
        <v>-0.70780153476213137</v>
      </c>
      <c r="C100" s="44">
        <f t="shared" si="43"/>
        <v>0.30797859160296426</v>
      </c>
    </row>
    <row r="101" spans="1:3" x14ac:dyDescent="0.2">
      <c r="A101" s="30"/>
      <c r="B101" s="44"/>
      <c r="C101" s="44"/>
    </row>
    <row r="102" spans="1:3" x14ac:dyDescent="0.2">
      <c r="A102" s="30" t="str">
        <f t="shared" si="41"/>
        <v>Trade, accomod. and transport</v>
      </c>
      <c r="B102" s="44">
        <f t="shared" si="42"/>
        <v>0.15767605598384637</v>
      </c>
      <c r="C102" s="44">
        <f t="shared" si="43"/>
        <v>0.33088214164520569</v>
      </c>
    </row>
    <row r="103" spans="1:3" x14ac:dyDescent="0.2">
      <c r="A103" s="30" t="str">
        <f t="shared" si="41"/>
        <v>Wholesale and retail trade</v>
      </c>
      <c r="B103" s="44">
        <f t="shared" si="42"/>
        <v>-0.31218546632629796</v>
      </c>
      <c r="C103" s="44">
        <f t="shared" si="43"/>
        <v>0.20499225808650046</v>
      </c>
    </row>
    <row r="104" spans="1:3" x14ac:dyDescent="0.2">
      <c r="A104" s="30" t="str">
        <f t="shared" si="41"/>
        <v>Transport and storage</v>
      </c>
      <c r="B104" s="44">
        <f t="shared" si="42"/>
        <v>1.8465076100194988</v>
      </c>
      <c r="C104" s="44">
        <f t="shared" si="43"/>
        <v>0.31905323709113809</v>
      </c>
    </row>
    <row r="105" spans="1:3" x14ac:dyDescent="0.2">
      <c r="A105" s="30" t="str">
        <f t="shared" si="41"/>
        <v>Accommodation and food</v>
      </c>
      <c r="B105" s="44">
        <f t="shared" si="42"/>
        <v>-4.9247533670215837E-2</v>
      </c>
      <c r="C105" s="44">
        <f t="shared" si="43"/>
        <v>0.63289256999830013</v>
      </c>
    </row>
    <row r="106" spans="1:3" x14ac:dyDescent="0.2">
      <c r="A106" s="30"/>
      <c r="B106" s="44"/>
      <c r="C106" s="44"/>
    </row>
    <row r="107" spans="1:3" x14ac:dyDescent="0.2">
      <c r="A107" s="30" t="str">
        <f t="shared" si="41"/>
        <v>Business and other services</v>
      </c>
      <c r="B107" s="44">
        <f t="shared" si="42"/>
        <v>2.0831300155521371</v>
      </c>
      <c r="C107" s="44">
        <f t="shared" si="43"/>
        <v>0.39158638240996968</v>
      </c>
    </row>
    <row r="108" spans="1:3" x14ac:dyDescent="0.2">
      <c r="A108" s="30" t="str">
        <f t="shared" si="41"/>
        <v>Media</v>
      </c>
      <c r="B108" s="44">
        <f t="shared" si="42"/>
        <v>1.0688592856978429</v>
      </c>
      <c r="C108" s="44">
        <f t="shared" si="43"/>
        <v>9.0768825795173314E-3</v>
      </c>
    </row>
    <row r="109" spans="1:3" x14ac:dyDescent="0.2">
      <c r="A109" s="30" t="str">
        <f t="shared" si="41"/>
        <v>Information technology</v>
      </c>
      <c r="B109" s="44">
        <f t="shared" si="42"/>
        <v>0.38098455531154762</v>
      </c>
      <c r="C109" s="44">
        <f t="shared" si="43"/>
        <v>1.0176467915485432</v>
      </c>
    </row>
    <row r="110" spans="1:3" x14ac:dyDescent="0.2">
      <c r="A110" s="30" t="str">
        <f t="shared" si="41"/>
        <v>Finance and insurance</v>
      </c>
      <c r="B110" s="44">
        <f t="shared" si="42"/>
        <v>-4.298965413581235</v>
      </c>
      <c r="C110" s="44">
        <f t="shared" si="43"/>
        <v>-0.43997279222682817</v>
      </c>
    </row>
    <row r="111" spans="1:3" x14ac:dyDescent="0.2">
      <c r="A111" s="30" t="str">
        <f t="shared" si="41"/>
        <v>Real estate</v>
      </c>
      <c r="B111" s="44">
        <f t="shared" si="42"/>
        <v>5.9325103520040168</v>
      </c>
      <c r="C111" s="44">
        <f t="shared" si="43"/>
        <v>8.2067375480954219E-2</v>
      </c>
    </row>
    <row r="112" spans="1:3" x14ac:dyDescent="0.2">
      <c r="A112" s="30" t="str">
        <f t="shared" si="41"/>
        <v>Professional services</v>
      </c>
      <c r="B112" s="44">
        <f t="shared" si="42"/>
        <v>3.5164748013454039</v>
      </c>
      <c r="C112" s="44">
        <f t="shared" si="43"/>
        <v>0.62820359543860338</v>
      </c>
    </row>
    <row r="113" spans="1:3" x14ac:dyDescent="0.2">
      <c r="A113" s="30" t="str">
        <f t="shared" si="41"/>
        <v>Support services</v>
      </c>
      <c r="B113" s="44">
        <f t="shared" si="42"/>
        <v>0.86227319318181728</v>
      </c>
      <c r="C113" s="44">
        <f t="shared" si="43"/>
        <v>0.88394315485351704</v>
      </c>
    </row>
    <row r="114" spans="1:3" x14ac:dyDescent="0.2">
      <c r="A114" s="30" t="str">
        <f t="shared" si="41"/>
        <v>Arts and entertainment</v>
      </c>
      <c r="B114" s="44">
        <f t="shared" si="42"/>
        <v>0.33427909766676756</v>
      </c>
      <c r="C114" s="44">
        <f t="shared" si="43"/>
        <v>-0.43018049795472413</v>
      </c>
    </row>
    <row r="115" spans="1:3" x14ac:dyDescent="0.2">
      <c r="A115" s="30" t="str">
        <f t="shared" si="41"/>
        <v>Other services</v>
      </c>
      <c r="B115" s="44">
        <f t="shared" si="42"/>
        <v>5.8769635748112004</v>
      </c>
      <c r="C115" s="44">
        <f t="shared" si="43"/>
        <v>-0.69912248152874668</v>
      </c>
    </row>
    <row r="116" spans="1:3" x14ac:dyDescent="0.2">
      <c r="A116" s="30"/>
      <c r="B116" s="44"/>
      <c r="C116" s="44"/>
    </row>
    <row r="117" spans="1:3" x14ac:dyDescent="0.2">
      <c r="A117" s="30" t="str">
        <f t="shared" si="41"/>
        <v>Non-marketed services</v>
      </c>
      <c r="B117" s="44">
        <f t="shared" si="42"/>
        <v>0.11816145712943982</v>
      </c>
      <c r="C117" s="44">
        <f t="shared" si="43"/>
        <v>0.41393123653759023</v>
      </c>
    </row>
    <row r="118" spans="1:3" x14ac:dyDescent="0.2">
      <c r="A118" s="30" t="str">
        <f t="shared" si="41"/>
        <v>Public admin. and defence</v>
      </c>
      <c r="B118" s="44">
        <f t="shared" si="42"/>
        <v>0.38216104240964555</v>
      </c>
      <c r="C118" s="44">
        <f t="shared" si="43"/>
        <v>0.37413772037970805</v>
      </c>
    </row>
    <row r="119" spans="1:3" x14ac:dyDescent="0.2">
      <c r="A119" s="30" t="str">
        <f t="shared" si="41"/>
        <v>Education</v>
      </c>
      <c r="B119" s="44">
        <f t="shared" si="42"/>
        <v>-1.0425924003481191</v>
      </c>
      <c r="C119" s="44">
        <f t="shared" si="43"/>
        <v>-8.6867184314753931E-2</v>
      </c>
    </row>
    <row r="120" spans="1:3" x14ac:dyDescent="0.2">
      <c r="A120" s="30" t="str">
        <f t="shared" si="41"/>
        <v>Health and social work</v>
      </c>
      <c r="B120" s="44">
        <f t="shared" si="42"/>
        <v>0.85372583391500889</v>
      </c>
      <c r="C120" s="44">
        <f t="shared" si="43"/>
        <v>0.73614390667773311</v>
      </c>
    </row>
    <row r="121" spans="1:3" x14ac:dyDescent="0.2">
      <c r="A121" s="30"/>
      <c r="B121" s="44"/>
      <c r="C121" s="44"/>
    </row>
    <row r="122" spans="1:3" x14ac:dyDescent="0.2">
      <c r="A122" s="347" t="str">
        <f t="shared" si="41"/>
        <v>All industries</v>
      </c>
      <c r="B122" s="206">
        <f t="shared" si="42"/>
        <v>0.52241841326523542</v>
      </c>
      <c r="C122" s="206">
        <f t="shared" si="43"/>
        <v>0.23020070827648453</v>
      </c>
    </row>
  </sheetData>
  <phoneticPr fontId="4" type="noConversion"/>
  <pageMargins left="0.75" right="0.75" top="1" bottom="1" header="0.5" footer="0.5"/>
  <pageSetup paperSize="9" scale="83" orientation="landscape" r:id="rId1"/>
  <headerFooter alignWithMargins="0"/>
  <rowBreaks count="2" manualBreakCount="2">
    <brk id="43" max="11" man="1"/>
    <brk id="84" max="11" man="1"/>
  </rowBreaks>
  <ignoredErrors>
    <ignoredError sqref="I6 I39" formula="1"/>
  </ignoredErrors>
  <drawing r:id="rId2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codeName="Sheet60"/>
  <dimension ref="A1:Q577"/>
  <sheetViews>
    <sheetView showGridLines="0" zoomScale="85" zoomScaleNormal="85" workbookViewId="0"/>
  </sheetViews>
  <sheetFormatPr defaultColWidth="9.140625" defaultRowHeight="12.75" x14ac:dyDescent="0.2"/>
  <cols>
    <col min="1" max="1" width="22.140625" style="282" customWidth="1"/>
    <col min="2" max="2" width="9.140625" style="283"/>
    <col min="3" max="3" width="9.28515625" style="282" customWidth="1"/>
    <col min="4" max="4" width="9.140625" style="283"/>
    <col min="5" max="5" width="9.28515625" style="282" customWidth="1"/>
    <col min="6" max="6" width="9.140625" style="283"/>
    <col min="7" max="7" width="9.28515625" style="282" customWidth="1"/>
    <col min="8" max="8" width="9.140625" style="283"/>
    <col min="9" max="9" width="9.28515625" style="282" customWidth="1"/>
    <col min="10" max="10" width="5.5703125" style="282" customWidth="1"/>
    <col min="11" max="14" width="9.28515625" style="283" customWidth="1"/>
    <col min="15" max="16384" width="9.140625" style="282"/>
  </cols>
  <sheetData>
    <row r="1" spans="1:17" ht="15.75" x14ac:dyDescent="0.25">
      <c r="A1" s="19" t="str">
        <f>CONCATENATE("Industry Table 5  Employment status by Industry (SIC 2007) and Gender, ",A$8,"-",A$18,", ",Info!B5)</f>
        <v>Industry Table 5  Employment status by Industry (SIC 2007) and Gender, 2020-2035, Greater Lincolnshire</v>
      </c>
    </row>
    <row r="2" spans="1:17" x14ac:dyDescent="0.2">
      <c r="A2" s="1" t="s">
        <v>514</v>
      </c>
    </row>
    <row r="5" spans="1:17" x14ac:dyDescent="0.2">
      <c r="A5" s="288"/>
      <c r="B5" s="289" t="s">
        <v>372</v>
      </c>
      <c r="C5" s="288"/>
      <c r="D5" s="289"/>
      <c r="E5" s="288"/>
      <c r="F5" s="289" t="str">
        <f>name!B3</f>
        <v>All industries</v>
      </c>
      <c r="G5" s="288"/>
      <c r="H5" s="291"/>
      <c r="I5" s="288"/>
      <c r="J5" s="290"/>
      <c r="K5" s="291"/>
      <c r="L5" s="291"/>
      <c r="M5" s="291"/>
      <c r="N5" s="291"/>
    </row>
    <row r="6" spans="1:17" x14ac:dyDescent="0.2">
      <c r="N6" s="287" t="s">
        <v>370</v>
      </c>
    </row>
    <row r="7" spans="1:17" x14ac:dyDescent="0.2">
      <c r="A7" s="296" t="s">
        <v>371</v>
      </c>
      <c r="B7" s="373" t="s">
        <v>369</v>
      </c>
      <c r="C7" s="373"/>
      <c r="D7" s="373" t="s">
        <v>368</v>
      </c>
      <c r="E7" s="373"/>
      <c r="F7" s="373" t="s">
        <v>367</v>
      </c>
      <c r="G7" s="373"/>
      <c r="H7" s="373" t="s">
        <v>33</v>
      </c>
      <c r="I7" s="373"/>
      <c r="J7" s="296"/>
      <c r="K7" s="297" t="s">
        <v>345</v>
      </c>
      <c r="L7" s="297" t="s">
        <v>347</v>
      </c>
      <c r="M7" s="297" t="s">
        <v>343</v>
      </c>
      <c r="N7" s="297" t="s">
        <v>33</v>
      </c>
    </row>
    <row r="8" spans="1:17" x14ac:dyDescent="0.2">
      <c r="A8" s="286">
        <f>'Ind T6'!L5</f>
        <v>2020</v>
      </c>
      <c r="B8" s="287" t="s">
        <v>66</v>
      </c>
      <c r="C8" s="20" t="s">
        <v>366</v>
      </c>
      <c r="D8" s="287" t="s">
        <v>66</v>
      </c>
      <c r="E8" s="20" t="s">
        <v>366</v>
      </c>
      <c r="F8" s="287" t="s">
        <v>66</v>
      </c>
      <c r="G8" s="20" t="s">
        <v>366</v>
      </c>
      <c r="H8" s="287" t="s">
        <v>66</v>
      </c>
      <c r="I8" s="20" t="s">
        <v>366</v>
      </c>
      <c r="J8" s="182"/>
      <c r="K8" s="286" t="str">
        <f>CONCATENATE(A8," - ",A13)</f>
        <v>2020 - 2025</v>
      </c>
      <c r="L8" s="285"/>
      <c r="M8" s="285"/>
    </row>
    <row r="9" spans="1:17" x14ac:dyDescent="0.2">
      <c r="A9" s="282" t="s">
        <v>364</v>
      </c>
      <c r="B9" s="249">
        <f>SUM(B30,B51,B72,B93,B114,B135,B156,B177,B198,B219,B240,B261,B282,B303,B324,B345,B366,B387,B408,B429,B450,B471)</f>
        <v>189.2698049803964</v>
      </c>
      <c r="C9" s="299" t="str">
        <f>CONCATENATE("(",ROUND((B9/$H11)*100,1),")")</f>
        <v>(36.8)</v>
      </c>
      <c r="D9" s="249">
        <f>SUM(D30,D51,D72,D93,D114,D135,D156,D177,D198,D219,D240,D261,D282,D303,D324,D345,D366,D387,D408,D429,D450,D471)</f>
        <v>42.740327574370326</v>
      </c>
      <c r="E9" s="299" t="str">
        <f>CONCATENATE("(",ROUND((D9/$H11)*100,1),")")</f>
        <v>(8.3)</v>
      </c>
      <c r="F9" s="249">
        <f>SUM(F30,F51,F72,F93,F114,F135,F156,F177,F198,F219,F240,F261,F282,F303,F324,F345,F366,F387,F408,F429,F450,F471)</f>
        <v>37.470415528751779</v>
      </c>
      <c r="G9" s="299" t="str">
        <f>CONCATENATE("(",ROUND((F9/$H11)*100,1),")")</f>
        <v>(7.3)</v>
      </c>
      <c r="H9" s="249">
        <f>SUM(H30,H51,H72,H93,H114,H135,H156,H177,H198,H219,H240,H261,H282,H303,H324,H345,H366,H387,H408,H429,H450,H471)</f>
        <v>269.48054808351856</v>
      </c>
      <c r="I9" s="299" t="str">
        <f>CONCATENATE("(",ROUND((H9/$H11)*100,1),")")</f>
        <v>(52.3)</v>
      </c>
      <c r="K9" s="249">
        <f>B14-B9</f>
        <v>0.89553417636653876</v>
      </c>
      <c r="L9" s="249">
        <f>D14-D9</f>
        <v>0.66389465178112772</v>
      </c>
      <c r="M9" s="249">
        <f>F14-F9</f>
        <v>6.4882868469673838E-2</v>
      </c>
      <c r="N9" s="249">
        <f>SUM(K9:M9)</f>
        <v>1.6243116966173403</v>
      </c>
      <c r="O9" s="298"/>
      <c r="P9" s="298"/>
      <c r="Q9" s="298"/>
    </row>
    <row r="10" spans="1:17" x14ac:dyDescent="0.2">
      <c r="A10" s="282" t="s">
        <v>365</v>
      </c>
      <c r="B10" s="249">
        <f t="shared" ref="B10:B21" si="0">SUM(B31,B52,B73,B94,B115,B136,B157,B178,B199,B220,B241,B262,B283,B304,B325,B346,B367,B388,B409,B430,B451,B472)</f>
        <v>113.94326453267522</v>
      </c>
      <c r="C10" s="299" t="str">
        <f>CONCATENATE("(",ROUND((B10/$H11)*100,1),")")</f>
        <v>(22.1)</v>
      </c>
      <c r="D10" s="249">
        <f t="shared" ref="D10" si="1">SUM(D31,D52,D73,D94,D115,D136,D157,D178,D199,D220,D241,D262,D283,D304,D325,D346,D367,D388,D409,D430,D451,D472)</f>
        <v>106.08908118446277</v>
      </c>
      <c r="E10" s="299" t="str">
        <f>CONCATENATE("(",ROUND((D10/$H11)*100,1),")")</f>
        <v>(20.6)</v>
      </c>
      <c r="F10" s="249">
        <f t="shared" ref="F10" si="2">SUM(F31,F52,F73,F94,F115,F136,F157,F178,F199,F220,F241,F262,F283,F304,F325,F346,F367,F388,F409,F430,F451,F472)</f>
        <v>25.332106199343663</v>
      </c>
      <c r="G10" s="299" t="str">
        <f>CONCATENATE("(",ROUND((F10/$H11)*100,1),")")</f>
        <v>(4.9)</v>
      </c>
      <c r="H10" s="249">
        <f t="shared" ref="H10" si="3">SUM(H31,H52,H73,H94,H115,H136,H157,H178,H199,H220,H241,H262,H283,H304,H325,H346,H367,H388,H409,H430,H451,H472)</f>
        <v>245.36445191648167</v>
      </c>
      <c r="I10" s="299" t="str">
        <f>CONCATENATE("(",ROUND((H10/$H11)*100,1),")")</f>
        <v>(47.7)</v>
      </c>
      <c r="K10" s="249">
        <f t="shared" ref="K10:K11" si="4">B15-B10</f>
        <v>4.0604913183079532</v>
      </c>
      <c r="L10" s="249">
        <f t="shared" ref="L10:L11" si="5">D15-D10</f>
        <v>-0.31657748787455375</v>
      </c>
      <c r="M10" s="249">
        <f t="shared" ref="M10:M11" si="6">F15-F10</f>
        <v>0.15677447294941871</v>
      </c>
      <c r="N10" s="249">
        <f t="shared" ref="N10:N11" si="7">SUM(K10:M10)</f>
        <v>3.9006883033828181</v>
      </c>
      <c r="O10" s="298"/>
      <c r="P10" s="298"/>
      <c r="Q10" s="298"/>
    </row>
    <row r="11" spans="1:17" x14ac:dyDescent="0.2">
      <c r="A11" s="282" t="s">
        <v>363</v>
      </c>
      <c r="B11" s="249">
        <f t="shared" si="0"/>
        <v>303.21306951307173</v>
      </c>
      <c r="C11" s="299" t="str">
        <f>CONCATENATE("(",ROUND((B11/$H11)*100,1),")")</f>
        <v>(58.9)</v>
      </c>
      <c r="D11" s="249">
        <f t="shared" ref="D11" si="8">SUM(D32,D53,D74,D95,D116,D137,D158,D179,D200,D221,D242,D263,D284,D305,D326,D347,D368,D389,D410,D431,D452,D473)</f>
        <v>148.82940875883313</v>
      </c>
      <c r="E11" s="299" t="str">
        <f>CONCATENATE("(",ROUND((D11/$H11)*100,1),")")</f>
        <v>(28.9)</v>
      </c>
      <c r="F11" s="249">
        <f t="shared" ref="F11" si="9">SUM(F32,F53,F74,F95,F116,F137,F158,F179,F200,F221,F242,F263,F284,F305,F326,F347,F368,F389,F410,F431,F452,F473)</f>
        <v>62.802521728095449</v>
      </c>
      <c r="G11" s="299" t="str">
        <f>CONCATENATE("(",ROUND((F11/$H11)*100,1),")")</f>
        <v>(12.2)</v>
      </c>
      <c r="H11" s="249">
        <f t="shared" ref="H11" si="10">SUM(H32,H53,H74,H95,H116,H137,H158,H179,H200,H221,H242,H263,H284,H305,H326,H347,H368,H389,H410,H431,H452,H473)</f>
        <v>514.84500000000014</v>
      </c>
      <c r="I11" s="299" t="str">
        <f>CONCATENATE("(",ROUND((H11/$H11)*100,1),")")</f>
        <v>(100)</v>
      </c>
      <c r="K11" s="249">
        <f t="shared" si="4"/>
        <v>4.9560254946743498</v>
      </c>
      <c r="L11" s="249">
        <f t="shared" si="5"/>
        <v>0.34731716390652423</v>
      </c>
      <c r="M11" s="249">
        <f t="shared" si="6"/>
        <v>0.22165734141908899</v>
      </c>
      <c r="N11" s="249">
        <f t="shared" si="7"/>
        <v>5.5249999999999631</v>
      </c>
      <c r="O11" s="298"/>
      <c r="P11" s="298"/>
      <c r="Q11" s="298"/>
    </row>
    <row r="12" spans="1:17" x14ac:dyDescent="0.2">
      <c r="B12" s="249"/>
      <c r="C12" s="284"/>
      <c r="D12" s="249"/>
      <c r="E12" s="284"/>
      <c r="F12" s="249"/>
      <c r="G12" s="284"/>
      <c r="H12" s="249"/>
      <c r="I12" s="284"/>
    </row>
    <row r="13" spans="1:17" x14ac:dyDescent="0.2">
      <c r="A13" s="286">
        <f>'Ind T6'!Q5</f>
        <v>2025</v>
      </c>
      <c r="B13" s="249"/>
      <c r="C13" s="284"/>
      <c r="D13" s="249"/>
      <c r="E13" s="284"/>
      <c r="F13" s="249"/>
      <c r="G13" s="284"/>
      <c r="H13" s="249"/>
      <c r="I13" s="284"/>
      <c r="K13" s="286" t="str">
        <f>CONCATENATE(A13," - ",A18)</f>
        <v>2025 - 2035</v>
      </c>
    </row>
    <row r="14" spans="1:17" x14ac:dyDescent="0.2">
      <c r="A14" s="282" t="s">
        <v>364</v>
      </c>
      <c r="B14" s="249">
        <f>SUM(B35,B56,B77,B98,B119,B140,B161,B182,B203,B224,B245,B266,B287,B308,B329,B350,B371,B392,B413,B434,B455,B476)</f>
        <v>190.16533915676294</v>
      </c>
      <c r="C14" s="299" t="str">
        <f>CONCATENATE("(",ROUND((B14/$H16)*100,1),")")</f>
        <v>(36.5)</v>
      </c>
      <c r="D14" s="249">
        <f t="shared" ref="D14" si="11">SUM(D35,D56,D77,D98,D119,D140,D161,D182,D203,D224,D245,D266,D287,D308,D329,D350,D371,D392,D413,D434,D455,D476)</f>
        <v>43.404222226151454</v>
      </c>
      <c r="E14" s="299" t="str">
        <f>CONCATENATE("(",ROUND((D14/$H16)*100,1),")")</f>
        <v>(8.3)</v>
      </c>
      <c r="F14" s="249">
        <f t="shared" ref="F14" si="12">SUM(F35,F56,F77,F98,F119,F140,F161,F182,F203,F224,F245,F266,F287,F308,F329,F350,F371,F392,F413,F434,F455,F476)</f>
        <v>37.535298397221453</v>
      </c>
      <c r="G14" s="299" t="str">
        <f>CONCATENATE("(",ROUND((F14/$H16)*100,1),")")</f>
        <v>(7.2)</v>
      </c>
      <c r="H14" s="249">
        <f t="shared" ref="H14" si="13">SUM(H35,H56,H77,H98,H119,H140,H161,H182,H203,H224,H245,H266,H287,H308,H329,H350,H371,H392,H413,H434,H455,H476)</f>
        <v>271.10485978013583</v>
      </c>
      <c r="I14" s="299" t="str">
        <f>CONCATENATE("(",ROUND((H14/$H16)*100,1),")")</f>
        <v>(52.1)</v>
      </c>
      <c r="K14" s="249">
        <f>B19-B14</f>
        <v>0.72735673526537425</v>
      </c>
      <c r="L14" s="249">
        <f>D19-D14</f>
        <v>1.896791932888938</v>
      </c>
      <c r="M14" s="249">
        <f>F19-F14</f>
        <v>1.1481173116534791</v>
      </c>
      <c r="N14" s="249">
        <f>SUM(K14:M14)</f>
        <v>3.7722659798077913</v>
      </c>
    </row>
    <row r="15" spans="1:17" x14ac:dyDescent="0.2">
      <c r="A15" s="282" t="s">
        <v>365</v>
      </c>
      <c r="B15" s="249">
        <f t="shared" si="0"/>
        <v>118.00375585098317</v>
      </c>
      <c r="C15" s="299" t="str">
        <f>CONCATENATE("(",ROUND((B15/$H16)*100,1),")")</f>
        <v>(22.7)</v>
      </c>
      <c r="D15" s="249">
        <f t="shared" ref="D15" si="14">SUM(D36,D57,D78,D99,D120,D141,D162,D183,D204,D225,D246,D267,D288,D309,D330,D351,D372,D393,D414,D435,D456,D477)</f>
        <v>105.77250369658822</v>
      </c>
      <c r="E15" s="299" t="str">
        <f>CONCATENATE("(",ROUND((D15/$H16)*100,1),")")</f>
        <v>(20.3)</v>
      </c>
      <c r="F15" s="249">
        <f t="shared" ref="F15" si="15">SUM(F36,F57,F78,F99,F120,F141,F162,F183,F204,F225,F246,F267,F288,F309,F330,F351,F372,F393,F414,F435,F456,F477)</f>
        <v>25.488880672293082</v>
      </c>
      <c r="G15" s="299" t="str">
        <f>CONCATENATE("(",ROUND((F15/$H16)*100,1),")")</f>
        <v>(4.9)</v>
      </c>
      <c r="H15" s="249">
        <f t="shared" ref="H15" si="16">SUM(H36,H57,H78,H99,H120,H141,H162,H183,H204,H225,H246,H267,H288,H309,H330,H351,H372,H393,H414,H435,H456,H477)</f>
        <v>249.26514021986446</v>
      </c>
      <c r="I15" s="299" t="str">
        <f>CONCATENATE("(",ROUND((H15/$H16)*100,1),")")</f>
        <v>(47.9)</v>
      </c>
      <c r="K15" s="249">
        <f t="shared" ref="K15:K16" si="17">B20-B15</f>
        <v>7.7942583211650032</v>
      </c>
      <c r="L15" s="249">
        <f t="shared" ref="L15:L16" si="18">D20-D15</f>
        <v>-0.31054920337253122</v>
      </c>
      <c r="M15" s="249">
        <f t="shared" ref="M15:M16" si="19">F20-F15</f>
        <v>1.2860249023996175</v>
      </c>
      <c r="N15" s="249">
        <f t="shared" ref="N15:N16" si="20">SUM(K15:M15)</f>
        <v>8.7697340201920895</v>
      </c>
    </row>
    <row r="16" spans="1:17" x14ac:dyDescent="0.2">
      <c r="A16" s="282" t="s">
        <v>363</v>
      </c>
      <c r="B16" s="249">
        <f t="shared" si="0"/>
        <v>308.16909500774608</v>
      </c>
      <c r="C16" s="299" t="str">
        <f>CONCATENATE("(",ROUND((B16/$H16)*100,1),")")</f>
        <v>(59.2)</v>
      </c>
      <c r="D16" s="249">
        <f t="shared" ref="D16" si="21">SUM(D37,D58,D79,D100,D121,D142,D163,D184,D205,D226,D247,D268,D289,D310,D331,D352,D373,D394,D415,D436,D457,D478)</f>
        <v>149.17672592273965</v>
      </c>
      <c r="E16" s="299" t="str">
        <f>CONCATENATE("(",ROUND((D16/$H16)*100,1),")")</f>
        <v>(28.7)</v>
      </c>
      <c r="F16" s="249">
        <f t="shared" ref="F16" si="22">SUM(F37,F58,F79,F100,F121,F142,F163,F184,F205,F226,F247,F268,F289,F310,F331,F352,F373,F394,F415,F436,F457,F478)</f>
        <v>63.024179069514538</v>
      </c>
      <c r="G16" s="299" t="str">
        <f>CONCATENATE("(",ROUND((F16/$H16)*100,1),")")</f>
        <v>(12.1)</v>
      </c>
      <c r="H16" s="249">
        <f t="shared" ref="H16" si="23">SUM(H37,H58,H79,H100,H121,H142,H163,H184,H205,H226,H247,H268,H289,H310,H331,H352,H373,H394,H415,H436,H457,H478)</f>
        <v>520.37000000000023</v>
      </c>
      <c r="I16" s="299" t="str">
        <f>CONCATENATE("(",ROUND((H16/$H16)*100,1),")")</f>
        <v>(100)</v>
      </c>
      <c r="K16" s="249">
        <f t="shared" si="17"/>
        <v>8.5216150564303916</v>
      </c>
      <c r="L16" s="249">
        <f t="shared" si="18"/>
        <v>1.5862427295164139</v>
      </c>
      <c r="M16" s="249">
        <f t="shared" si="19"/>
        <v>2.4341422140530895</v>
      </c>
      <c r="N16" s="249">
        <f t="shared" si="20"/>
        <v>12.541999999999895</v>
      </c>
    </row>
    <row r="17" spans="1:14" x14ac:dyDescent="0.2">
      <c r="B17" s="249"/>
      <c r="C17" s="284"/>
      <c r="D17" s="249"/>
      <c r="E17" s="284"/>
      <c r="F17" s="249"/>
      <c r="G17" s="284"/>
      <c r="H17" s="249"/>
      <c r="I17" s="284"/>
    </row>
    <row r="18" spans="1:14" x14ac:dyDescent="0.2">
      <c r="A18" s="286">
        <f>'Ind T6'!V5</f>
        <v>2035</v>
      </c>
      <c r="B18" s="249"/>
      <c r="C18" s="284"/>
      <c r="D18" s="249"/>
      <c r="E18" s="284"/>
      <c r="F18" s="249"/>
      <c r="G18" s="284"/>
      <c r="H18" s="249"/>
      <c r="I18" s="284"/>
      <c r="K18" s="286" t="str">
        <f>CONCATENATE(A8," - ",A18)</f>
        <v>2020 - 2035</v>
      </c>
    </row>
    <row r="19" spans="1:14" x14ac:dyDescent="0.2">
      <c r="A19" s="282" t="s">
        <v>364</v>
      </c>
      <c r="B19" s="249">
        <f t="shared" si="0"/>
        <v>190.89269589202831</v>
      </c>
      <c r="C19" s="299" t="str">
        <f>CONCATENATE("(",ROUND((B19/$H21)*100,1),")")</f>
        <v>(35.8)</v>
      </c>
      <c r="D19" s="249">
        <f t="shared" ref="D19" si="24">SUM(D40,D61,D82,D103,D124,D145,D166,D187,D208,D229,D250,D271,D292,D313,D334,D355,D376,D397,D418,D439,D460,D481)</f>
        <v>45.301014159040392</v>
      </c>
      <c r="E19" s="299" t="str">
        <f>CONCATENATE("(",ROUND((D19/$H21)*100,1),")")</f>
        <v>(8.5)</v>
      </c>
      <c r="F19" s="249">
        <f t="shared" ref="F19" si="25">SUM(F40,F61,F82,F103,F124,F145,F166,F187,F208,F229,F250,F271,F292,F313,F334,F355,F376,F397,F418,F439,F460,F481)</f>
        <v>38.683415708874932</v>
      </c>
      <c r="G19" s="299" t="str">
        <f>CONCATENATE("(",ROUND((F19/$H21)*100,1),")")</f>
        <v>(7.3)</v>
      </c>
      <c r="H19" s="249">
        <f t="shared" ref="H19" si="26">SUM(H40,H61,H82,H103,H124,H145,H166,H187,H208,H229,H250,H271,H292,H313,H334,H355,H376,H397,H418,H439,H460,H481)</f>
        <v>274.87712575994362</v>
      </c>
      <c r="I19" s="299" t="str">
        <f>CONCATENATE("(",ROUND((H19/$H21)*100,1),")")</f>
        <v>(51.6)</v>
      </c>
      <c r="K19" s="249">
        <f>B19-B9</f>
        <v>1.622890911631913</v>
      </c>
      <c r="L19" s="249">
        <f>D19-D9</f>
        <v>2.5606865846700657</v>
      </c>
      <c r="M19" s="249">
        <f>F19-F9</f>
        <v>1.2130001801231529</v>
      </c>
      <c r="N19" s="249">
        <f>SUM(K19:M19)</f>
        <v>5.3965776764251316</v>
      </c>
    </row>
    <row r="20" spans="1:14" x14ac:dyDescent="0.2">
      <c r="A20" s="282" t="s">
        <v>365</v>
      </c>
      <c r="B20" s="249">
        <f t="shared" si="0"/>
        <v>125.79801417214817</v>
      </c>
      <c r="C20" s="299" t="str">
        <f>CONCATENATE("(",ROUND((B20/$H21)*100,1),")")</f>
        <v>(23.6)</v>
      </c>
      <c r="D20" s="249">
        <f t="shared" ref="D20" si="27">SUM(D41,D62,D83,D104,D125,D146,D167,D188,D209,D230,D251,D272,D293,D314,D335,D356,D377,D398,D419,D440,D461,D482)</f>
        <v>105.46195449321569</v>
      </c>
      <c r="E20" s="299" t="str">
        <f>CONCATENATE("(",ROUND((D20/$H21)*100,1),")")</f>
        <v>(19.8)</v>
      </c>
      <c r="F20" s="249">
        <f t="shared" ref="F20" si="28">SUM(F41,F62,F83,F104,F125,F146,F167,F188,F209,F230,F251,F272,F293,F314,F335,F356,F377,F398,F419,F440,F461,F482)</f>
        <v>26.774905574692699</v>
      </c>
      <c r="G20" s="299" t="str">
        <f>CONCATENATE("(",ROUND((F20/$H21)*100,1),")")</f>
        <v>(5)</v>
      </c>
      <c r="H20" s="249">
        <f t="shared" ref="H20" si="29">SUM(H41,H62,H83,H104,H125,H146,H167,H188,H209,H230,H251,H272,H293,H314,H335,H356,H377,H398,H419,H440,H461,H482)</f>
        <v>258.03487424005647</v>
      </c>
      <c r="I20" s="299" t="str">
        <f>CONCATENATE("(",ROUND((H20/$H21)*100,1),")")</f>
        <v>(48.4)</v>
      </c>
      <c r="K20" s="249">
        <f t="shared" ref="K20:K21" si="30">B20-B10</f>
        <v>11.854749639472956</v>
      </c>
      <c r="L20" s="249">
        <f t="shared" ref="L20:L21" si="31">D20-D10</f>
        <v>-0.62712669124708498</v>
      </c>
      <c r="M20" s="249">
        <f t="shared" ref="M20:M21" si="32">F20-F10</f>
        <v>1.4427993753490362</v>
      </c>
      <c r="N20" s="249">
        <f t="shared" ref="N20:N21" si="33">SUM(K20:M20)</f>
        <v>12.670422323574908</v>
      </c>
    </row>
    <row r="21" spans="1:14" x14ac:dyDescent="0.2">
      <c r="A21" s="282" t="s">
        <v>363</v>
      </c>
      <c r="B21" s="249">
        <f t="shared" si="0"/>
        <v>316.69071006417647</v>
      </c>
      <c r="C21" s="299" t="str">
        <f>CONCATENATE("(",ROUND((B21/$H21)*100,1),")")</f>
        <v>(59.4)</v>
      </c>
      <c r="D21" s="249">
        <f t="shared" ref="D21" si="34">SUM(D42,D63,D84,D105,D126,D147,D168,D189,D210,D231,D252,D273,D294,D315,D336,D357,D378,D399,D420,D441,D462,D483)</f>
        <v>150.76296865225606</v>
      </c>
      <c r="E21" s="299" t="str">
        <f>CONCATENATE("(",ROUND((D21/$H21)*100,1),")")</f>
        <v>(28.3)</v>
      </c>
      <c r="F21" s="249">
        <f>SUM(F42,F63,F84,F105,F126,F147,F168,F189,F210,F231,F252,F273,F294,F315,F336,F357,F378,F399,F420,F441,F462,F483)</f>
        <v>65.458321283567628</v>
      </c>
      <c r="G21" s="299" t="str">
        <f>CONCATENATE("(",ROUND((F21/$H21)*100,1),")")</f>
        <v>(12.3)</v>
      </c>
      <c r="H21" s="249">
        <f t="shared" ref="H21" si="35">SUM(H42,H63,H84,H105,H126,H147,H168,H189,H210,H231,H252,H273,H294,H315,H336,H357,H378,H399,H420,H441,H462,H483)</f>
        <v>532.91200000000003</v>
      </c>
      <c r="I21" s="299" t="str">
        <f>CONCATENATE("(",ROUND((H21/$H21)*100,1),")")</f>
        <v>(100)</v>
      </c>
      <c r="K21" s="249">
        <f t="shared" si="30"/>
        <v>13.477640551104741</v>
      </c>
      <c r="L21" s="249">
        <f t="shared" si="31"/>
        <v>1.9335598934229381</v>
      </c>
      <c r="M21" s="249">
        <f t="shared" si="32"/>
        <v>2.6557995554721785</v>
      </c>
      <c r="N21" s="249">
        <f t="shared" si="33"/>
        <v>18.066999999999858</v>
      </c>
    </row>
    <row r="22" spans="1:14" x14ac:dyDescent="0.2">
      <c r="A22" s="293"/>
      <c r="B22" s="294"/>
      <c r="C22" s="293"/>
      <c r="D22" s="294"/>
      <c r="E22" s="293"/>
      <c r="F22" s="294"/>
      <c r="G22" s="293"/>
      <c r="H22" s="294"/>
      <c r="I22" s="293"/>
      <c r="J22" s="293"/>
      <c r="K22" s="294"/>
      <c r="L22" s="294"/>
      <c r="M22" s="294"/>
      <c r="N22" s="294"/>
    </row>
    <row r="26" spans="1:14" x14ac:dyDescent="0.2">
      <c r="A26" s="288"/>
      <c r="B26" s="289" t="s">
        <v>372</v>
      </c>
      <c r="C26" s="288"/>
      <c r="D26" s="289"/>
      <c r="E26" s="288"/>
      <c r="F26" s="289" t="str">
        <f>name!B4</f>
        <v>Agriculture</v>
      </c>
      <c r="G26" s="288"/>
      <c r="H26" s="291"/>
      <c r="I26" s="288"/>
      <c r="J26" s="290"/>
      <c r="K26" s="291"/>
      <c r="L26" s="291"/>
      <c r="M26" s="291"/>
      <c r="N26" s="291"/>
    </row>
    <row r="27" spans="1:14" x14ac:dyDescent="0.2">
      <c r="N27" s="287" t="s">
        <v>370</v>
      </c>
    </row>
    <row r="28" spans="1:14" x14ac:dyDescent="0.2">
      <c r="A28" s="296" t="s">
        <v>371</v>
      </c>
      <c r="B28" s="373" t="s">
        <v>369</v>
      </c>
      <c r="C28" s="373"/>
      <c r="D28" s="373" t="s">
        <v>368</v>
      </c>
      <c r="E28" s="373"/>
      <c r="F28" s="373" t="s">
        <v>367</v>
      </c>
      <c r="G28" s="373"/>
      <c r="H28" s="373" t="s">
        <v>33</v>
      </c>
      <c r="I28" s="373"/>
      <c r="J28" s="296"/>
      <c r="K28" s="297" t="s">
        <v>345</v>
      </c>
      <c r="L28" s="297" t="s">
        <v>347</v>
      </c>
      <c r="M28" s="297" t="s">
        <v>343</v>
      </c>
      <c r="N28" s="297" t="s">
        <v>33</v>
      </c>
    </row>
    <row r="29" spans="1:14" x14ac:dyDescent="0.2">
      <c r="A29" s="292">
        <f>$A$8</f>
        <v>2020</v>
      </c>
      <c r="B29" s="287" t="s">
        <v>66</v>
      </c>
      <c r="C29" s="20" t="s">
        <v>366</v>
      </c>
      <c r="D29" s="287" t="s">
        <v>66</v>
      </c>
      <c r="E29" s="20" t="s">
        <v>366</v>
      </c>
      <c r="F29" s="287" t="s">
        <v>66</v>
      </c>
      <c r="G29" s="20" t="s">
        <v>366</v>
      </c>
      <c r="H29" s="287" t="s">
        <v>66</v>
      </c>
      <c r="I29" s="20" t="s">
        <v>366</v>
      </c>
      <c r="J29" s="182"/>
      <c r="K29" s="286" t="str">
        <f>CONCATENATE(A29," - ",A34)</f>
        <v>2020 - 2025</v>
      </c>
      <c r="L29" s="285"/>
      <c r="M29" s="285"/>
    </row>
    <row r="30" spans="1:14" x14ac:dyDescent="0.2">
      <c r="A30" s="282" t="s">
        <v>364</v>
      </c>
      <c r="B30" s="302">
        <f>'Ind T6'!L9</f>
        <v>6.4048426406452803</v>
      </c>
      <c r="C30" s="299" t="str">
        <f>CONCATENATE("(",ROUND((B30/$H32)*100,1),")")</f>
        <v>(44.7)</v>
      </c>
      <c r="D30" s="302">
        <f>'Ind T6'!M9</f>
        <v>0.78889516743939736</v>
      </c>
      <c r="E30" s="299" t="str">
        <f>CONCATENATE("(",ROUND((D30/$H32)*100,1),")")</f>
        <v>(5.5)</v>
      </c>
      <c r="F30" s="302">
        <f>'Ind T6'!N9</f>
        <v>3.110500945827507</v>
      </c>
      <c r="G30" s="299" t="str">
        <f>CONCATENATE("(",ROUND((F30/$H32)*100,1),")")</f>
        <v>(21.7)</v>
      </c>
      <c r="H30" s="302">
        <f>SUM(B30,D30,F30)</f>
        <v>10.304238753912184</v>
      </c>
      <c r="I30" s="299" t="str">
        <f>CONCATENATE("(",ROUND((H30/$H32)*100,1),")")</f>
        <v>(71.9)</v>
      </c>
      <c r="K30" s="302">
        <f>B35-B30</f>
        <v>0.11699773898681265</v>
      </c>
      <c r="L30" s="302">
        <f>D35-D30</f>
        <v>-6.2743218848614335E-3</v>
      </c>
      <c r="M30" s="302">
        <f>F35-F30</f>
        <v>-0.13788680715704427</v>
      </c>
      <c r="N30" s="302">
        <f>SUM(K30:M30)</f>
        <v>-2.7163390055093051E-2</v>
      </c>
    </row>
    <row r="31" spans="1:14" x14ac:dyDescent="0.2">
      <c r="A31" s="282" t="s">
        <v>365</v>
      </c>
      <c r="B31" s="302">
        <f>'Ind T6'!L8</f>
        <v>2.3332278947494838</v>
      </c>
      <c r="C31" s="299" t="str">
        <f>CONCATENATE("(",ROUND((B31/$H32)*100,1),")")</f>
        <v>(16.3)</v>
      </c>
      <c r="D31" s="302">
        <f>'Ind T6'!M8</f>
        <v>0.49341166499528688</v>
      </c>
      <c r="E31" s="299" t="str">
        <f>CONCATENATE("(",ROUND((D31/$H32)*100,1),")")</f>
        <v>(3.4)</v>
      </c>
      <c r="F31" s="302">
        <f>'Ind T6'!N8</f>
        <v>1.2041216863430673</v>
      </c>
      <c r="G31" s="299" t="str">
        <f>CONCATENATE("(",ROUND((F31/$H32)*100,1),")")</f>
        <v>(8.4)</v>
      </c>
      <c r="H31" s="302">
        <f t="shared" ref="H31" si="36">SUM(B31,D31,F31)</f>
        <v>4.0307612460878381</v>
      </c>
      <c r="I31" s="299" t="str">
        <f>CONCATENATE("(",ROUND((H31/$H32)*100,1),")")</f>
        <v>(28.1)</v>
      </c>
      <c r="K31" s="302">
        <f t="shared" ref="K31:K32" si="37">B36-B31</f>
        <v>-3.4566759033563432E-2</v>
      </c>
      <c r="L31" s="302">
        <f t="shared" ref="L31:L32" si="38">D36-D31</f>
        <v>-2.2281703239258766E-2</v>
      </c>
      <c r="M31" s="302">
        <f t="shared" ref="M31:M32" si="39">F36-F31</f>
        <v>-9.8814767209298715E-4</v>
      </c>
      <c r="N31" s="302">
        <f t="shared" ref="N31:N32" si="40">SUM(K31:M31)</f>
        <v>-5.7836609944915185E-2</v>
      </c>
    </row>
    <row r="32" spans="1:14" x14ac:dyDescent="0.2">
      <c r="A32" s="282" t="s">
        <v>363</v>
      </c>
      <c r="B32" s="302">
        <f>SUM(B30:B31)</f>
        <v>8.7380705353947636</v>
      </c>
      <c r="C32" s="299" t="str">
        <f>CONCATENATE("(",ROUND((B32/$H32)*100,1),")")</f>
        <v>(61)</v>
      </c>
      <c r="D32" s="302">
        <f>SUM(D30:D31)</f>
        <v>1.2823068324346842</v>
      </c>
      <c r="E32" s="299" t="str">
        <f>CONCATENATE("(",ROUND((D32/$H32)*100,1),")")</f>
        <v>(8.9)</v>
      </c>
      <c r="F32" s="302">
        <f>SUM(F30:F31)</f>
        <v>4.3146226321705745</v>
      </c>
      <c r="G32" s="299" t="str">
        <f>CONCATENATE("(",ROUND((F32/$H32)*100,1),")")</f>
        <v>(30.1)</v>
      </c>
      <c r="H32" s="302">
        <f>SUM(H30:H31)</f>
        <v>14.335000000000022</v>
      </c>
      <c r="I32" s="299" t="str">
        <f>CONCATENATE("(",ROUND((H32/$H32)*100,1),")")</f>
        <v>(100)</v>
      </c>
      <c r="K32" s="302">
        <f t="shared" si="37"/>
        <v>8.2430979953249661E-2</v>
      </c>
      <c r="L32" s="302">
        <f t="shared" si="38"/>
        <v>-2.8556025124120143E-2</v>
      </c>
      <c r="M32" s="302">
        <f t="shared" si="39"/>
        <v>-0.13887495482913703</v>
      </c>
      <c r="N32" s="302">
        <f t="shared" si="40"/>
        <v>-8.5000000000007514E-2</v>
      </c>
    </row>
    <row r="33" spans="1:14" x14ac:dyDescent="0.2">
      <c r="B33" s="302"/>
      <c r="C33" s="284"/>
      <c r="D33" s="302"/>
      <c r="E33" s="284"/>
      <c r="F33" s="302"/>
      <c r="G33" s="284"/>
      <c r="H33" s="302"/>
      <c r="I33" s="284"/>
    </row>
    <row r="34" spans="1:14" x14ac:dyDescent="0.2">
      <c r="A34" s="292">
        <f>$A$13</f>
        <v>2025</v>
      </c>
      <c r="B34" s="302"/>
      <c r="C34" s="284"/>
      <c r="D34" s="302"/>
      <c r="E34" s="284"/>
      <c r="F34" s="302"/>
      <c r="G34" s="284"/>
      <c r="H34" s="302"/>
      <c r="I34" s="284"/>
      <c r="K34" s="286" t="str">
        <f>CONCATENATE(A34," - ",A39)</f>
        <v>2025 - 2035</v>
      </c>
    </row>
    <row r="35" spans="1:14" x14ac:dyDescent="0.2">
      <c r="A35" s="282" t="s">
        <v>364</v>
      </c>
      <c r="B35" s="302">
        <f>'Ind T6'!Q9</f>
        <v>6.521840379632093</v>
      </c>
      <c r="C35" s="299" t="str">
        <f>CONCATENATE("(",ROUND((B35/$H37)*100,1),")")</f>
        <v>(45.8)</v>
      </c>
      <c r="D35" s="302">
        <f>'Ind T6'!R9</f>
        <v>0.78262084555453593</v>
      </c>
      <c r="E35" s="299" t="str">
        <f>CONCATENATE("(",ROUND((D35/$H37)*100,1),")")</f>
        <v>(5.5)</v>
      </c>
      <c r="F35" s="302">
        <f>'Ind T6'!S9</f>
        <v>2.9726141386704628</v>
      </c>
      <c r="G35" s="299" t="str">
        <f>CONCATENATE("(",ROUND((F35/$H37)*100,1),")")</f>
        <v>(20.9)</v>
      </c>
      <c r="H35" s="302">
        <f>SUM(B35,D35,F35)</f>
        <v>10.277075363857092</v>
      </c>
      <c r="I35" s="299" t="str">
        <f>CONCATENATE("(",ROUND((H35/$H37)*100,1),")")</f>
        <v>(72.1)</v>
      </c>
      <c r="K35" s="302">
        <f>B40-B35</f>
        <v>0.21015253261511546</v>
      </c>
      <c r="L35" s="302">
        <f>D40-D35</f>
        <v>-3.3155822431280235E-2</v>
      </c>
      <c r="M35" s="302">
        <f>F40-F35</f>
        <v>-0.3530520432755746</v>
      </c>
      <c r="N35" s="302">
        <f>SUM(K35:M35)</f>
        <v>-0.17605533309173937</v>
      </c>
    </row>
    <row r="36" spans="1:14" x14ac:dyDescent="0.2">
      <c r="A36" s="282" t="s">
        <v>365</v>
      </c>
      <c r="B36" s="302">
        <f>'Ind T6'!Q8</f>
        <v>2.2986611357159203</v>
      </c>
      <c r="C36" s="299" t="str">
        <f>CONCATENATE("(",ROUND((B36/$H37)*100,1),")")</f>
        <v>(16.1)</v>
      </c>
      <c r="D36" s="302">
        <f>'Ind T6'!R8</f>
        <v>0.47112996175602811</v>
      </c>
      <c r="E36" s="299" t="str">
        <f>CONCATENATE("(",ROUND((D36/$H37)*100,1),")")</f>
        <v>(3.3)</v>
      </c>
      <c r="F36" s="302">
        <f>'Ind T6'!S8</f>
        <v>1.2031335386709743</v>
      </c>
      <c r="G36" s="299" t="str">
        <f>CONCATENATE("(",ROUND((F36/$H37)*100,1),")")</f>
        <v>(8.4)</v>
      </c>
      <c r="H36" s="302">
        <f t="shared" ref="H36" si="41">SUM(B36,D36,F36)</f>
        <v>3.9729246361429227</v>
      </c>
      <c r="I36" s="299" t="str">
        <f>CONCATENATE("(",ROUND((H36/$H37)*100,1),")")</f>
        <v>(27.9)</v>
      </c>
      <c r="K36" s="302">
        <f t="shared" ref="K36:K37" si="42">B41-B36</f>
        <v>-0.11230551163389313</v>
      </c>
      <c r="L36" s="302">
        <f t="shared" ref="L36:L37" si="43">D41-D36</f>
        <v>-5.4324722915078005E-2</v>
      </c>
      <c r="M36" s="302">
        <f t="shared" ref="M36:M37" si="44">F41-F36</f>
        <v>-2.331443235928532E-2</v>
      </c>
      <c r="N36" s="302">
        <f t="shared" ref="N36:N37" si="45">SUM(K36:M36)</f>
        <v>-0.18994466690825645</v>
      </c>
    </row>
    <row r="37" spans="1:14" x14ac:dyDescent="0.2">
      <c r="A37" s="282" t="s">
        <v>363</v>
      </c>
      <c r="B37" s="302">
        <f>SUM(B35:B36)</f>
        <v>8.8205015153480133</v>
      </c>
      <c r="C37" s="299" t="str">
        <f>CONCATENATE("(",ROUND((B37/$H37)*100,1),")")</f>
        <v>(61.9)</v>
      </c>
      <c r="D37" s="302">
        <f>SUM(D35:D36)</f>
        <v>1.2537508073105641</v>
      </c>
      <c r="E37" s="299" t="str">
        <f>CONCATENATE("(",ROUND((D37/$H37)*100,1),")")</f>
        <v>(8.8)</v>
      </c>
      <c r="F37" s="302">
        <f>SUM(F35:F36)</f>
        <v>4.1757476773414375</v>
      </c>
      <c r="G37" s="299" t="str">
        <f>CONCATENATE("(",ROUND((F37/$H37)*100,1),")")</f>
        <v>(29.3)</v>
      </c>
      <c r="H37" s="302">
        <f>SUM(H35:H36)</f>
        <v>14.250000000000014</v>
      </c>
      <c r="I37" s="299" t="str">
        <f>CONCATENATE("(",ROUND((H37/$H37)*100,1),")")</f>
        <v>(100)</v>
      </c>
      <c r="K37" s="302">
        <f t="shared" si="42"/>
        <v>9.7847020981221888E-2</v>
      </c>
      <c r="L37" s="302">
        <f t="shared" si="43"/>
        <v>-8.7480545346358296E-2</v>
      </c>
      <c r="M37" s="302">
        <f t="shared" si="44"/>
        <v>-0.37636647563486036</v>
      </c>
      <c r="N37" s="302">
        <f t="shared" si="45"/>
        <v>-0.36599999999999677</v>
      </c>
    </row>
    <row r="38" spans="1:14" x14ac:dyDescent="0.2">
      <c r="B38" s="302"/>
      <c r="C38" s="284"/>
      <c r="D38" s="302"/>
      <c r="E38" s="284"/>
      <c r="F38" s="302"/>
      <c r="G38" s="284"/>
      <c r="H38" s="302"/>
      <c r="I38" s="284"/>
    </row>
    <row r="39" spans="1:14" x14ac:dyDescent="0.2">
      <c r="A39" s="292">
        <f>$A$18</f>
        <v>2035</v>
      </c>
      <c r="B39" s="302"/>
      <c r="C39" s="284"/>
      <c r="D39" s="302"/>
      <c r="E39" s="284"/>
      <c r="F39" s="302"/>
      <c r="G39" s="284"/>
      <c r="H39" s="302"/>
      <c r="I39" s="284"/>
      <c r="K39" s="286" t="str">
        <f>CONCATENATE(A29," - ",A39)</f>
        <v>2020 - 2035</v>
      </c>
    </row>
    <row r="40" spans="1:14" x14ac:dyDescent="0.2">
      <c r="A40" s="282" t="s">
        <v>364</v>
      </c>
      <c r="B40" s="302">
        <f>'Ind T6'!V9</f>
        <v>6.7319929122472084</v>
      </c>
      <c r="C40" s="299" t="str">
        <f>CONCATENATE("(",ROUND((B40/$H42)*100,1),")")</f>
        <v>(48.5)</v>
      </c>
      <c r="D40" s="302">
        <f>'Ind T6'!W9</f>
        <v>0.74946502312325569</v>
      </c>
      <c r="E40" s="299" t="str">
        <f>CONCATENATE("(",ROUND((D40/$H42)*100,1),")")</f>
        <v>(5.4)</v>
      </c>
      <c r="F40" s="302">
        <f>'Ind T6'!X9</f>
        <v>2.6195620953948882</v>
      </c>
      <c r="G40" s="299" t="str">
        <f>CONCATENATE("(",ROUND((F40/$H42)*100,1),")")</f>
        <v>(18.9)</v>
      </c>
      <c r="H40" s="302">
        <f>SUM(B40,D40,F40)</f>
        <v>10.101020030765353</v>
      </c>
      <c r="I40" s="299" t="str">
        <f>CONCATENATE("(",ROUND((H40/$H42)*100,1),")")</f>
        <v>(72.8)</v>
      </c>
      <c r="K40" s="302">
        <f>B40-B30</f>
        <v>0.32715027160192811</v>
      </c>
      <c r="L40" s="302">
        <f>D40-D30</f>
        <v>-3.9430144316141669E-2</v>
      </c>
      <c r="M40" s="302">
        <f>F40-F30</f>
        <v>-0.49093885043261887</v>
      </c>
      <c r="N40" s="302">
        <f>SUM(K40:M40)</f>
        <v>-0.20321872314683243</v>
      </c>
    </row>
    <row r="41" spans="1:14" x14ac:dyDescent="0.2">
      <c r="A41" s="282" t="s">
        <v>365</v>
      </c>
      <c r="B41" s="302">
        <f>'Ind T6'!V8</f>
        <v>2.1863556240820272</v>
      </c>
      <c r="C41" s="299" t="str">
        <f>CONCATENATE("(",ROUND((B41/$H42)*100,1),")")</f>
        <v>(15.7)</v>
      </c>
      <c r="D41" s="302">
        <f>'Ind T6'!W8</f>
        <v>0.41680523884095011</v>
      </c>
      <c r="E41" s="299" t="str">
        <f>CONCATENATE("(",ROUND((D41/$H42)*100,1),")")</f>
        <v>(3)</v>
      </c>
      <c r="F41" s="302">
        <f>'Ind T6'!X8</f>
        <v>1.179819106311689</v>
      </c>
      <c r="G41" s="299" t="str">
        <f>CONCATENATE("(",ROUND((F41/$H42)*100,1),")")</f>
        <v>(8.5)</v>
      </c>
      <c r="H41" s="302">
        <f t="shared" ref="H41" si="46">SUM(B41,D41,F41)</f>
        <v>3.7829799692346664</v>
      </c>
      <c r="I41" s="299" t="str">
        <f>CONCATENATE("(",ROUND((H41/$H42)*100,1),")")</f>
        <v>(27.2)</v>
      </c>
      <c r="K41" s="302">
        <f t="shared" ref="K41:K42" si="47">B41-B31</f>
        <v>-0.14687227066745656</v>
      </c>
      <c r="L41" s="302">
        <f t="shared" ref="L41:L42" si="48">D41-D31</f>
        <v>-7.6606426154336771E-2</v>
      </c>
      <c r="M41" s="302">
        <f t="shared" ref="M41:M42" si="49">F41-F31</f>
        <v>-2.4302580031378307E-2</v>
      </c>
      <c r="N41" s="302">
        <f t="shared" ref="N41:N42" si="50">SUM(K41:M41)</f>
        <v>-0.24778127685317164</v>
      </c>
    </row>
    <row r="42" spans="1:14" x14ac:dyDescent="0.2">
      <c r="A42" s="282" t="s">
        <v>363</v>
      </c>
      <c r="B42" s="302">
        <f>SUM(B40:B41)</f>
        <v>8.9183485363292352</v>
      </c>
      <c r="C42" s="299" t="str">
        <f>CONCATENATE("(",ROUND((B42/$H42)*100,1),")")</f>
        <v>(64.2)</v>
      </c>
      <c r="D42" s="302">
        <f>SUM(D40:D41)</f>
        <v>1.1662702619642058</v>
      </c>
      <c r="E42" s="299" t="str">
        <f>CONCATENATE("(",ROUND((D42/$H42)*100,1),")")</f>
        <v>(8.4)</v>
      </c>
      <c r="F42" s="302">
        <f>SUM(F40:F41)</f>
        <v>3.7993812017065771</v>
      </c>
      <c r="G42" s="299" t="str">
        <f>CONCATENATE("(",ROUND((F42/$H42)*100,1),")")</f>
        <v>(27.4)</v>
      </c>
      <c r="H42" s="302">
        <f>SUM(H40:H41)</f>
        <v>13.88400000000002</v>
      </c>
      <c r="I42" s="299" t="str">
        <f>CONCATENATE("(",ROUND((H42/$H42)*100,1),")")</f>
        <v>(100)</v>
      </c>
      <c r="K42" s="302">
        <f t="shared" si="47"/>
        <v>0.18027800093447155</v>
      </c>
      <c r="L42" s="302">
        <f t="shared" si="48"/>
        <v>-0.11603657047047844</v>
      </c>
      <c r="M42" s="302">
        <f t="shared" si="49"/>
        <v>-0.5152414304639974</v>
      </c>
      <c r="N42" s="302">
        <f t="shared" si="50"/>
        <v>-0.45100000000000429</v>
      </c>
    </row>
    <row r="43" spans="1:14" x14ac:dyDescent="0.2">
      <c r="A43" s="293"/>
      <c r="B43" s="294"/>
      <c r="C43" s="293"/>
      <c r="D43" s="294"/>
      <c r="E43" s="293"/>
      <c r="F43" s="294"/>
      <c r="G43" s="293"/>
      <c r="H43" s="294"/>
      <c r="I43" s="293"/>
      <c r="J43" s="293"/>
      <c r="K43" s="294"/>
      <c r="L43" s="294"/>
      <c r="M43" s="294"/>
      <c r="N43" s="294"/>
    </row>
    <row r="46" spans="1:14" x14ac:dyDescent="0.2">
      <c r="C46" s="182"/>
      <c r="E46" s="182"/>
      <c r="G46" s="182"/>
      <c r="I46" s="182"/>
    </row>
    <row r="47" spans="1:14" x14ac:dyDescent="0.2">
      <c r="A47" s="288"/>
      <c r="B47" s="289" t="s">
        <v>372</v>
      </c>
      <c r="C47" s="288"/>
      <c r="D47" s="289"/>
      <c r="E47" s="288"/>
      <c r="F47" s="289" t="str">
        <f>name!B5</f>
        <v>Mining and quarrying</v>
      </c>
      <c r="G47" s="288"/>
      <c r="H47" s="291"/>
      <c r="I47" s="288"/>
      <c r="J47" s="290"/>
      <c r="K47" s="291"/>
      <c r="L47" s="291"/>
      <c r="M47" s="291"/>
      <c r="N47" s="291"/>
    </row>
    <row r="48" spans="1:14" x14ac:dyDescent="0.2">
      <c r="N48" s="287" t="s">
        <v>370</v>
      </c>
    </row>
    <row r="49" spans="1:14" x14ac:dyDescent="0.2">
      <c r="A49" s="182" t="s">
        <v>371</v>
      </c>
      <c r="B49" s="372" t="s">
        <v>369</v>
      </c>
      <c r="C49" s="372"/>
      <c r="D49" s="372" t="s">
        <v>368</v>
      </c>
      <c r="E49" s="372"/>
      <c r="F49" s="372" t="s">
        <v>367</v>
      </c>
      <c r="G49" s="372"/>
      <c r="H49" s="372" t="s">
        <v>33</v>
      </c>
      <c r="I49" s="372"/>
      <c r="J49" s="182"/>
      <c r="K49" s="297" t="s">
        <v>345</v>
      </c>
      <c r="L49" s="297" t="s">
        <v>347</v>
      </c>
      <c r="M49" s="297" t="s">
        <v>343</v>
      </c>
      <c r="N49" s="297" t="s">
        <v>33</v>
      </c>
    </row>
    <row r="50" spans="1:14" x14ac:dyDescent="0.2">
      <c r="A50" s="292">
        <f>$A$8</f>
        <v>2020</v>
      </c>
      <c r="B50" s="287" t="s">
        <v>66</v>
      </c>
      <c r="C50" s="20" t="s">
        <v>366</v>
      </c>
      <c r="D50" s="287" t="s">
        <v>66</v>
      </c>
      <c r="E50" s="20" t="s">
        <v>366</v>
      </c>
      <c r="F50" s="287" t="s">
        <v>66</v>
      </c>
      <c r="G50" s="20" t="s">
        <v>366</v>
      </c>
      <c r="H50" s="287" t="s">
        <v>66</v>
      </c>
      <c r="I50" s="20" t="s">
        <v>366</v>
      </c>
      <c r="J50" s="182"/>
      <c r="K50" s="286" t="str">
        <f>CONCATENATE(A50," - ",A55)</f>
        <v>2020 - 2025</v>
      </c>
      <c r="L50" s="285"/>
      <c r="M50" s="285"/>
    </row>
    <row r="51" spans="1:14" x14ac:dyDescent="0.2">
      <c r="A51" s="282" t="s">
        <v>364</v>
      </c>
      <c r="B51" s="302">
        <f>'Ind T6'!L18</f>
        <v>0.74627283920299015</v>
      </c>
      <c r="C51" s="299" t="str">
        <f>CONCATENATE("(",ROUND((B51/$H53)*100,1),")")</f>
        <v>(80.9)</v>
      </c>
      <c r="D51" s="302">
        <f>'Ind T6'!M18</f>
        <v>5.2445703028533949E-2</v>
      </c>
      <c r="E51" s="299" t="str">
        <f>CONCATENATE("(",ROUND((D51/$H53)*100,1),")")</f>
        <v>(5.7)</v>
      </c>
      <c r="F51" s="302">
        <f>'Ind T6'!N18</f>
        <v>0</v>
      </c>
      <c r="G51" s="299" t="str">
        <f>CONCATENATE("(",ROUND((F51/$H53)*100,1),")")</f>
        <v>(0)</v>
      </c>
      <c r="H51" s="302">
        <f>SUM(B51,D51,F51)</f>
        <v>0.79871854223152405</v>
      </c>
      <c r="I51" s="299" t="str">
        <f>CONCATENATE("(",ROUND((H51/$H53)*100,1),")")</f>
        <v>(86.6)</v>
      </c>
      <c r="K51" s="302">
        <f>B56-B51</f>
        <v>-0.14303935503911958</v>
      </c>
      <c r="L51" s="302">
        <f>D56-D51</f>
        <v>-8.2791871916626583E-3</v>
      </c>
      <c r="M51" s="302">
        <f>F56-F51</f>
        <v>0</v>
      </c>
      <c r="N51" s="302">
        <f>SUM(K51:M51)</f>
        <v>-0.15131854223078223</v>
      </c>
    </row>
    <row r="52" spans="1:14" x14ac:dyDescent="0.2">
      <c r="A52" s="282" t="s">
        <v>365</v>
      </c>
      <c r="B52" s="302">
        <f>'Ind T6'!L17</f>
        <v>9.5582861363768187E-2</v>
      </c>
      <c r="C52" s="299" t="str">
        <f>CONCATENATE("(",ROUND((B52/$H53)*100,1),")")</f>
        <v>(10.4)</v>
      </c>
      <c r="D52" s="302">
        <f>'Ind T6'!M17</f>
        <v>2.7698596404707541E-2</v>
      </c>
      <c r="E52" s="299" t="str">
        <f>CONCATENATE("(",ROUND((D52/$H53)*100,1),")")</f>
        <v>(3)</v>
      </c>
      <c r="F52" s="302">
        <f>'Ind T6'!N17</f>
        <v>0</v>
      </c>
      <c r="G52" s="299" t="str">
        <f>CONCATENATE("(",ROUND((F52/$H53)*100,1),")")</f>
        <v>(0)</v>
      </c>
      <c r="H52" s="302">
        <f t="shared" ref="H52" si="51">SUM(B52,D52,F52)</f>
        <v>0.12328145776847572</v>
      </c>
      <c r="I52" s="299" t="str">
        <f>CONCATENATE("(",ROUND((H52/$H53)*100,1),")")</f>
        <v>(13.4)</v>
      </c>
      <c r="K52" s="302">
        <f t="shared" ref="K52:K53" si="52">B57-B52</f>
        <v>-1.8742137382328189E-2</v>
      </c>
      <c r="L52" s="302">
        <f t="shared" ref="L52:L53" si="53">D57-D52</f>
        <v>-4.9393203868889103E-3</v>
      </c>
      <c r="M52" s="302">
        <f t="shared" ref="M52:M53" si="54">F57-F52</f>
        <v>0</v>
      </c>
      <c r="N52" s="302">
        <f t="shared" ref="N52:N53" si="55">SUM(K52:M52)</f>
        <v>-2.3681457769217099E-2</v>
      </c>
    </row>
    <row r="53" spans="1:14" x14ac:dyDescent="0.2">
      <c r="A53" s="282" t="s">
        <v>363</v>
      </c>
      <c r="B53" s="302">
        <f>SUM(B51:B52)</f>
        <v>0.84185570056675829</v>
      </c>
      <c r="C53" s="299" t="str">
        <f>CONCATENATE("(",ROUND((B53/$H53)*100,1),")")</f>
        <v>(91.3)</v>
      </c>
      <c r="D53" s="302">
        <f>SUM(D51:D52)</f>
        <v>8.0144299433241487E-2</v>
      </c>
      <c r="E53" s="299" t="str">
        <f>CONCATENATE("(",ROUND((D53/$H53)*100,1),")")</f>
        <v>(8.7)</v>
      </c>
      <c r="F53" s="302">
        <f>SUM(F51:F52)</f>
        <v>0</v>
      </c>
      <c r="G53" s="299" t="str">
        <f>CONCATENATE("(",ROUND((F53/$H53)*100,1),")")</f>
        <v>(0)</v>
      </c>
      <c r="H53" s="302">
        <f>SUM(H51:H52)</f>
        <v>0.92199999999999982</v>
      </c>
      <c r="I53" s="299" t="str">
        <f>CONCATENATE("(",ROUND((H53/$H53)*100,1),")")</f>
        <v>(100)</v>
      </c>
      <c r="K53" s="302">
        <f t="shared" si="52"/>
        <v>-0.16178149242144768</v>
      </c>
      <c r="L53" s="302">
        <f t="shared" si="53"/>
        <v>-1.3218507578551572E-2</v>
      </c>
      <c r="M53" s="302">
        <f t="shared" si="54"/>
        <v>0</v>
      </c>
      <c r="N53" s="302">
        <f t="shared" si="55"/>
        <v>-0.17499999999999927</v>
      </c>
    </row>
    <row r="54" spans="1:14" x14ac:dyDescent="0.2">
      <c r="B54" s="302"/>
      <c r="C54" s="284"/>
      <c r="D54" s="302"/>
      <c r="E54" s="284"/>
      <c r="F54" s="302"/>
      <c r="G54" s="284"/>
      <c r="H54" s="302"/>
      <c r="I54" s="284"/>
    </row>
    <row r="55" spans="1:14" x14ac:dyDescent="0.2">
      <c r="A55" s="292">
        <f>$A$13</f>
        <v>2025</v>
      </c>
      <c r="B55" s="302"/>
      <c r="C55" s="284"/>
      <c r="D55" s="302"/>
      <c r="E55" s="284"/>
      <c r="F55" s="302"/>
      <c r="G55" s="284"/>
      <c r="H55" s="302"/>
      <c r="I55" s="284"/>
      <c r="K55" s="286" t="str">
        <f>CONCATENATE(A55," - ",A60)</f>
        <v>2025 - 2035</v>
      </c>
    </row>
    <row r="56" spans="1:14" x14ac:dyDescent="0.2">
      <c r="A56" s="282" t="s">
        <v>364</v>
      </c>
      <c r="B56" s="302">
        <f>'Ind T6'!Q18</f>
        <v>0.60323348416387057</v>
      </c>
      <c r="C56" s="299" t="str">
        <f>CONCATENATE("(",ROUND((B56/$H58)*100,1),")")</f>
        <v>(80.8)</v>
      </c>
      <c r="D56" s="302">
        <f>'Ind T6'!R18</f>
        <v>4.4166515836871291E-2</v>
      </c>
      <c r="E56" s="299" t="str">
        <f>CONCATENATE("(",ROUND((D56/$H58)*100,1),")")</f>
        <v>(5.9)</v>
      </c>
      <c r="F56" s="302">
        <f>'Ind T6'!S18</f>
        <v>0</v>
      </c>
      <c r="G56" s="299" t="str">
        <f>CONCATENATE("(",ROUND((F56/$H58)*100,1),")")</f>
        <v>(0)</v>
      </c>
      <c r="H56" s="302">
        <f>SUM(B56,D56,F56)</f>
        <v>0.64740000000074183</v>
      </c>
      <c r="I56" s="299" t="str">
        <f>CONCATENATE("(",ROUND((H56/$H58)*100,1),")")</f>
        <v>(86.7)</v>
      </c>
      <c r="K56" s="302">
        <f>B61-B56</f>
        <v>-0.16706169031517831</v>
      </c>
      <c r="L56" s="302">
        <f>D61-D56</f>
        <v>-1.0232436731948985E-2</v>
      </c>
      <c r="M56" s="302">
        <f>F61-F56</f>
        <v>0</v>
      </c>
      <c r="N56" s="302">
        <f>SUM(K56:M56)</f>
        <v>-0.1772941270471273</v>
      </c>
    </row>
    <row r="57" spans="1:14" x14ac:dyDescent="0.2">
      <c r="A57" s="282" t="s">
        <v>365</v>
      </c>
      <c r="B57" s="302">
        <f>'Ind T6'!Q17</f>
        <v>7.6840723981439998E-2</v>
      </c>
      <c r="C57" s="299" t="str">
        <f>CONCATENATE("(",ROUND((B57/$H58)*100,1),")")</f>
        <v>(10.3)</v>
      </c>
      <c r="D57" s="302">
        <f>'Ind T6'!R17</f>
        <v>2.275927601781863E-2</v>
      </c>
      <c r="E57" s="299" t="str">
        <f>CONCATENATE("(",ROUND((D57/$H58)*100,1),")")</f>
        <v>(3)</v>
      </c>
      <c r="F57" s="302">
        <f>'Ind T6'!S17</f>
        <v>0</v>
      </c>
      <c r="G57" s="299" t="str">
        <f>CONCATENATE("(",ROUND((F57/$H58)*100,1),")")</f>
        <v>(0)</v>
      </c>
      <c r="H57" s="302">
        <f t="shared" ref="H57" si="56">SUM(B57,D57,F57)</f>
        <v>9.9599999999258629E-2</v>
      </c>
      <c r="I57" s="299" t="str">
        <f>CONCATENATE("(",ROUND((H57/$H58)*100,1),")")</f>
        <v>(13.3)</v>
      </c>
      <c r="K57" s="302">
        <f t="shared" ref="K57:K58" si="57">B62-B57</f>
        <v>-2.3021706802817843E-2</v>
      </c>
      <c r="L57" s="302">
        <f t="shared" ref="L57:L58" si="58">D62-D57</f>
        <v>-5.6841661500561906E-3</v>
      </c>
      <c r="M57" s="302">
        <f t="shared" ref="M57:M58" si="59">F62-F57</f>
        <v>0</v>
      </c>
      <c r="N57" s="302">
        <f t="shared" ref="N57:N58" si="60">SUM(K57:M57)</f>
        <v>-2.8705872952874033E-2</v>
      </c>
    </row>
    <row r="58" spans="1:14" x14ac:dyDescent="0.2">
      <c r="A58" s="282" t="s">
        <v>363</v>
      </c>
      <c r="B58" s="302">
        <f>SUM(B56:B57)</f>
        <v>0.68007420814531061</v>
      </c>
      <c r="C58" s="299" t="str">
        <f>CONCATENATE("(",ROUND((B58/$H58)*100,1),")")</f>
        <v>(91)</v>
      </c>
      <c r="D58" s="302">
        <f>SUM(D56:D57)</f>
        <v>6.6925791854689914E-2</v>
      </c>
      <c r="E58" s="299" t="str">
        <f>CONCATENATE("(",ROUND((D58/$H58)*100,1),")")</f>
        <v>(9)</v>
      </c>
      <c r="F58" s="302">
        <f>SUM(F56:F57)</f>
        <v>0</v>
      </c>
      <c r="G58" s="299" t="str">
        <f>CONCATENATE("(",ROUND((F58/$H58)*100,1),")")</f>
        <v>(0)</v>
      </c>
      <c r="H58" s="302">
        <f>SUM(H56:H57)</f>
        <v>0.74700000000000044</v>
      </c>
      <c r="I58" s="299" t="str">
        <f>CONCATENATE("(",ROUND((H58/$H58)*100,1),")")</f>
        <v>(100)</v>
      </c>
      <c r="K58" s="302">
        <f t="shared" si="57"/>
        <v>-0.19008339711799621</v>
      </c>
      <c r="L58" s="302">
        <f t="shared" si="58"/>
        <v>-1.5916602882005165E-2</v>
      </c>
      <c r="M58" s="302">
        <f t="shared" si="59"/>
        <v>0</v>
      </c>
      <c r="N58" s="302">
        <f t="shared" si="60"/>
        <v>-0.20600000000000138</v>
      </c>
    </row>
    <row r="59" spans="1:14" x14ac:dyDescent="0.2">
      <c r="B59" s="302"/>
      <c r="C59" s="284"/>
      <c r="D59" s="302"/>
      <c r="E59" s="284"/>
      <c r="F59" s="302"/>
      <c r="G59" s="284"/>
      <c r="H59" s="302"/>
      <c r="I59" s="284"/>
    </row>
    <row r="60" spans="1:14" x14ac:dyDescent="0.2">
      <c r="A60" s="292">
        <f>$A$18</f>
        <v>2035</v>
      </c>
      <c r="B60" s="302"/>
      <c r="C60" s="284"/>
      <c r="D60" s="302"/>
      <c r="E60" s="284"/>
      <c r="F60" s="302"/>
      <c r="G60" s="284"/>
      <c r="H60" s="302"/>
      <c r="I60" s="284"/>
      <c r="K60" s="286" t="str">
        <f>CONCATENATE(A50," - ",A60)</f>
        <v>2020 - 2035</v>
      </c>
    </row>
    <row r="61" spans="1:14" x14ac:dyDescent="0.2">
      <c r="A61" s="282" t="s">
        <v>364</v>
      </c>
      <c r="B61" s="302">
        <f>'Ind T6'!V18</f>
        <v>0.43617179384869226</v>
      </c>
      <c r="C61" s="299" t="str">
        <f>CONCATENATE("(",ROUND((B61/$H63)*100,1),")")</f>
        <v>(80.6)</v>
      </c>
      <c r="D61" s="302">
        <f>'Ind T6'!W18</f>
        <v>3.3934079104922306E-2</v>
      </c>
      <c r="E61" s="299" t="str">
        <f>CONCATENATE("(",ROUND((D61/$H63)*100,1),")")</f>
        <v>(6.3)</v>
      </c>
      <c r="F61" s="302">
        <f>'Ind T6'!X18</f>
        <v>0</v>
      </c>
      <c r="G61" s="299" t="str">
        <f>CONCATENATE("(",ROUND((F61/$H63)*100,1),")")</f>
        <v>(0)</v>
      </c>
      <c r="H61" s="302">
        <f>SUM(B61,D61,F61)</f>
        <v>0.47010587295361456</v>
      </c>
      <c r="I61" s="299" t="str">
        <f>CONCATENATE("(",ROUND((H61/$H63)*100,1),")")</f>
        <v>(86.9)</v>
      </c>
      <c r="K61" s="302">
        <f>B61-B51</f>
        <v>-0.31010104535429789</v>
      </c>
      <c r="L61" s="302">
        <f>D61-D51</f>
        <v>-1.8511623923611643E-2</v>
      </c>
      <c r="M61" s="302">
        <f>F61-F51</f>
        <v>0</v>
      </c>
      <c r="N61" s="302">
        <f>SUM(K61:M61)</f>
        <v>-0.32861266927790955</v>
      </c>
    </row>
    <row r="62" spans="1:14" x14ac:dyDescent="0.2">
      <c r="A62" s="282" t="s">
        <v>365</v>
      </c>
      <c r="B62" s="302">
        <f>'Ind T6'!V17</f>
        <v>5.3819017178622156E-2</v>
      </c>
      <c r="C62" s="299" t="str">
        <f>CONCATENATE("(",ROUND((B62/$H63)*100,1),")")</f>
        <v>(9.9)</v>
      </c>
      <c r="D62" s="302">
        <f>'Ind T6'!W17</f>
        <v>1.707510986776244E-2</v>
      </c>
      <c r="E62" s="299" t="str">
        <f>CONCATENATE("(",ROUND((D62/$H63)*100,1),")")</f>
        <v>(3.2)</v>
      </c>
      <c r="F62" s="302">
        <f>'Ind T6'!X17</f>
        <v>0</v>
      </c>
      <c r="G62" s="299" t="str">
        <f>CONCATENATE("(",ROUND((F62/$H63)*100,1),")")</f>
        <v>(0)</v>
      </c>
      <c r="H62" s="302">
        <f t="shared" ref="H62" si="61">SUM(B62,D62,F62)</f>
        <v>7.0894127046384592E-2</v>
      </c>
      <c r="I62" s="299" t="str">
        <f>CONCATENATE("(",ROUND((H62/$H63)*100,1),")")</f>
        <v>(13.1)</v>
      </c>
      <c r="K62" s="302">
        <f t="shared" ref="K62:K63" si="62">B62-B52</f>
        <v>-4.1763844185146032E-2</v>
      </c>
      <c r="L62" s="302">
        <f t="shared" ref="L62:L63" si="63">D62-D52</f>
        <v>-1.0623486536945101E-2</v>
      </c>
      <c r="M62" s="302">
        <f t="shared" ref="M62:M63" si="64">F62-F52</f>
        <v>0</v>
      </c>
      <c r="N62" s="302">
        <f t="shared" ref="N62:N63" si="65">SUM(K62:M62)</f>
        <v>-5.2387330722091133E-2</v>
      </c>
    </row>
    <row r="63" spans="1:14" x14ac:dyDescent="0.2">
      <c r="A63" s="282" t="s">
        <v>363</v>
      </c>
      <c r="B63" s="302">
        <f>SUM(B61:B62)</f>
        <v>0.4899908110273144</v>
      </c>
      <c r="C63" s="299" t="str">
        <f>CONCATENATE("(",ROUND((B63/$H63)*100,1),")")</f>
        <v>(90.6)</v>
      </c>
      <c r="D63" s="302">
        <f>SUM(D61:D62)</f>
        <v>5.1009188972684749E-2</v>
      </c>
      <c r="E63" s="299" t="str">
        <f>CONCATENATE("(",ROUND((D63/$H63)*100,1),")")</f>
        <v>(9.4)</v>
      </c>
      <c r="F63" s="302">
        <f>SUM(F61:F62)</f>
        <v>0</v>
      </c>
      <c r="G63" s="299" t="str">
        <f>CONCATENATE("(",ROUND((F63/$H63)*100,1),")")</f>
        <v>(0)</v>
      </c>
      <c r="H63" s="302">
        <f>SUM(H61:H62)</f>
        <v>0.54099999999999915</v>
      </c>
      <c r="I63" s="299" t="str">
        <f>CONCATENATE("(",ROUND((H63/$H63)*100,1),")")</f>
        <v>(100)</v>
      </c>
      <c r="K63" s="302">
        <f t="shared" si="62"/>
        <v>-0.35186488953944389</v>
      </c>
      <c r="L63" s="302">
        <f t="shared" si="63"/>
        <v>-2.9135110460556737E-2</v>
      </c>
      <c r="M63" s="302">
        <f t="shared" si="64"/>
        <v>0</v>
      </c>
      <c r="N63" s="302">
        <f t="shared" si="65"/>
        <v>-0.38100000000000062</v>
      </c>
    </row>
    <row r="64" spans="1:14" x14ac:dyDescent="0.2">
      <c r="A64" s="293"/>
      <c r="B64" s="294"/>
      <c r="C64" s="293"/>
      <c r="D64" s="294"/>
      <c r="E64" s="293"/>
      <c r="F64" s="294"/>
      <c r="G64" s="293"/>
      <c r="H64" s="294"/>
      <c r="I64" s="293"/>
      <c r="J64" s="293"/>
      <c r="K64" s="294"/>
      <c r="L64" s="294"/>
      <c r="M64" s="294"/>
      <c r="N64" s="294"/>
    </row>
    <row r="68" spans="1:14" x14ac:dyDescent="0.2">
      <c r="A68" s="288"/>
      <c r="B68" s="289" t="s">
        <v>372</v>
      </c>
      <c r="C68" s="288"/>
      <c r="D68" s="289"/>
      <c r="E68" s="288"/>
      <c r="F68" s="289" t="str">
        <f>name!B6</f>
        <v>Food drink and tobacco</v>
      </c>
      <c r="G68" s="288"/>
      <c r="H68" s="291"/>
      <c r="I68" s="288"/>
      <c r="J68" s="290"/>
      <c r="K68" s="291"/>
      <c r="L68" s="291"/>
      <c r="M68" s="291"/>
      <c r="N68" s="291"/>
    </row>
    <row r="69" spans="1:14" x14ac:dyDescent="0.2">
      <c r="N69" s="287" t="s">
        <v>370</v>
      </c>
    </row>
    <row r="70" spans="1:14" x14ac:dyDescent="0.2">
      <c r="A70" s="182" t="s">
        <v>371</v>
      </c>
      <c r="B70" s="372" t="s">
        <v>369</v>
      </c>
      <c r="C70" s="372"/>
      <c r="D70" s="372" t="s">
        <v>368</v>
      </c>
      <c r="E70" s="372"/>
      <c r="F70" s="372" t="s">
        <v>367</v>
      </c>
      <c r="G70" s="372"/>
      <c r="H70" s="372" t="s">
        <v>33</v>
      </c>
      <c r="I70" s="372"/>
      <c r="J70" s="182"/>
      <c r="K70" s="297" t="s">
        <v>345</v>
      </c>
      <c r="L70" s="297" t="s">
        <v>347</v>
      </c>
      <c r="M70" s="297" t="s">
        <v>343</v>
      </c>
      <c r="N70" s="297" t="s">
        <v>33</v>
      </c>
    </row>
    <row r="71" spans="1:14" x14ac:dyDescent="0.2">
      <c r="A71" s="292">
        <f>$A$8</f>
        <v>2020</v>
      </c>
      <c r="B71" s="287" t="s">
        <v>66</v>
      </c>
      <c r="C71" s="20" t="s">
        <v>366</v>
      </c>
      <c r="D71" s="287" t="s">
        <v>66</v>
      </c>
      <c r="E71" s="20" t="s">
        <v>366</v>
      </c>
      <c r="F71" s="287" t="s">
        <v>66</v>
      </c>
      <c r="G71" s="20" t="s">
        <v>366</v>
      </c>
      <c r="H71" s="287" t="s">
        <v>66</v>
      </c>
      <c r="I71" s="20" t="s">
        <v>366</v>
      </c>
      <c r="J71" s="182"/>
      <c r="K71" s="286" t="str">
        <f>CONCATENATE(A71," - ",A76)</f>
        <v>2020 - 2025</v>
      </c>
      <c r="L71" s="285"/>
      <c r="M71" s="285"/>
    </row>
    <row r="72" spans="1:14" x14ac:dyDescent="0.2">
      <c r="A72" s="282" t="s">
        <v>364</v>
      </c>
      <c r="B72" s="302">
        <f>'Ind T6'!L27</f>
        <v>14.449957869706902</v>
      </c>
      <c r="C72" s="299" t="str">
        <f>CONCATENATE("(",ROUND((B72/$H74)*100,1),")")</f>
        <v>(59.8)</v>
      </c>
      <c r="D72" s="302">
        <f>'Ind T6'!M27</f>
        <v>1.3395241094502148</v>
      </c>
      <c r="E72" s="299" t="str">
        <f>CONCATENATE("(",ROUND((D72/$H74)*100,1),")")</f>
        <v>(5.5)</v>
      </c>
      <c r="F72" s="302">
        <f>'Ind T6'!N27</f>
        <v>0.18804045069351985</v>
      </c>
      <c r="G72" s="299" t="str">
        <f>CONCATENATE("(",ROUND((F72/$H74)*100,1),")")</f>
        <v>(0.8)</v>
      </c>
      <c r="H72" s="302">
        <f>SUM(B72,D72,F72)</f>
        <v>15.977522429850637</v>
      </c>
      <c r="I72" s="299" t="str">
        <f>CONCATENATE("(",ROUND((H72/$H74)*100,1),")")</f>
        <v>(66.2)</v>
      </c>
      <c r="K72" s="302">
        <f>B77-B72</f>
        <v>0.28702753558724226</v>
      </c>
      <c r="L72" s="302">
        <f>D77-D72</f>
        <v>4.147914987511947E-2</v>
      </c>
      <c r="M72" s="302">
        <f>F77-F72</f>
        <v>7.6986113260425759E-3</v>
      </c>
      <c r="N72" s="302">
        <f>SUM(K72:M72)</f>
        <v>0.33620529678840427</v>
      </c>
    </row>
    <row r="73" spans="1:14" x14ac:dyDescent="0.2">
      <c r="A73" s="282" t="s">
        <v>365</v>
      </c>
      <c r="B73" s="302">
        <f>'Ind T6'!L26</f>
        <v>6.2615357267391323</v>
      </c>
      <c r="C73" s="299" t="str">
        <f>CONCATENATE("(",ROUND((B73/$H74)*100,1),")")</f>
        <v>(25.9)</v>
      </c>
      <c r="D73" s="302">
        <f>'Ind T6'!M26</f>
        <v>1.8030755126687876</v>
      </c>
      <c r="E73" s="299" t="str">
        <f>CONCATENATE("(",ROUND((D73/$H74)*100,1),")")</f>
        <v>(7.5)</v>
      </c>
      <c r="F73" s="302">
        <f>'Ind T6'!N26</f>
        <v>0.10986633074144976</v>
      </c>
      <c r="G73" s="299" t="str">
        <f>CONCATENATE("(",ROUND((F73/$H74)*100,1),")")</f>
        <v>(0.5)</v>
      </c>
      <c r="H73" s="302">
        <f t="shared" ref="H73" si="66">SUM(B73,D73,F73)</f>
        <v>8.1744775701493708</v>
      </c>
      <c r="I73" s="299" t="str">
        <f>CONCATENATE("(",ROUND((H73/$H74)*100,1),")")</f>
        <v>(33.8)</v>
      </c>
      <c r="K73" s="302">
        <f t="shared" ref="K73:K74" si="67">B78-B73</f>
        <v>0.43530726413892218</v>
      </c>
      <c r="L73" s="302">
        <f t="shared" ref="L73:L74" si="68">D78-D73</f>
        <v>5.2033425579809611E-2</v>
      </c>
      <c r="M73" s="302">
        <f t="shared" ref="M73:M74" si="69">F78-F73</f>
        <v>6.454013492843913E-3</v>
      </c>
      <c r="N73" s="302">
        <f t="shared" ref="N73:N74" si="70">SUM(K73:M73)</f>
        <v>0.4937947032115757</v>
      </c>
    </row>
    <row r="74" spans="1:14" x14ac:dyDescent="0.2">
      <c r="A74" s="282" t="s">
        <v>363</v>
      </c>
      <c r="B74" s="302">
        <f>SUM(B72:B73)</f>
        <v>20.711493596446033</v>
      </c>
      <c r="C74" s="299" t="str">
        <f>CONCATENATE("(",ROUND((B74/$H74)*100,1),")")</f>
        <v>(85.8)</v>
      </c>
      <c r="D74" s="302">
        <f>SUM(D72:D73)</f>
        <v>3.1425996221190022</v>
      </c>
      <c r="E74" s="299" t="str">
        <f>CONCATENATE("(",ROUND((D74/$H74)*100,1),")")</f>
        <v>(13)</v>
      </c>
      <c r="F74" s="302">
        <f>SUM(F72:F73)</f>
        <v>0.29790678143496963</v>
      </c>
      <c r="G74" s="299" t="str">
        <f>CONCATENATE("(",ROUND((F74/$H74)*100,1),")")</f>
        <v>(1.2)</v>
      </c>
      <c r="H74" s="302">
        <f>SUM(H72:H73)</f>
        <v>24.152000000000008</v>
      </c>
      <c r="I74" s="299" t="str">
        <f>CONCATENATE("(",ROUND((H74/$H74)*100,1),")")</f>
        <v>(100)</v>
      </c>
      <c r="K74" s="302">
        <f t="shared" si="67"/>
        <v>0.72233479972616621</v>
      </c>
      <c r="L74" s="302">
        <f t="shared" si="68"/>
        <v>9.3512575454929525E-2</v>
      </c>
      <c r="M74" s="302">
        <f t="shared" si="69"/>
        <v>1.4152624818886461E-2</v>
      </c>
      <c r="N74" s="302">
        <f t="shared" si="70"/>
        <v>0.8299999999999822</v>
      </c>
    </row>
    <row r="75" spans="1:14" x14ac:dyDescent="0.2">
      <c r="B75" s="302"/>
      <c r="C75" s="284"/>
      <c r="D75" s="302"/>
      <c r="E75" s="284"/>
      <c r="F75" s="302"/>
      <c r="G75" s="284"/>
      <c r="H75" s="302"/>
      <c r="I75" s="284"/>
    </row>
    <row r="76" spans="1:14" x14ac:dyDescent="0.2">
      <c r="A76" s="292">
        <f>$A$13</f>
        <v>2025</v>
      </c>
      <c r="B76" s="302"/>
      <c r="C76" s="284"/>
      <c r="D76" s="302"/>
      <c r="E76" s="284"/>
      <c r="F76" s="302"/>
      <c r="G76" s="284"/>
      <c r="H76" s="302"/>
      <c r="I76" s="284"/>
      <c r="K76" s="286" t="str">
        <f>CONCATENATE(A76," - ",A81)</f>
        <v>2025 - 2035</v>
      </c>
    </row>
    <row r="77" spans="1:14" x14ac:dyDescent="0.2">
      <c r="A77" s="282" t="s">
        <v>364</v>
      </c>
      <c r="B77" s="302">
        <f>'Ind T6'!Q27</f>
        <v>14.736985405294144</v>
      </c>
      <c r="C77" s="299" t="str">
        <f>CONCATENATE("(",ROUND((B77/$H79)*100,1),")")</f>
        <v>(59)</v>
      </c>
      <c r="D77" s="302">
        <f>'Ind T6'!R27</f>
        <v>1.3810032593253343</v>
      </c>
      <c r="E77" s="299" t="str">
        <f>CONCATENATE("(",ROUND((D77/$H79)*100,1),")")</f>
        <v>(5.5)</v>
      </c>
      <c r="F77" s="302">
        <f>'Ind T6'!S27</f>
        <v>0.19573906201956243</v>
      </c>
      <c r="G77" s="299" t="str">
        <f>CONCATENATE("(",ROUND((F77/$H79)*100,1),")")</f>
        <v>(0.8)</v>
      </c>
      <c r="H77" s="302">
        <f>SUM(B77,D77,F77)</f>
        <v>16.313727726639041</v>
      </c>
      <c r="I77" s="299" t="str">
        <f>CONCATENATE("(",ROUND((H77/$H79)*100,1),")")</f>
        <v>(65.3)</v>
      </c>
      <c r="K77" s="302">
        <f>B82-B77</f>
        <v>-0.27679360933681885</v>
      </c>
      <c r="L77" s="302">
        <f>D82-D77</f>
        <v>4.4352109852119348E-3</v>
      </c>
      <c r="M77" s="302">
        <f>F82-F77</f>
        <v>6.8104219381784903E-3</v>
      </c>
      <c r="N77" s="302">
        <f>SUM(K77:M77)</f>
        <v>-0.26554797641342842</v>
      </c>
    </row>
    <row r="78" spans="1:14" x14ac:dyDescent="0.2">
      <c r="A78" s="282" t="s">
        <v>365</v>
      </c>
      <c r="B78" s="302">
        <f>'Ind T6'!Q26</f>
        <v>6.6968429908780545</v>
      </c>
      <c r="C78" s="299" t="str">
        <f>CONCATENATE("(",ROUND((B78/$H79)*100,1),")")</f>
        <v>(26.8)</v>
      </c>
      <c r="D78" s="302">
        <f>'Ind T6'!R26</f>
        <v>1.8551089382485972</v>
      </c>
      <c r="E78" s="299" t="str">
        <f>CONCATENATE("(",ROUND((D78/$H79)*100,1),")")</f>
        <v>(7.4)</v>
      </c>
      <c r="F78" s="302">
        <f>'Ind T6'!S26</f>
        <v>0.11632034423429367</v>
      </c>
      <c r="G78" s="299" t="str">
        <f>CONCATENATE("(",ROUND((F78/$H79)*100,1),")")</f>
        <v>(0.5)</v>
      </c>
      <c r="H78" s="302">
        <f t="shared" ref="H78" si="71">SUM(B78,D78,F78)</f>
        <v>8.6682722733609463</v>
      </c>
      <c r="I78" s="299" t="str">
        <f>CONCATENATE("(",ROUND((H78/$H79)*100,1),")")</f>
        <v>(34.7)</v>
      </c>
      <c r="K78" s="302">
        <f t="shared" ref="K78:K79" si="72">B83-B78</f>
        <v>0.47819627474660198</v>
      </c>
      <c r="L78" s="302">
        <f t="shared" ref="L78:L79" si="73">D83-D78</f>
        <v>-7.857644474690284E-3</v>
      </c>
      <c r="M78" s="302">
        <f t="shared" ref="M78:M79" si="74">F83-F78</f>
        <v>5.2093461415192166E-3</v>
      </c>
      <c r="N78" s="302">
        <f t="shared" ref="N78:N79" si="75">SUM(K78:M78)</f>
        <v>0.47554797641343094</v>
      </c>
    </row>
    <row r="79" spans="1:14" x14ac:dyDescent="0.2">
      <c r="A79" s="282" t="s">
        <v>363</v>
      </c>
      <c r="B79" s="302">
        <f>SUM(B77:B78)</f>
        <v>21.433828396172199</v>
      </c>
      <c r="C79" s="299" t="str">
        <f>CONCATENATE("(",ROUND((B79/$H79)*100,1),")")</f>
        <v>(85.8)</v>
      </c>
      <c r="D79" s="302">
        <f>SUM(D77:D78)</f>
        <v>3.2361121975739318</v>
      </c>
      <c r="E79" s="299" t="str">
        <f>CONCATENATE("(",ROUND((D79/$H79)*100,1),")")</f>
        <v>(13)</v>
      </c>
      <c r="F79" s="302">
        <f>SUM(F77:F78)</f>
        <v>0.31205940625385609</v>
      </c>
      <c r="G79" s="299" t="str">
        <f>CONCATENATE("(",ROUND((F79/$H79)*100,1),")")</f>
        <v>(1.2)</v>
      </c>
      <c r="H79" s="302">
        <f>SUM(H77:H78)</f>
        <v>24.981999999999985</v>
      </c>
      <c r="I79" s="299" t="str">
        <f>CONCATENATE("(",ROUND((H79/$H79)*100,1),")")</f>
        <v>(100)</v>
      </c>
      <c r="K79" s="302">
        <f t="shared" si="72"/>
        <v>0.20140266540978402</v>
      </c>
      <c r="L79" s="302">
        <f t="shared" si="73"/>
        <v>-3.4224334894785713E-3</v>
      </c>
      <c r="M79" s="302">
        <f t="shared" si="74"/>
        <v>1.2019768079697735E-2</v>
      </c>
      <c r="N79" s="302">
        <f t="shared" si="75"/>
        <v>0.21000000000000318</v>
      </c>
    </row>
    <row r="80" spans="1:14" x14ac:dyDescent="0.2">
      <c r="B80" s="302"/>
      <c r="C80" s="284"/>
      <c r="D80" s="302"/>
      <c r="E80" s="284"/>
      <c r="F80" s="302"/>
      <c r="G80" s="284"/>
      <c r="H80" s="302"/>
      <c r="I80" s="284"/>
    </row>
    <row r="81" spans="1:14" x14ac:dyDescent="0.2">
      <c r="A81" s="292">
        <f>$A$18</f>
        <v>2035</v>
      </c>
      <c r="B81" s="302"/>
      <c r="C81" s="284"/>
      <c r="D81" s="302"/>
      <c r="E81" s="284"/>
      <c r="F81" s="302"/>
      <c r="G81" s="284"/>
      <c r="H81" s="302"/>
      <c r="I81" s="284"/>
      <c r="K81" s="286" t="str">
        <f>CONCATENATE(A71," - ",A81)</f>
        <v>2020 - 2035</v>
      </c>
    </row>
    <row r="82" spans="1:14" x14ac:dyDescent="0.2">
      <c r="A82" s="282" t="s">
        <v>364</v>
      </c>
      <c r="B82" s="302">
        <f>'Ind T6'!V27</f>
        <v>14.460191795957325</v>
      </c>
      <c r="C82" s="299" t="str">
        <f>CONCATENATE("(",ROUND((B82/$H84)*100,1),")")</f>
        <v>(57.4)</v>
      </c>
      <c r="D82" s="302">
        <f>'Ind T6'!W27</f>
        <v>1.3854384703105462</v>
      </c>
      <c r="E82" s="299" t="str">
        <f>CONCATENATE("(",ROUND((D82/$H84)*100,1),")")</f>
        <v>(5.5)</v>
      </c>
      <c r="F82" s="302">
        <f>'Ind T6'!X27</f>
        <v>0.20254948395774092</v>
      </c>
      <c r="G82" s="299" t="str">
        <f>CONCATENATE("(",ROUND((F82/$H84)*100,1),")")</f>
        <v>(0.8)</v>
      </c>
      <c r="H82" s="302">
        <f>SUM(B82,D82,F82)</f>
        <v>16.048179750225614</v>
      </c>
      <c r="I82" s="299" t="str">
        <f>CONCATENATE("(",ROUND((H82/$H84)*100,1),")")</f>
        <v>(63.7)</v>
      </c>
      <c r="K82" s="302">
        <f>B82-B72</f>
        <v>1.0233926250423409E-2</v>
      </c>
      <c r="L82" s="302">
        <f>D82-D72</f>
        <v>4.5914360860331405E-2</v>
      </c>
      <c r="M82" s="302">
        <f>F82-F72</f>
        <v>1.4509033264221066E-2</v>
      </c>
      <c r="N82" s="302">
        <f>SUM(K82:M82)</f>
        <v>7.0657320374975879E-2</v>
      </c>
    </row>
    <row r="83" spans="1:14" x14ac:dyDescent="0.2">
      <c r="A83" s="282" t="s">
        <v>365</v>
      </c>
      <c r="B83" s="302">
        <f>'Ind T6'!V26</f>
        <v>7.1750392656246564</v>
      </c>
      <c r="C83" s="299" t="str">
        <f>CONCATENATE("(",ROUND((B83/$H84)*100,1),")")</f>
        <v>(28.5)</v>
      </c>
      <c r="D83" s="302">
        <f>'Ind T6'!W26</f>
        <v>1.847251293773907</v>
      </c>
      <c r="E83" s="299" t="str">
        <f>CONCATENATE("(",ROUND((D83/$H84)*100,1),")")</f>
        <v>(7.3)</v>
      </c>
      <c r="F83" s="302">
        <f>'Ind T6'!X26</f>
        <v>0.12152969037581289</v>
      </c>
      <c r="G83" s="299" t="str">
        <f>CONCATENATE("(",ROUND((F83/$H84)*100,1),")")</f>
        <v>(0.5)</v>
      </c>
      <c r="H83" s="302">
        <f t="shared" ref="H83" si="76">SUM(B83,D83,F83)</f>
        <v>9.1438202497743752</v>
      </c>
      <c r="I83" s="299" t="str">
        <f>CONCATENATE("(",ROUND((H83/$H84)*100,1),")")</f>
        <v>(36.3)</v>
      </c>
      <c r="K83" s="302">
        <f t="shared" ref="K83:K84" si="77">B83-B73</f>
        <v>0.91350353888552416</v>
      </c>
      <c r="L83" s="302">
        <f t="shared" ref="L83:L84" si="78">D83-D73</f>
        <v>4.4175781105119327E-2</v>
      </c>
      <c r="M83" s="302">
        <f t="shared" ref="M83:M84" si="79">F83-F73</f>
        <v>1.166335963436313E-2</v>
      </c>
      <c r="N83" s="302">
        <f t="shared" ref="N83:N84" si="80">SUM(K83:M83)</f>
        <v>0.96934267962500664</v>
      </c>
    </row>
    <row r="84" spans="1:14" x14ac:dyDescent="0.2">
      <c r="A84" s="282" t="s">
        <v>363</v>
      </c>
      <c r="B84" s="302">
        <f>SUM(B82:B83)</f>
        <v>21.635231061581983</v>
      </c>
      <c r="C84" s="299" t="str">
        <f>CONCATENATE("(",ROUND((B84/$H84)*100,1),")")</f>
        <v>(85.9)</v>
      </c>
      <c r="D84" s="302">
        <f>SUM(D82:D83)</f>
        <v>3.2326897640844532</v>
      </c>
      <c r="E84" s="299" t="str">
        <f>CONCATENATE("(",ROUND((D84/$H84)*100,1),")")</f>
        <v>(12.8)</v>
      </c>
      <c r="F84" s="302">
        <f>SUM(F82:F83)</f>
        <v>0.32407917433355382</v>
      </c>
      <c r="G84" s="299" t="str">
        <f>CONCATENATE("(",ROUND((F84/$H84)*100,1),")")</f>
        <v>(1.3)</v>
      </c>
      <c r="H84" s="302">
        <f>SUM(H82:H83)</f>
        <v>25.19199999999999</v>
      </c>
      <c r="I84" s="299" t="str">
        <f>CONCATENATE("(",ROUND((H84/$H84)*100,1),")")</f>
        <v>(100)</v>
      </c>
      <c r="K84" s="302">
        <f t="shared" si="77"/>
        <v>0.92373746513595023</v>
      </c>
      <c r="L84" s="302">
        <f t="shared" si="78"/>
        <v>9.0090141965450954E-2</v>
      </c>
      <c r="M84" s="302">
        <f t="shared" si="79"/>
        <v>2.6172392898584196E-2</v>
      </c>
      <c r="N84" s="302">
        <f t="shared" si="80"/>
        <v>1.0399999999999854</v>
      </c>
    </row>
    <row r="85" spans="1:14" x14ac:dyDescent="0.2">
      <c r="A85" s="293"/>
      <c r="B85" s="294"/>
      <c r="C85" s="293"/>
      <c r="D85" s="294"/>
      <c r="E85" s="293"/>
      <c r="F85" s="294"/>
      <c r="G85" s="293"/>
      <c r="H85" s="294"/>
      <c r="I85" s="293"/>
      <c r="J85" s="293"/>
      <c r="K85" s="294"/>
      <c r="L85" s="294"/>
      <c r="M85" s="294"/>
      <c r="N85" s="294"/>
    </row>
    <row r="89" spans="1:14" x14ac:dyDescent="0.2">
      <c r="A89" s="288"/>
      <c r="B89" s="289" t="s">
        <v>372</v>
      </c>
      <c r="C89" s="288"/>
      <c r="D89" s="289"/>
      <c r="E89" s="288"/>
      <c r="F89" s="289" t="str">
        <f>name!B7</f>
        <v>Engineering</v>
      </c>
      <c r="G89" s="288"/>
      <c r="H89" s="291"/>
      <c r="I89" s="288"/>
      <c r="J89" s="290"/>
      <c r="K89" s="291"/>
      <c r="L89" s="291"/>
      <c r="M89" s="291"/>
      <c r="N89" s="291"/>
    </row>
    <row r="90" spans="1:14" x14ac:dyDescent="0.2">
      <c r="N90" s="287" t="s">
        <v>370</v>
      </c>
    </row>
    <row r="91" spans="1:14" x14ac:dyDescent="0.2">
      <c r="A91" s="182" t="s">
        <v>371</v>
      </c>
      <c r="B91" s="372" t="s">
        <v>369</v>
      </c>
      <c r="C91" s="372"/>
      <c r="D91" s="372" t="s">
        <v>368</v>
      </c>
      <c r="E91" s="372"/>
      <c r="F91" s="372" t="s">
        <v>367</v>
      </c>
      <c r="G91" s="372"/>
      <c r="H91" s="372" t="s">
        <v>33</v>
      </c>
      <c r="I91" s="372"/>
      <c r="J91" s="182"/>
      <c r="K91" s="297" t="s">
        <v>345</v>
      </c>
      <c r="L91" s="297" t="s">
        <v>347</v>
      </c>
      <c r="M91" s="297" t="s">
        <v>343</v>
      </c>
      <c r="N91" s="297" t="s">
        <v>33</v>
      </c>
    </row>
    <row r="92" spans="1:14" x14ac:dyDescent="0.2">
      <c r="A92" s="292">
        <f>$A$8</f>
        <v>2020</v>
      </c>
      <c r="B92" s="287" t="s">
        <v>66</v>
      </c>
      <c r="C92" s="20" t="s">
        <v>366</v>
      </c>
      <c r="D92" s="287" t="s">
        <v>66</v>
      </c>
      <c r="E92" s="20" t="s">
        <v>366</v>
      </c>
      <c r="F92" s="287" t="s">
        <v>66</v>
      </c>
      <c r="G92" s="20" t="s">
        <v>366</v>
      </c>
      <c r="H92" s="287" t="s">
        <v>66</v>
      </c>
      <c r="I92" s="20" t="s">
        <v>366</v>
      </c>
      <c r="J92" s="182"/>
      <c r="K92" s="286" t="str">
        <f>CONCATENATE(A92," - ",A97)</f>
        <v>2020 - 2025</v>
      </c>
      <c r="L92" s="285"/>
      <c r="M92" s="285"/>
    </row>
    <row r="93" spans="1:14" x14ac:dyDescent="0.2">
      <c r="A93" s="282" t="s">
        <v>364</v>
      </c>
      <c r="B93" s="302">
        <f>'Ind T6'!L36</f>
        <v>3.8349142539738574</v>
      </c>
      <c r="C93" s="299" t="str">
        <f>CONCATENATE("(",ROUND((B93/$H95)*100,1),")")</f>
        <v>(72.7)</v>
      </c>
      <c r="D93" s="302">
        <f>'Ind T6'!M36</f>
        <v>0.27703728389918197</v>
      </c>
      <c r="E93" s="299" t="str">
        <f>CONCATENATE("(",ROUND((D93/$H95)*100,1),")")</f>
        <v>(5.2)</v>
      </c>
      <c r="F93" s="302">
        <f>'Ind T6'!N36</f>
        <v>0.14273283343740364</v>
      </c>
      <c r="G93" s="299" t="str">
        <f>CONCATENATE("(",ROUND((F93/$H95)*100,1),")")</f>
        <v>(2.7)</v>
      </c>
      <c r="H93" s="302">
        <f>SUM(B93,D93,F93)</f>
        <v>4.2546843713104439</v>
      </c>
      <c r="I93" s="299" t="str">
        <f>CONCATENATE("(",ROUND((H93/$H95)*100,1),")")</f>
        <v>(80.6)</v>
      </c>
      <c r="K93" s="302">
        <f>B98-B93</f>
        <v>-1.0411756903605518E-2</v>
      </c>
      <c r="L93" s="302">
        <f>D98-D93</f>
        <v>3.5116224488840331E-4</v>
      </c>
      <c r="M93" s="302">
        <f>F98-F93</f>
        <v>4.3276631416537259E-3</v>
      </c>
      <c r="N93" s="302">
        <f>SUM(K93:M93)</f>
        <v>-5.7329315170633888E-3</v>
      </c>
    </row>
    <row r="94" spans="1:14" x14ac:dyDescent="0.2">
      <c r="A94" s="282" t="s">
        <v>365</v>
      </c>
      <c r="B94" s="302">
        <f>'Ind T6'!L35</f>
        <v>0.72758932166485057</v>
      </c>
      <c r="C94" s="299" t="str">
        <f>CONCATENATE("(",ROUND((B94/$H95)*100,1),")")</f>
        <v>(13.8)</v>
      </c>
      <c r="D94" s="302">
        <f>'Ind T6'!M35</f>
        <v>0.267326320910933</v>
      </c>
      <c r="E94" s="299" t="str">
        <f>CONCATENATE("(",ROUND((D94/$H95)*100,1),")")</f>
        <v>(5.1)</v>
      </c>
      <c r="F94" s="302">
        <f>'Ind T6'!N35</f>
        <v>2.8399986113765905E-2</v>
      </c>
      <c r="G94" s="299" t="str">
        <f>CONCATENATE("(",ROUND((F94/$H95)*100,1),")")</f>
        <v>(0.5)</v>
      </c>
      <c r="H94" s="302">
        <f t="shared" ref="H94" si="81">SUM(B94,D94,F94)</f>
        <v>1.0233156286895495</v>
      </c>
      <c r="I94" s="299" t="str">
        <f>CONCATENATE("(",ROUND((H94/$H95)*100,1),")")</f>
        <v>(19.4)</v>
      </c>
      <c r="K94" s="302">
        <f t="shared" ref="K94:K95" si="82">B99-B94</f>
        <v>-1.9802582727595497E-2</v>
      </c>
      <c r="L94" s="302">
        <f t="shared" ref="L94:L95" si="83">D99-D94</f>
        <v>-3.8816639527146646E-3</v>
      </c>
      <c r="M94" s="302">
        <f t="shared" ref="M94:M95" si="84">F99-F94</f>
        <v>4.1717819738092479E-4</v>
      </c>
      <c r="N94" s="302">
        <f t="shared" ref="N94:N95" si="85">SUM(K94:M94)</f>
        <v>-2.3267068482929237E-2</v>
      </c>
    </row>
    <row r="95" spans="1:14" x14ac:dyDescent="0.2">
      <c r="A95" s="282" t="s">
        <v>363</v>
      </c>
      <c r="B95" s="302">
        <f>SUM(B93:B94)</f>
        <v>4.5625035756387078</v>
      </c>
      <c r="C95" s="299" t="str">
        <f>CONCATENATE("(",ROUND((B95/$H95)*100,1),")")</f>
        <v>(86.4)</v>
      </c>
      <c r="D95" s="302">
        <f>SUM(D93:D94)</f>
        <v>0.54436360481011503</v>
      </c>
      <c r="E95" s="299" t="str">
        <f>CONCATENATE("(",ROUND((D95/$H95)*100,1),")")</f>
        <v>(10.3)</v>
      </c>
      <c r="F95" s="302">
        <f>SUM(F93:F94)</f>
        <v>0.17113281955116955</v>
      </c>
      <c r="G95" s="299" t="str">
        <f>CONCATENATE("(",ROUND((F95/$H95)*100,1),")")</f>
        <v>(3.2)</v>
      </c>
      <c r="H95" s="302">
        <f>SUM(H93:H94)</f>
        <v>5.2779999999999934</v>
      </c>
      <c r="I95" s="299" t="str">
        <f>CONCATENATE("(",ROUND((H95/$H95)*100,1),")")</f>
        <v>(100)</v>
      </c>
      <c r="K95" s="302">
        <f t="shared" si="82"/>
        <v>-3.021433963120046E-2</v>
      </c>
      <c r="L95" s="302">
        <f t="shared" si="83"/>
        <v>-3.5305017078263168E-3</v>
      </c>
      <c r="M95" s="302">
        <f t="shared" si="84"/>
        <v>4.7448413390346611E-3</v>
      </c>
      <c r="N95" s="302">
        <f t="shared" si="85"/>
        <v>-2.8999999999992115E-2</v>
      </c>
    </row>
    <row r="96" spans="1:14" x14ac:dyDescent="0.2">
      <c r="B96" s="302"/>
      <c r="C96" s="284"/>
      <c r="D96" s="302"/>
      <c r="E96" s="284"/>
      <c r="F96" s="302"/>
      <c r="G96" s="284"/>
      <c r="H96" s="302"/>
      <c r="I96" s="284"/>
    </row>
    <row r="97" spans="1:14" x14ac:dyDescent="0.2">
      <c r="A97" s="292">
        <f>$A$13</f>
        <v>2025</v>
      </c>
      <c r="B97" s="302"/>
      <c r="C97" s="284"/>
      <c r="D97" s="302"/>
      <c r="E97" s="284"/>
      <c r="F97" s="302"/>
      <c r="G97" s="284"/>
      <c r="H97" s="302"/>
      <c r="I97" s="284"/>
      <c r="K97" s="286" t="str">
        <f>CONCATENATE(A97," - ",A102)</f>
        <v>2025 - 2035</v>
      </c>
    </row>
    <row r="98" spans="1:14" x14ac:dyDescent="0.2">
      <c r="A98" s="282" t="s">
        <v>364</v>
      </c>
      <c r="B98" s="302">
        <f>'Ind T6'!Q36</f>
        <v>3.8245024970702519</v>
      </c>
      <c r="C98" s="299" t="str">
        <f>CONCATENATE("(",ROUND((B98/$H100)*100,1),")")</f>
        <v>(72.9)</v>
      </c>
      <c r="D98" s="302">
        <f>'Ind T6'!R36</f>
        <v>0.27738844614407038</v>
      </c>
      <c r="E98" s="299" t="str">
        <f>CONCATENATE("(",ROUND((D98/$H100)*100,1),")")</f>
        <v>(5.3)</v>
      </c>
      <c r="F98" s="302">
        <f>'Ind T6'!S36</f>
        <v>0.14706049657905737</v>
      </c>
      <c r="G98" s="299" t="str">
        <f>CONCATENATE("(",ROUND((F98/$H100)*100,1),")")</f>
        <v>(2.8)</v>
      </c>
      <c r="H98" s="302">
        <f>SUM(B98,D98,F98)</f>
        <v>4.2489514397933803</v>
      </c>
      <c r="I98" s="299" t="str">
        <f>CONCATENATE("(",ROUND((H98/$H100)*100,1),")")</f>
        <v>(80.9)</v>
      </c>
      <c r="K98" s="302">
        <f>B103-B98</f>
        <v>-0.39205335999020763</v>
      </c>
      <c r="L98" s="302">
        <f>D103-D98</f>
        <v>-1.8041628522998288E-2</v>
      </c>
      <c r="M98" s="302">
        <f>F103-F98</f>
        <v>-7.5966455030038182E-3</v>
      </c>
      <c r="N98" s="302">
        <f>SUM(K98:M98)</f>
        <v>-0.41769163401620973</v>
      </c>
    </row>
    <row r="99" spans="1:14" x14ac:dyDescent="0.2">
      <c r="A99" s="282" t="s">
        <v>365</v>
      </c>
      <c r="B99" s="302">
        <f>'Ind T6'!Q35</f>
        <v>0.70778673893725508</v>
      </c>
      <c r="C99" s="299" t="str">
        <f>CONCATENATE("(",ROUND((B99/$H100)*100,1),")")</f>
        <v>(13.5)</v>
      </c>
      <c r="D99" s="302">
        <f>'Ind T6'!R35</f>
        <v>0.26344465695821834</v>
      </c>
      <c r="E99" s="299" t="str">
        <f>CONCATENATE("(",ROUND((D99/$H100)*100,1),")")</f>
        <v>(5)</v>
      </c>
      <c r="F99" s="302">
        <f>'Ind T6'!S35</f>
        <v>2.881716431114683E-2</v>
      </c>
      <c r="G99" s="299" t="str">
        <f>CONCATENATE("(",ROUND((F99/$H100)*100,1),")")</f>
        <v>(0.5)</v>
      </c>
      <c r="H99" s="302">
        <f t="shared" ref="H99" si="86">SUM(B99,D99,F99)</f>
        <v>1.0000485602066203</v>
      </c>
      <c r="I99" s="299" t="str">
        <f>CONCATENATE("(",ROUND((H99/$H100)*100,1),")")</f>
        <v>(19.1)</v>
      </c>
      <c r="K99" s="302">
        <f t="shared" ref="K99:K100" si="87">B104-B99</f>
        <v>-9.3985950217860714E-2</v>
      </c>
      <c r="L99" s="302">
        <f t="shared" ref="L99:L100" si="88">D104-D99</f>
        <v>-2.3678723871070118E-2</v>
      </c>
      <c r="M99" s="302">
        <f t="shared" ref="M99:M100" si="89">F104-F99</f>
        <v>-1.6436918948668326E-3</v>
      </c>
      <c r="N99" s="302">
        <f t="shared" ref="N99:N100" si="90">SUM(K99:M99)</f>
        <v>-0.11930836598379767</v>
      </c>
    </row>
    <row r="100" spans="1:14" x14ac:dyDescent="0.2">
      <c r="A100" s="282" t="s">
        <v>363</v>
      </c>
      <c r="B100" s="302">
        <f>SUM(B98:B99)</f>
        <v>4.5322892360075073</v>
      </c>
      <c r="C100" s="299" t="str">
        <f>CONCATENATE("(",ROUND((B100/$H100)*100,1),")")</f>
        <v>(86.3)</v>
      </c>
      <c r="D100" s="302">
        <f>SUM(D98:D99)</f>
        <v>0.54083310310228871</v>
      </c>
      <c r="E100" s="299" t="str">
        <f>CONCATENATE("(",ROUND((D100/$H100)*100,1),")")</f>
        <v>(10.3)</v>
      </c>
      <c r="F100" s="302">
        <f>SUM(F98:F99)</f>
        <v>0.17587766089020421</v>
      </c>
      <c r="G100" s="299" t="str">
        <f>CONCATENATE("(",ROUND((F100/$H100)*100,1),")")</f>
        <v>(3.4)</v>
      </c>
      <c r="H100" s="302">
        <f>SUM(H98:H99)</f>
        <v>5.2490000000000006</v>
      </c>
      <c r="I100" s="299" t="str">
        <f>CONCATENATE("(",ROUND((H100/$H100)*100,1),")")</f>
        <v>(100)</v>
      </c>
      <c r="K100" s="302">
        <f t="shared" si="87"/>
        <v>-0.4860393102080689</v>
      </c>
      <c r="L100" s="302">
        <f t="shared" si="88"/>
        <v>-4.1720352394068405E-2</v>
      </c>
      <c r="M100" s="302">
        <f t="shared" si="89"/>
        <v>-9.2403373978706682E-3</v>
      </c>
      <c r="N100" s="302">
        <f t="shared" si="90"/>
        <v>-0.53700000000000792</v>
      </c>
    </row>
    <row r="101" spans="1:14" x14ac:dyDescent="0.2">
      <c r="B101" s="302"/>
      <c r="C101" s="284"/>
      <c r="D101" s="302"/>
      <c r="E101" s="284"/>
      <c r="F101" s="302"/>
      <c r="G101" s="284"/>
      <c r="H101" s="302"/>
      <c r="I101" s="284"/>
    </row>
    <row r="102" spans="1:14" x14ac:dyDescent="0.2">
      <c r="A102" s="292">
        <f>$A$18</f>
        <v>2035</v>
      </c>
      <c r="B102" s="302"/>
      <c r="C102" s="284"/>
      <c r="D102" s="302"/>
      <c r="E102" s="284"/>
      <c r="F102" s="302"/>
      <c r="G102" s="284"/>
      <c r="H102" s="302"/>
      <c r="I102" s="284"/>
      <c r="K102" s="286" t="str">
        <f>CONCATENATE(A92," - ",A102)</f>
        <v>2020 - 2035</v>
      </c>
    </row>
    <row r="103" spans="1:14" x14ac:dyDescent="0.2">
      <c r="A103" s="282" t="s">
        <v>364</v>
      </c>
      <c r="B103" s="302">
        <f>'Ind T6'!V36</f>
        <v>3.4324491370800443</v>
      </c>
      <c r="C103" s="299" t="str">
        <f>CONCATENATE("(",ROUND((B103/$H105)*100,1),")")</f>
        <v>(72.8)</v>
      </c>
      <c r="D103" s="302">
        <f>'Ind T6'!W36</f>
        <v>0.25934681762107209</v>
      </c>
      <c r="E103" s="299" t="str">
        <f>CONCATENATE("(",ROUND((D103/$H105)*100,1),")")</f>
        <v>(5.5)</v>
      </c>
      <c r="F103" s="302">
        <f>'Ind T6'!X36</f>
        <v>0.13946385107605355</v>
      </c>
      <c r="G103" s="299" t="str">
        <f>CONCATENATE("(",ROUND((F103/$H105)*100,1),")")</f>
        <v>(3)</v>
      </c>
      <c r="H103" s="302">
        <f>SUM(B103,D103,F103)</f>
        <v>3.8312598057771701</v>
      </c>
      <c r="I103" s="299" t="str">
        <f>CONCATENATE("(",ROUND((H103/$H105)*100,1),")")</f>
        <v>(81.3)</v>
      </c>
      <c r="K103" s="302">
        <f>B103-B93</f>
        <v>-0.40246511689381315</v>
      </c>
      <c r="L103" s="302">
        <f>D103-D93</f>
        <v>-1.7690466278109884E-2</v>
      </c>
      <c r="M103" s="302">
        <f>F103-F93</f>
        <v>-3.2689823613500923E-3</v>
      </c>
      <c r="N103" s="302">
        <f>SUM(K103:M103)</f>
        <v>-0.42342456553327312</v>
      </c>
    </row>
    <row r="104" spans="1:14" x14ac:dyDescent="0.2">
      <c r="A104" s="282" t="s">
        <v>365</v>
      </c>
      <c r="B104" s="302">
        <f>'Ind T6'!V35</f>
        <v>0.61380078871939436</v>
      </c>
      <c r="C104" s="299" t="str">
        <f>CONCATENATE("(",ROUND((B104/$H105)*100,1),")")</f>
        <v>(13)</v>
      </c>
      <c r="D104" s="302">
        <f>'Ind T6'!W35</f>
        <v>0.23976593308714822</v>
      </c>
      <c r="E104" s="299" t="str">
        <f>CONCATENATE("(",ROUND((D104/$H105)*100,1),")")</f>
        <v>(5.1)</v>
      </c>
      <c r="F104" s="302">
        <f>'Ind T6'!X35</f>
        <v>2.7173472416279997E-2</v>
      </c>
      <c r="G104" s="299" t="str">
        <f>CONCATENATE("(",ROUND((F104/$H105)*100,1),")")</f>
        <v>(0.6)</v>
      </c>
      <c r="H104" s="302">
        <f t="shared" ref="H104" si="91">SUM(B104,D104,F104)</f>
        <v>0.88074019422282257</v>
      </c>
      <c r="I104" s="299" t="str">
        <f>CONCATENATE("(",ROUND((H104/$H105)*100,1),")")</f>
        <v>(18.7)</v>
      </c>
      <c r="K104" s="302">
        <f t="shared" ref="K104:K105" si="92">B104-B94</f>
        <v>-0.11378853294545621</v>
      </c>
      <c r="L104" s="302">
        <f t="shared" ref="L104:L105" si="93">D104-D94</f>
        <v>-2.7560387823784782E-2</v>
      </c>
      <c r="M104" s="302">
        <f t="shared" ref="M104:M105" si="94">F104-F94</f>
        <v>-1.2265136974859078E-3</v>
      </c>
      <c r="N104" s="302">
        <f t="shared" ref="N104:N105" si="95">SUM(K104:M104)</f>
        <v>-0.14257543446672691</v>
      </c>
    </row>
    <row r="105" spans="1:14" x14ac:dyDescent="0.2">
      <c r="A105" s="282" t="s">
        <v>363</v>
      </c>
      <c r="B105" s="302">
        <f>SUM(B103:B104)</f>
        <v>4.0462499257994384</v>
      </c>
      <c r="C105" s="299" t="str">
        <f>CONCATENATE("(",ROUND((B105/$H105)*100,1),")")</f>
        <v>(85.9)</v>
      </c>
      <c r="D105" s="302">
        <f>SUM(D103:D104)</f>
        <v>0.49911275070822031</v>
      </c>
      <c r="E105" s="299" t="str">
        <f>CONCATENATE("(",ROUND((D105/$H105)*100,1),")")</f>
        <v>(10.6)</v>
      </c>
      <c r="F105" s="302">
        <f>SUM(F103:F104)</f>
        <v>0.16663732349233354</v>
      </c>
      <c r="G105" s="299" t="str">
        <f>CONCATENATE("(",ROUND((F105/$H105)*100,1),")")</f>
        <v>(3.5)</v>
      </c>
      <c r="H105" s="302">
        <f>SUM(H103:H104)</f>
        <v>4.7119999999999926</v>
      </c>
      <c r="I105" s="299" t="str">
        <f>CONCATENATE("(",ROUND((H105/$H105)*100,1),")")</f>
        <v>(100)</v>
      </c>
      <c r="K105" s="302">
        <f t="shared" si="92"/>
        <v>-0.51625364983926936</v>
      </c>
      <c r="L105" s="302">
        <f t="shared" si="93"/>
        <v>-4.5250854101894722E-2</v>
      </c>
      <c r="M105" s="302">
        <f t="shared" si="94"/>
        <v>-4.4954960588360071E-3</v>
      </c>
      <c r="N105" s="302">
        <f t="shared" si="95"/>
        <v>-0.56600000000000017</v>
      </c>
    </row>
    <row r="106" spans="1:14" x14ac:dyDescent="0.2">
      <c r="A106" s="293"/>
      <c r="B106" s="294"/>
      <c r="C106" s="293"/>
      <c r="D106" s="294"/>
      <c r="E106" s="293"/>
      <c r="F106" s="294"/>
      <c r="G106" s="293"/>
      <c r="H106" s="294"/>
      <c r="I106" s="293"/>
      <c r="J106" s="293"/>
      <c r="K106" s="294"/>
      <c r="L106" s="294"/>
      <c r="M106" s="294"/>
      <c r="N106" s="294"/>
    </row>
    <row r="107" spans="1:14" x14ac:dyDescent="0.2">
      <c r="A107" s="295"/>
    </row>
    <row r="109" spans="1:14" x14ac:dyDescent="0.2">
      <c r="C109" s="182"/>
      <c r="E109" s="182"/>
      <c r="G109" s="182"/>
      <c r="I109" s="182"/>
    </row>
    <row r="110" spans="1:14" x14ac:dyDescent="0.2">
      <c r="A110" s="288"/>
      <c r="B110" s="289" t="s">
        <v>372</v>
      </c>
      <c r="C110" s="288"/>
      <c r="D110" s="289"/>
      <c r="E110" s="288"/>
      <c r="F110" s="289" t="str">
        <f>name!B8</f>
        <v>Rest of manufacturing</v>
      </c>
      <c r="G110" s="288"/>
      <c r="H110" s="291"/>
      <c r="I110" s="288"/>
      <c r="J110" s="290"/>
      <c r="K110" s="291"/>
      <c r="L110" s="291"/>
      <c r="M110" s="291"/>
      <c r="N110" s="291"/>
    </row>
    <row r="111" spans="1:14" x14ac:dyDescent="0.2">
      <c r="N111" s="287" t="s">
        <v>370</v>
      </c>
    </row>
    <row r="112" spans="1:14" x14ac:dyDescent="0.2">
      <c r="A112" s="182" t="s">
        <v>371</v>
      </c>
      <c r="B112" s="372" t="s">
        <v>369</v>
      </c>
      <c r="C112" s="372"/>
      <c r="D112" s="372" t="s">
        <v>368</v>
      </c>
      <c r="E112" s="372"/>
      <c r="F112" s="372" t="s">
        <v>367</v>
      </c>
      <c r="G112" s="372"/>
      <c r="H112" s="372" t="s">
        <v>33</v>
      </c>
      <c r="I112" s="372"/>
      <c r="J112" s="182"/>
      <c r="K112" s="297" t="s">
        <v>345</v>
      </c>
      <c r="L112" s="297" t="s">
        <v>347</v>
      </c>
      <c r="M112" s="297" t="s">
        <v>343</v>
      </c>
      <c r="N112" s="297" t="s">
        <v>33</v>
      </c>
    </row>
    <row r="113" spans="1:14" x14ac:dyDescent="0.2">
      <c r="A113" s="292">
        <f>$A$8</f>
        <v>2020</v>
      </c>
      <c r="B113" s="287" t="s">
        <v>66</v>
      </c>
      <c r="C113" s="20" t="s">
        <v>366</v>
      </c>
      <c r="D113" s="287" t="s">
        <v>66</v>
      </c>
      <c r="E113" s="20" t="s">
        <v>366</v>
      </c>
      <c r="F113" s="287" t="s">
        <v>66</v>
      </c>
      <c r="G113" s="20" t="s">
        <v>366</v>
      </c>
      <c r="H113" s="287" t="s">
        <v>66</v>
      </c>
      <c r="I113" s="20" t="s">
        <v>366</v>
      </c>
      <c r="J113" s="182"/>
      <c r="K113" s="286" t="str">
        <f>CONCATENATE(A113," - ",A118)</f>
        <v>2020 - 2025</v>
      </c>
      <c r="L113" s="285"/>
      <c r="M113" s="285"/>
    </row>
    <row r="114" spans="1:14" x14ac:dyDescent="0.2">
      <c r="A114" s="282" t="s">
        <v>364</v>
      </c>
      <c r="B114" s="302">
        <f>'Ind T6'!L45</f>
        <v>25.897563023919222</v>
      </c>
      <c r="C114" s="299" t="str">
        <f>CONCATENATE("(",ROUND((B114/$H116)*100,1),")")</f>
        <v>(67.1)</v>
      </c>
      <c r="D114" s="302">
        <f>'Ind T6'!M45</f>
        <v>1.9180928040325487</v>
      </c>
      <c r="E114" s="299" t="str">
        <f>CONCATENATE("(",ROUND((D114/$H116)*100,1),")")</f>
        <v>(5)</v>
      </c>
      <c r="F114" s="302">
        <f>'Ind T6'!N45</f>
        <v>2.3090940460408911</v>
      </c>
      <c r="G114" s="299" t="str">
        <f>CONCATENATE("(",ROUND((F114/$H116)*100,1),")")</f>
        <v>(6)</v>
      </c>
      <c r="H114" s="302">
        <f>SUM(B114,D114,F114)</f>
        <v>30.124749873992663</v>
      </c>
      <c r="I114" s="299" t="str">
        <f>CONCATENATE("(",ROUND((H114/$H116)*100,1),")")</f>
        <v>(78)</v>
      </c>
      <c r="K114" s="302">
        <f>B119-B114</f>
        <v>-1.8801169652967644</v>
      </c>
      <c r="L114" s="302">
        <f>D119-D114</f>
        <v>-0.16605482891991574</v>
      </c>
      <c r="M114" s="302">
        <f>F119-F114</f>
        <v>-0.18645940277724282</v>
      </c>
      <c r="N114" s="302">
        <f>SUM(K114:M114)</f>
        <v>-2.232631196993923</v>
      </c>
    </row>
    <row r="115" spans="1:14" x14ac:dyDescent="0.2">
      <c r="A115" s="282" t="s">
        <v>365</v>
      </c>
      <c r="B115" s="302">
        <f>'Ind T6'!L44</f>
        <v>5.8491699397162016</v>
      </c>
      <c r="C115" s="299" t="str">
        <f>CONCATENATE("(",ROUND((B115/$H116)*100,1),")")</f>
        <v>(15.2)</v>
      </c>
      <c r="D115" s="302">
        <f>'Ind T6'!M44</f>
        <v>2.1833076024131648</v>
      </c>
      <c r="E115" s="299" t="str">
        <f>CONCATENATE("(",ROUND((D115/$H116)*100,1),")")</f>
        <v>(5.7)</v>
      </c>
      <c r="F115" s="302">
        <f>'Ind T6'!N44</f>
        <v>0.44677258387799684</v>
      </c>
      <c r="G115" s="299" t="str">
        <f>CONCATENATE("(",ROUND((F115/$H116)*100,1),")")</f>
        <v>(1.2)</v>
      </c>
      <c r="H115" s="302">
        <f t="shared" ref="H115" si="96">SUM(B115,D115,F115)</f>
        <v>8.4792501260073649</v>
      </c>
      <c r="I115" s="299" t="str">
        <f>CONCATENATE("(",ROUND((H115/$H116)*100,1),")")</f>
        <v>(22)</v>
      </c>
      <c r="K115" s="302">
        <f t="shared" ref="K115:K116" si="97">B120-B115</f>
        <v>-0.42017713959474445</v>
      </c>
      <c r="L115" s="302">
        <f t="shared" ref="L115:L116" si="98">D120-D115</f>
        <v>-0.18526497571956702</v>
      </c>
      <c r="M115" s="302">
        <f t="shared" ref="M115:M116" si="99">F120-F115</f>
        <v>-5.2926687691851548E-2</v>
      </c>
      <c r="N115" s="302">
        <f t="shared" ref="N115:N116" si="100">SUM(K115:M115)</f>
        <v>-0.65836880300616296</v>
      </c>
    </row>
    <row r="116" spans="1:14" x14ac:dyDescent="0.2">
      <c r="A116" s="282" t="s">
        <v>363</v>
      </c>
      <c r="B116" s="302">
        <f>SUM(B114:B115)</f>
        <v>31.746732963635424</v>
      </c>
      <c r="C116" s="299" t="str">
        <f>CONCATENATE("(",ROUND((B116/$H116)*100,1),")")</f>
        <v>(82.2)</v>
      </c>
      <c r="D116" s="302">
        <f>SUM(D114:D115)</f>
        <v>4.1014004064457135</v>
      </c>
      <c r="E116" s="299" t="str">
        <f>CONCATENATE("(",ROUND((D116/$H116)*100,1),")")</f>
        <v>(10.6)</v>
      </c>
      <c r="F116" s="302">
        <f>SUM(F114:F115)</f>
        <v>2.7558666299188879</v>
      </c>
      <c r="G116" s="299" t="str">
        <f>CONCATENATE("(",ROUND((F116/$H116)*100,1),")")</f>
        <v>(7.1)</v>
      </c>
      <c r="H116" s="302">
        <f>SUM(H114:H115)</f>
        <v>38.604000000000028</v>
      </c>
      <c r="I116" s="299" t="str">
        <f>CONCATENATE("(",ROUND((H116/$H116)*100,1),")")</f>
        <v>(100)</v>
      </c>
      <c r="K116" s="302">
        <f t="shared" si="97"/>
        <v>-2.3002941048915098</v>
      </c>
      <c r="L116" s="302">
        <f t="shared" si="98"/>
        <v>-0.35131980463948276</v>
      </c>
      <c r="M116" s="302">
        <f t="shared" si="99"/>
        <v>-0.23938609046909409</v>
      </c>
      <c r="N116" s="302">
        <f t="shared" si="100"/>
        <v>-2.8910000000000866</v>
      </c>
    </row>
    <row r="117" spans="1:14" x14ac:dyDescent="0.2">
      <c r="B117" s="302"/>
      <c r="C117" s="284"/>
      <c r="D117" s="302"/>
      <c r="E117" s="284"/>
      <c r="F117" s="302"/>
      <c r="G117" s="284"/>
      <c r="H117" s="302"/>
      <c r="I117" s="284"/>
    </row>
    <row r="118" spans="1:14" x14ac:dyDescent="0.2">
      <c r="A118" s="292">
        <f>$A$13</f>
        <v>2025</v>
      </c>
      <c r="B118" s="302"/>
      <c r="C118" s="284"/>
      <c r="D118" s="302"/>
      <c r="E118" s="284"/>
      <c r="F118" s="302"/>
      <c r="G118" s="284"/>
      <c r="H118" s="302"/>
      <c r="I118" s="284"/>
      <c r="K118" s="286" t="str">
        <f>CONCATENATE(A118," - ",A123)</f>
        <v>2025 - 2035</v>
      </c>
    </row>
    <row r="119" spans="1:14" x14ac:dyDescent="0.2">
      <c r="A119" s="282" t="s">
        <v>364</v>
      </c>
      <c r="B119" s="302">
        <f>'Ind T6'!Q45</f>
        <v>24.017446058622458</v>
      </c>
      <c r="C119" s="299" t="str">
        <f>CONCATENATE("(",ROUND((B119/$H121)*100,1),")")</f>
        <v>(67.3)</v>
      </c>
      <c r="D119" s="302">
        <f>'Ind T6'!R45</f>
        <v>1.7520379751126329</v>
      </c>
      <c r="E119" s="299" t="str">
        <f>CONCATENATE("(",ROUND((D119/$H121)*100,1),")")</f>
        <v>(4.9)</v>
      </c>
      <c r="F119" s="302">
        <f>'Ind T6'!S45</f>
        <v>2.1226346432636483</v>
      </c>
      <c r="G119" s="299" t="str">
        <f>CONCATENATE("(",ROUND((F119/$H121)*100,1),")")</f>
        <v>(5.9)</v>
      </c>
      <c r="H119" s="302">
        <f>SUM(B119,D119,F119)</f>
        <v>27.892118676998738</v>
      </c>
      <c r="I119" s="299" t="str">
        <f>CONCATENATE("(",ROUND((H119/$H121)*100,1),")")</f>
        <v>(78.1)</v>
      </c>
      <c r="K119" s="302">
        <f>B124-B119</f>
        <v>-2.4032252837644172</v>
      </c>
      <c r="L119" s="302">
        <f>D124-D119</f>
        <v>-0.19848543423054577</v>
      </c>
      <c r="M119" s="302">
        <f>F124-F119</f>
        <v>-0.15805949135152542</v>
      </c>
      <c r="N119" s="302">
        <f>SUM(K119:M119)</f>
        <v>-2.7597702093464882</v>
      </c>
    </row>
    <row r="120" spans="1:14" x14ac:dyDescent="0.2">
      <c r="A120" s="282" t="s">
        <v>365</v>
      </c>
      <c r="B120" s="302">
        <f>'Ind T6'!Q44</f>
        <v>5.4289928001214571</v>
      </c>
      <c r="C120" s="299" t="str">
        <f>CONCATENATE("(",ROUND((B120/$H121)*100,1),")")</f>
        <v>(15.2)</v>
      </c>
      <c r="D120" s="302">
        <f>'Ind T6'!R44</f>
        <v>1.9980426266935978</v>
      </c>
      <c r="E120" s="299" t="str">
        <f>CONCATENATE("(",ROUND((D120/$H121)*100,1),")")</f>
        <v>(5.6)</v>
      </c>
      <c r="F120" s="302">
        <f>'Ind T6'!S44</f>
        <v>0.39384589618614529</v>
      </c>
      <c r="G120" s="299" t="str">
        <f>CONCATENATE("(",ROUND((F120/$H121)*100,1),")")</f>
        <v>(1.1)</v>
      </c>
      <c r="H120" s="302">
        <f t="shared" ref="H120" si="101">SUM(B120,D120,F120)</f>
        <v>7.8208813230012</v>
      </c>
      <c r="I120" s="299" t="str">
        <f>CONCATENATE("(",ROUND((H120/$H121)*100,1),")")</f>
        <v>(21.9)</v>
      </c>
      <c r="K120" s="302">
        <f t="shared" ref="K120:K121" si="102">B125-B120</f>
        <v>-0.42837995288556829</v>
      </c>
      <c r="L120" s="302">
        <f t="shared" ref="L120:L121" si="103">D125-D120</f>
        <v>-0.20831271619912939</v>
      </c>
      <c r="M120" s="302">
        <f t="shared" ref="M120:M121" si="104">F125-F120</f>
        <v>-5.9537121568804641E-2</v>
      </c>
      <c r="N120" s="302">
        <f t="shared" ref="N120:N121" si="105">SUM(K120:M120)</f>
        <v>-0.69622979065350232</v>
      </c>
    </row>
    <row r="121" spans="1:14" x14ac:dyDescent="0.2">
      <c r="A121" s="282" t="s">
        <v>363</v>
      </c>
      <c r="B121" s="302">
        <f>SUM(B119:B120)</f>
        <v>29.446438858743914</v>
      </c>
      <c r="C121" s="299" t="str">
        <f>CONCATENATE("(",ROUND((B121/$H121)*100,1),")")</f>
        <v>(82.5)</v>
      </c>
      <c r="D121" s="302">
        <f>SUM(D119:D120)</f>
        <v>3.7500806018062307</v>
      </c>
      <c r="E121" s="299" t="str">
        <f>CONCATENATE("(",ROUND((D121/$H121)*100,1),")")</f>
        <v>(10.5)</v>
      </c>
      <c r="F121" s="302">
        <f>SUM(F119:F120)</f>
        <v>2.5164805394497938</v>
      </c>
      <c r="G121" s="299" t="str">
        <f>CONCATENATE("(",ROUND((F121/$H121)*100,1),")")</f>
        <v>(7)</v>
      </c>
      <c r="H121" s="302">
        <f>SUM(H119:H120)</f>
        <v>35.712999999999937</v>
      </c>
      <c r="I121" s="299" t="str">
        <f>CONCATENATE("(",ROUND((H121/$H121)*100,1),")")</f>
        <v>(100)</v>
      </c>
      <c r="K121" s="302">
        <f t="shared" si="102"/>
        <v>-2.8316052366499846</v>
      </c>
      <c r="L121" s="302">
        <f t="shared" si="103"/>
        <v>-0.40679815042967515</v>
      </c>
      <c r="M121" s="302">
        <f t="shared" si="104"/>
        <v>-0.21759661292033039</v>
      </c>
      <c r="N121" s="302">
        <f t="shared" si="105"/>
        <v>-3.4559999999999902</v>
      </c>
    </row>
    <row r="122" spans="1:14" x14ac:dyDescent="0.2">
      <c r="B122" s="302"/>
      <c r="C122" s="284"/>
      <c r="D122" s="302"/>
      <c r="E122" s="284"/>
      <c r="F122" s="302"/>
      <c r="G122" s="284"/>
      <c r="H122" s="302"/>
      <c r="I122" s="284"/>
    </row>
    <row r="123" spans="1:14" x14ac:dyDescent="0.2">
      <c r="A123" s="292">
        <f>$A$18</f>
        <v>2035</v>
      </c>
      <c r="B123" s="302"/>
      <c r="C123" s="284"/>
      <c r="D123" s="302"/>
      <c r="E123" s="284"/>
      <c r="F123" s="302"/>
      <c r="G123" s="284"/>
      <c r="H123" s="302"/>
      <c r="I123" s="284"/>
      <c r="K123" s="286" t="str">
        <f>CONCATENATE(A113," - ",A123)</f>
        <v>2020 - 2035</v>
      </c>
    </row>
    <row r="124" spans="1:14" x14ac:dyDescent="0.2">
      <c r="A124" s="282" t="s">
        <v>364</v>
      </c>
      <c r="B124" s="302">
        <f>'Ind T6'!V45</f>
        <v>21.61422077485804</v>
      </c>
      <c r="C124" s="299" t="str">
        <f>CONCATENATE("(",ROUND((B124/$H126)*100,1),")")</f>
        <v>(67)</v>
      </c>
      <c r="D124" s="302">
        <f>'Ind T6'!W45</f>
        <v>1.5535525408820872</v>
      </c>
      <c r="E124" s="299" t="str">
        <f>CONCATENATE("(",ROUND((D124/$H126)*100,1),")")</f>
        <v>(4.8)</v>
      </c>
      <c r="F124" s="302">
        <f>'Ind T6'!X45</f>
        <v>1.9645751519121228</v>
      </c>
      <c r="G124" s="299" t="str">
        <f>CONCATENATE("(",ROUND((F124/$H126)*100,1),")")</f>
        <v>(6.1)</v>
      </c>
      <c r="H124" s="302">
        <f>SUM(B124,D124,F124)</f>
        <v>25.13234846765225</v>
      </c>
      <c r="I124" s="299" t="str">
        <f>CONCATENATE("(",ROUND((H124/$H126)*100,1),")")</f>
        <v>(77.9)</v>
      </c>
      <c r="K124" s="302">
        <f>B124-B114</f>
        <v>-4.2833422490611817</v>
      </c>
      <c r="L124" s="302">
        <f>D124-D114</f>
        <v>-0.36454026315046151</v>
      </c>
      <c r="M124" s="302">
        <f>F124-F114</f>
        <v>-0.34451889412876824</v>
      </c>
      <c r="N124" s="302">
        <f>SUM(K124:M124)</f>
        <v>-4.9924014063404112</v>
      </c>
    </row>
    <row r="125" spans="1:14" x14ac:dyDescent="0.2">
      <c r="A125" s="282" t="s">
        <v>365</v>
      </c>
      <c r="B125" s="302">
        <f>'Ind T6'!V44</f>
        <v>5.0006128472358888</v>
      </c>
      <c r="C125" s="299" t="str">
        <f>CONCATENATE("(",ROUND((B125/$H126)*100,1),")")</f>
        <v>(15.5)</v>
      </c>
      <c r="D125" s="302">
        <f>'Ind T6'!W44</f>
        <v>1.7897299104944684</v>
      </c>
      <c r="E125" s="299" t="str">
        <f>CONCATENATE("(",ROUND((D125/$H126)*100,1),")")</f>
        <v>(5.5)</v>
      </c>
      <c r="F125" s="302">
        <f>'Ind T6'!X44</f>
        <v>0.33430877461734065</v>
      </c>
      <c r="G125" s="299" t="str">
        <f>CONCATENATE("(",ROUND((F125/$H126)*100,1),")")</f>
        <v>(1)</v>
      </c>
      <c r="H125" s="302">
        <f t="shared" ref="H125" si="106">SUM(B125,D125,F125)</f>
        <v>7.1246515323476984</v>
      </c>
      <c r="I125" s="299" t="str">
        <f>CONCATENATE("(",ROUND((H125/$H126)*100,1),")")</f>
        <v>(22.1)</v>
      </c>
      <c r="K125" s="302">
        <f t="shared" ref="K125:K126" si="107">B125-B115</f>
        <v>-0.84855709248031275</v>
      </c>
      <c r="L125" s="302">
        <f t="shared" ref="L125:L126" si="108">D125-D115</f>
        <v>-0.3935776919186964</v>
      </c>
      <c r="M125" s="302">
        <f t="shared" ref="M125:M126" si="109">F125-F115</f>
        <v>-0.11246380926065619</v>
      </c>
      <c r="N125" s="302">
        <f t="shared" ref="N125:N126" si="110">SUM(K125:M125)</f>
        <v>-1.3545985936596654</v>
      </c>
    </row>
    <row r="126" spans="1:14" x14ac:dyDescent="0.2">
      <c r="A126" s="282" t="s">
        <v>363</v>
      </c>
      <c r="B126" s="302">
        <f>SUM(B124:B125)</f>
        <v>26.614833622093929</v>
      </c>
      <c r="C126" s="299" t="str">
        <f>CONCATENATE("(",ROUND((B126/$H126)*100,1),")")</f>
        <v>(82.5)</v>
      </c>
      <c r="D126" s="302">
        <f>SUM(D124:D125)</f>
        <v>3.3432824513765556</v>
      </c>
      <c r="E126" s="299" t="str">
        <f>CONCATENATE("(",ROUND((D126/$H126)*100,1),")")</f>
        <v>(10.4)</v>
      </c>
      <c r="F126" s="302">
        <f>SUM(F124:F125)</f>
        <v>2.2988839265294634</v>
      </c>
      <c r="G126" s="299" t="str">
        <f>CONCATENATE("(",ROUND((F126/$H126)*100,1),")")</f>
        <v>(7.1)</v>
      </c>
      <c r="H126" s="302">
        <f>SUM(H124:H125)</f>
        <v>32.256999999999948</v>
      </c>
      <c r="I126" s="299" t="str">
        <f>CONCATENATE("(",ROUND((H126/$H126)*100,1),")")</f>
        <v>(100)</v>
      </c>
      <c r="K126" s="302">
        <f t="shared" si="107"/>
        <v>-5.1318993415414944</v>
      </c>
      <c r="L126" s="302">
        <f t="shared" si="108"/>
        <v>-0.75811795506915791</v>
      </c>
      <c r="M126" s="302">
        <f t="shared" si="109"/>
        <v>-0.45698270338942448</v>
      </c>
      <c r="N126" s="302">
        <f t="shared" si="110"/>
        <v>-6.3470000000000777</v>
      </c>
    </row>
    <row r="127" spans="1:14" x14ac:dyDescent="0.2">
      <c r="A127" s="293"/>
      <c r="B127" s="294"/>
      <c r="C127" s="293"/>
      <c r="D127" s="294"/>
      <c r="E127" s="293"/>
      <c r="F127" s="294"/>
      <c r="G127" s="293"/>
      <c r="H127" s="294"/>
      <c r="I127" s="293"/>
      <c r="J127" s="293"/>
      <c r="K127" s="294"/>
      <c r="L127" s="294"/>
      <c r="M127" s="294"/>
      <c r="N127" s="294"/>
    </row>
    <row r="131" spans="1:14" x14ac:dyDescent="0.2">
      <c r="A131" s="288"/>
      <c r="B131" s="289" t="s">
        <v>372</v>
      </c>
      <c r="C131" s="288"/>
      <c r="D131" s="289"/>
      <c r="E131" s="288"/>
      <c r="F131" s="289" t="str">
        <f>name!B9</f>
        <v>Electricity and gas</v>
      </c>
      <c r="G131" s="288"/>
      <c r="H131" s="291"/>
      <c r="I131" s="288"/>
      <c r="J131" s="290"/>
      <c r="K131" s="291"/>
      <c r="L131" s="291"/>
      <c r="M131" s="291"/>
      <c r="N131" s="291"/>
    </row>
    <row r="132" spans="1:14" x14ac:dyDescent="0.2">
      <c r="N132" s="287" t="s">
        <v>370</v>
      </c>
    </row>
    <row r="133" spans="1:14" x14ac:dyDescent="0.2">
      <c r="A133" s="182" t="s">
        <v>371</v>
      </c>
      <c r="B133" s="372" t="s">
        <v>369</v>
      </c>
      <c r="C133" s="372"/>
      <c r="D133" s="372" t="s">
        <v>368</v>
      </c>
      <c r="E133" s="372"/>
      <c r="F133" s="372" t="s">
        <v>367</v>
      </c>
      <c r="G133" s="372"/>
      <c r="H133" s="372" t="s">
        <v>33</v>
      </c>
      <c r="I133" s="372"/>
      <c r="J133" s="182"/>
      <c r="K133" s="297" t="s">
        <v>345</v>
      </c>
      <c r="L133" s="297" t="s">
        <v>347</v>
      </c>
      <c r="M133" s="297" t="s">
        <v>343</v>
      </c>
      <c r="N133" s="297" t="s">
        <v>33</v>
      </c>
    </row>
    <row r="134" spans="1:14" x14ac:dyDescent="0.2">
      <c r="A134" s="292">
        <f>$A$8</f>
        <v>2020</v>
      </c>
      <c r="B134" s="287" t="s">
        <v>66</v>
      </c>
      <c r="C134" s="20" t="s">
        <v>366</v>
      </c>
      <c r="D134" s="287" t="s">
        <v>66</v>
      </c>
      <c r="E134" s="20" t="s">
        <v>366</v>
      </c>
      <c r="F134" s="287" t="s">
        <v>66</v>
      </c>
      <c r="G134" s="20" t="s">
        <v>366</v>
      </c>
      <c r="H134" s="287" t="s">
        <v>66</v>
      </c>
      <c r="I134" s="20" t="s">
        <v>366</v>
      </c>
      <c r="J134" s="182"/>
      <c r="K134" s="286" t="str">
        <f>CONCATENATE(A134," - ",A139)</f>
        <v>2020 - 2025</v>
      </c>
      <c r="L134" s="285"/>
      <c r="M134" s="285"/>
    </row>
    <row r="135" spans="1:14" x14ac:dyDescent="0.2">
      <c r="A135" s="282" t="s">
        <v>364</v>
      </c>
      <c r="B135" s="302">
        <f>'Ind T6'!L54</f>
        <v>0.88749790109822468</v>
      </c>
      <c r="C135" s="299" t="str">
        <f>CONCATENATE("(",ROUND((B135/$H137)*100,1),")")</f>
        <v>(67.3)</v>
      </c>
      <c r="D135" s="302">
        <f>'Ind T6'!M54</f>
        <v>1.2387620064087529E-2</v>
      </c>
      <c r="E135" s="299" t="str">
        <f>CONCATENATE("(",ROUND((D135/$H137)*100,1),")")</f>
        <v>(0.9)</v>
      </c>
      <c r="F135" s="302">
        <f>'Ind T6'!N54</f>
        <v>0</v>
      </c>
      <c r="G135" s="299" t="str">
        <f>CONCATENATE("(",ROUND((F135/$H137)*100,1),")")</f>
        <v>(0)</v>
      </c>
      <c r="H135" s="302">
        <f>SUM(B135,D135,F135)</f>
        <v>0.89988552116231224</v>
      </c>
      <c r="I135" s="299" t="str">
        <f>CONCATENATE("(",ROUND((H135/$H137)*100,1),")")</f>
        <v>(68.2)</v>
      </c>
      <c r="K135" s="302">
        <f>B140-B135</f>
        <v>-3.4263470720686029E-2</v>
      </c>
      <c r="L135" s="302">
        <f>D140-D135</f>
        <v>-2.2356943109271867E-4</v>
      </c>
      <c r="M135" s="302">
        <f>F140-F135</f>
        <v>0</v>
      </c>
      <c r="N135" s="302">
        <f>SUM(K135:M135)</f>
        <v>-3.4487040151778746E-2</v>
      </c>
    </row>
    <row r="136" spans="1:14" x14ac:dyDescent="0.2">
      <c r="A136" s="282" t="s">
        <v>365</v>
      </c>
      <c r="B136" s="302">
        <f>'Ind T6'!L53</f>
        <v>0.33953340448466923</v>
      </c>
      <c r="C136" s="299" t="str">
        <f>CONCATENATE("(",ROUND((B136/$H137)*100,1),")")</f>
        <v>(25.7)</v>
      </c>
      <c r="D136" s="302">
        <f>'Ind T6'!M53</f>
        <v>7.9581074353019976E-2</v>
      </c>
      <c r="E136" s="299" t="str">
        <f>CONCATENATE("(",ROUND((D136/$H137)*100,1),")")</f>
        <v>(6)</v>
      </c>
      <c r="F136" s="302">
        <f>'Ind T6'!N53</f>
        <v>0</v>
      </c>
      <c r="G136" s="299" t="str">
        <f>CONCATENATE("(",ROUND((F136/$H137)*100,1),")")</f>
        <v>(0)</v>
      </c>
      <c r="H136" s="302">
        <f t="shared" ref="H136" si="111">SUM(B136,D136,F136)</f>
        <v>0.41911447883768921</v>
      </c>
      <c r="I136" s="299" t="str">
        <f>CONCATENATE("(",ROUND((H136/$H137)*100,1),")")</f>
        <v>(31.8)</v>
      </c>
      <c r="K136" s="302">
        <f t="shared" ref="K136:K137" si="112">B141-B136</f>
        <v>-7.9708728373735771E-3</v>
      </c>
      <c r="L136" s="302">
        <f t="shared" ref="L136:L137" si="113">D141-D136</f>
        <v>-2.5420870108493754E-3</v>
      </c>
      <c r="M136" s="302">
        <f t="shared" ref="M136:M137" si="114">F141-F136</f>
        <v>0</v>
      </c>
      <c r="N136" s="302">
        <f t="shared" ref="N136:N137" si="115">SUM(K136:M136)</f>
        <v>-1.0512959848222952E-2</v>
      </c>
    </row>
    <row r="137" spans="1:14" x14ac:dyDescent="0.2">
      <c r="A137" s="282" t="s">
        <v>363</v>
      </c>
      <c r="B137" s="302">
        <f>SUM(B135:B136)</f>
        <v>1.2270313055828939</v>
      </c>
      <c r="C137" s="299" t="str">
        <f>CONCATENATE("(",ROUND((B137/$H137)*100,1),")")</f>
        <v>(93)</v>
      </c>
      <c r="D137" s="302">
        <f>SUM(D135:D136)</f>
        <v>9.1968694417107505E-2</v>
      </c>
      <c r="E137" s="299" t="str">
        <f>CONCATENATE("(",ROUND((D137/$H137)*100,1),")")</f>
        <v>(7)</v>
      </c>
      <c r="F137" s="302">
        <f>SUM(F135:F136)</f>
        <v>0</v>
      </c>
      <c r="G137" s="299" t="str">
        <f>CONCATENATE("(",ROUND((F137/$H137)*100,1),")")</f>
        <v>(0)</v>
      </c>
      <c r="H137" s="302">
        <f>SUM(H135:H136)</f>
        <v>1.3190000000000015</v>
      </c>
      <c r="I137" s="299" t="str">
        <f>CONCATENATE("(",ROUND((H137/$H137)*100,1),")")</f>
        <v>(100)</v>
      </c>
      <c r="K137" s="302">
        <f t="shared" si="112"/>
        <v>-4.223434355805944E-2</v>
      </c>
      <c r="L137" s="302">
        <f t="shared" si="113"/>
        <v>-2.7656564419420993E-3</v>
      </c>
      <c r="M137" s="302">
        <f t="shared" si="114"/>
        <v>0</v>
      </c>
      <c r="N137" s="302">
        <f t="shared" si="115"/>
        <v>-4.5000000000001539E-2</v>
      </c>
    </row>
    <row r="138" spans="1:14" x14ac:dyDescent="0.2">
      <c r="B138" s="302"/>
      <c r="C138" s="284"/>
      <c r="D138" s="302"/>
      <c r="E138" s="284"/>
      <c r="F138" s="302"/>
      <c r="G138" s="284"/>
      <c r="H138" s="302"/>
      <c r="I138" s="284"/>
    </row>
    <row r="139" spans="1:14" x14ac:dyDescent="0.2">
      <c r="A139" s="292">
        <f>$A$13</f>
        <v>2025</v>
      </c>
      <c r="B139" s="302"/>
      <c r="C139" s="284"/>
      <c r="D139" s="302"/>
      <c r="E139" s="284"/>
      <c r="F139" s="302"/>
      <c r="G139" s="284"/>
      <c r="H139" s="302"/>
      <c r="I139" s="284"/>
      <c r="K139" s="286" t="str">
        <f>CONCATENATE(A139," - ",A144)</f>
        <v>2025 - 2035</v>
      </c>
    </row>
    <row r="140" spans="1:14" x14ac:dyDescent="0.2">
      <c r="A140" s="282" t="s">
        <v>364</v>
      </c>
      <c r="B140" s="302">
        <f>'Ind T6'!Q54</f>
        <v>0.85323443037753866</v>
      </c>
      <c r="C140" s="299" t="str">
        <f>CONCATENATE("(",ROUND((B140/$H142)*100,1),")")</f>
        <v>(67)</v>
      </c>
      <c r="D140" s="302">
        <f>'Ind T6'!R54</f>
        <v>1.216405063299481E-2</v>
      </c>
      <c r="E140" s="299" t="str">
        <f>CONCATENATE("(",ROUND((D140/$H142)*100,1),")")</f>
        <v>(1)</v>
      </c>
      <c r="F140" s="302">
        <f>'Ind T6'!S54</f>
        <v>0</v>
      </c>
      <c r="G140" s="299" t="str">
        <f>CONCATENATE("(",ROUND((F140/$H142)*100,1),")")</f>
        <v>(0)</v>
      </c>
      <c r="H140" s="302">
        <f>SUM(B140,D140,F140)</f>
        <v>0.86539848101053352</v>
      </c>
      <c r="I140" s="299" t="str">
        <f>CONCATENATE("(",ROUND((H140/$H142)*100,1),")")</f>
        <v>(67.9)</v>
      </c>
      <c r="K140" s="302">
        <f>B145-B140</f>
        <v>-1.3369041671476678E-2</v>
      </c>
      <c r="L140" s="302">
        <f>D145-D140</f>
        <v>3.2966608699890737E-4</v>
      </c>
      <c r="M140" s="302">
        <f>F145-F140</f>
        <v>0</v>
      </c>
      <c r="N140" s="302">
        <f>SUM(K140:M140)</f>
        <v>-1.3039375584477771E-2</v>
      </c>
    </row>
    <row r="141" spans="1:14" x14ac:dyDescent="0.2">
      <c r="A141" s="282" t="s">
        <v>365</v>
      </c>
      <c r="B141" s="302">
        <f>'Ind T6'!Q53</f>
        <v>0.33156253164729566</v>
      </c>
      <c r="C141" s="299" t="str">
        <f>CONCATENATE("(",ROUND((B141/$H142)*100,1),")")</f>
        <v>(26)</v>
      </c>
      <c r="D141" s="302">
        <f>'Ind T6'!R53</f>
        <v>7.7038987342170601E-2</v>
      </c>
      <c r="E141" s="299" t="str">
        <f>CONCATENATE("(",ROUND((D141/$H142)*100,1),")")</f>
        <v>(6)</v>
      </c>
      <c r="F141" s="302">
        <f>'Ind T6'!S53</f>
        <v>0</v>
      </c>
      <c r="G141" s="299" t="str">
        <f>CONCATENATE("(",ROUND((F141/$H142)*100,1),")")</f>
        <v>(0)</v>
      </c>
      <c r="H141" s="302">
        <f t="shared" ref="H141" si="116">SUM(B141,D141,F141)</f>
        <v>0.40860151898946628</v>
      </c>
      <c r="I141" s="299" t="str">
        <f>CONCATENATE("(",ROUND((H141/$H142)*100,1),")")</f>
        <v>(32.1)</v>
      </c>
      <c r="K141" s="302">
        <f t="shared" ref="K141:K142" si="117">B146-B141</f>
        <v>5.3184055238071903E-3</v>
      </c>
      <c r="L141" s="302">
        <f t="shared" ref="L141:L142" si="118">D146-D141</f>
        <v>-2.7902993933005826E-4</v>
      </c>
      <c r="M141" s="302">
        <f t="shared" ref="M141:M142" si="119">F146-F141</f>
        <v>0</v>
      </c>
      <c r="N141" s="302">
        <f t="shared" ref="N141:N142" si="120">SUM(K141:M141)</f>
        <v>5.0393755844771321E-3</v>
      </c>
    </row>
    <row r="142" spans="1:14" x14ac:dyDescent="0.2">
      <c r="A142" s="282" t="s">
        <v>363</v>
      </c>
      <c r="B142" s="302">
        <f>SUM(B140:B141)</f>
        <v>1.1847969620248344</v>
      </c>
      <c r="C142" s="299" t="str">
        <f>CONCATENATE("(",ROUND((B142/$H142)*100,1),")")</f>
        <v>(93)</v>
      </c>
      <c r="D142" s="302">
        <f>SUM(D140:D141)</f>
        <v>8.9203037975165406E-2</v>
      </c>
      <c r="E142" s="299" t="str">
        <f>CONCATENATE("(",ROUND((D142/$H142)*100,1),")")</f>
        <v>(7)</v>
      </c>
      <c r="F142" s="302">
        <f>SUM(F140:F141)</f>
        <v>0</v>
      </c>
      <c r="G142" s="299" t="str">
        <f>CONCATENATE("(",ROUND((F142/$H142)*100,1),")")</f>
        <v>(0)</v>
      </c>
      <c r="H142" s="302">
        <f>SUM(H140:H141)</f>
        <v>1.2739999999999998</v>
      </c>
      <c r="I142" s="299" t="str">
        <f>CONCATENATE("(",ROUND((H142/$H142)*100,1),")")</f>
        <v>(100)</v>
      </c>
      <c r="K142" s="302">
        <f t="shared" si="117"/>
        <v>-8.0506361476695432E-3</v>
      </c>
      <c r="L142" s="302">
        <f t="shared" si="118"/>
        <v>5.0636147668856046E-5</v>
      </c>
      <c r="M142" s="302">
        <f t="shared" si="119"/>
        <v>0</v>
      </c>
      <c r="N142" s="302">
        <f t="shared" si="120"/>
        <v>-8.0000000000006871E-3</v>
      </c>
    </row>
    <row r="143" spans="1:14" x14ac:dyDescent="0.2">
      <c r="B143" s="302"/>
      <c r="C143" s="284"/>
      <c r="D143" s="302"/>
      <c r="E143" s="284"/>
      <c r="F143" s="302"/>
      <c r="G143" s="284"/>
      <c r="H143" s="302"/>
      <c r="I143" s="284"/>
    </row>
    <row r="144" spans="1:14" x14ac:dyDescent="0.2">
      <c r="A144" s="292">
        <f>$A$18</f>
        <v>2035</v>
      </c>
      <c r="B144" s="302"/>
      <c r="C144" s="284"/>
      <c r="D144" s="302"/>
      <c r="E144" s="284"/>
      <c r="F144" s="302"/>
      <c r="G144" s="284"/>
      <c r="H144" s="302"/>
      <c r="I144" s="284"/>
      <c r="K144" s="286" t="str">
        <f>CONCATENATE(A134," - ",A144)</f>
        <v>2020 - 2035</v>
      </c>
    </row>
    <row r="145" spans="1:14" x14ac:dyDescent="0.2">
      <c r="A145" s="282" t="s">
        <v>364</v>
      </c>
      <c r="B145" s="302">
        <f>'Ind T6'!V54</f>
        <v>0.83986538870606198</v>
      </c>
      <c r="C145" s="299" t="str">
        <f>CONCATENATE("(",ROUND((B145/$H147)*100,1),")")</f>
        <v>(66.3)</v>
      </c>
      <c r="D145" s="302">
        <f>'Ind T6'!W54</f>
        <v>1.2493716719993718E-2</v>
      </c>
      <c r="E145" s="299" t="str">
        <f>CONCATENATE("(",ROUND((D145/$H147)*100,1),")")</f>
        <v>(1)</v>
      </c>
      <c r="F145" s="302">
        <f>'Ind T6'!X54</f>
        <v>0</v>
      </c>
      <c r="G145" s="299" t="str">
        <f>CONCATENATE("(",ROUND((F145/$H147)*100,1),")")</f>
        <v>(0)</v>
      </c>
      <c r="H145" s="302">
        <f>SUM(B145,D145,F145)</f>
        <v>0.85235910542605564</v>
      </c>
      <c r="I145" s="299" t="str">
        <f>CONCATENATE("(",ROUND((H145/$H147)*100,1),")")</f>
        <v>(67.3)</v>
      </c>
      <c r="K145" s="302">
        <f>B145-B135</f>
        <v>-4.7632512392162707E-2</v>
      </c>
      <c r="L145" s="302">
        <f>D145-D135</f>
        <v>1.0609665590618871E-4</v>
      </c>
      <c r="M145" s="302">
        <f>F145-F135</f>
        <v>0</v>
      </c>
      <c r="N145" s="302">
        <f>SUM(K145:M145)</f>
        <v>-4.7526415736256516E-2</v>
      </c>
    </row>
    <row r="146" spans="1:14" x14ac:dyDescent="0.2">
      <c r="A146" s="282" t="s">
        <v>365</v>
      </c>
      <c r="B146" s="302">
        <f>'Ind T6'!V53</f>
        <v>0.33688093717110285</v>
      </c>
      <c r="C146" s="299" t="str">
        <f>CONCATENATE("(",ROUND((B146/$H147)*100,1),")")</f>
        <v>(26.6)</v>
      </c>
      <c r="D146" s="302">
        <f>'Ind T6'!W53</f>
        <v>7.6759957402840542E-2</v>
      </c>
      <c r="E146" s="299" t="str">
        <f>CONCATENATE("(",ROUND((D146/$H147)*100,1),")")</f>
        <v>(6.1)</v>
      </c>
      <c r="F146" s="302">
        <f>'Ind T6'!X53</f>
        <v>0</v>
      </c>
      <c r="G146" s="299" t="str">
        <f>CONCATENATE("(",ROUND((F146/$H147)*100,1),")")</f>
        <v>(0)</v>
      </c>
      <c r="H146" s="302">
        <f t="shared" ref="H146" si="121">SUM(B146,D146,F146)</f>
        <v>0.41364089457394337</v>
      </c>
      <c r="I146" s="299" t="str">
        <f>CONCATENATE("(",ROUND((H146/$H147)*100,1),")")</f>
        <v>(32.7)</v>
      </c>
      <c r="K146" s="302">
        <f t="shared" ref="K146:K147" si="122">B146-B136</f>
        <v>-2.6524673135663868E-3</v>
      </c>
      <c r="L146" s="302">
        <f t="shared" ref="L146:L147" si="123">D146-D136</f>
        <v>-2.8211169501794336E-3</v>
      </c>
      <c r="M146" s="302">
        <f t="shared" ref="M146:M147" si="124">F146-F136</f>
        <v>0</v>
      </c>
      <c r="N146" s="302">
        <f t="shared" ref="N146:N147" si="125">SUM(K146:M146)</f>
        <v>-5.4735842637458204E-3</v>
      </c>
    </row>
    <row r="147" spans="1:14" x14ac:dyDescent="0.2">
      <c r="A147" s="282" t="s">
        <v>363</v>
      </c>
      <c r="B147" s="302">
        <f>SUM(B145:B146)</f>
        <v>1.1767463258771649</v>
      </c>
      <c r="C147" s="299" t="str">
        <f>CONCATENATE("(",ROUND((B147/$H147)*100,1),")")</f>
        <v>(92.9)</v>
      </c>
      <c r="D147" s="302">
        <f>SUM(D145:D146)</f>
        <v>8.9253674122834262E-2</v>
      </c>
      <c r="E147" s="299" t="str">
        <f>CONCATENATE("(",ROUND((D147/$H147)*100,1),")")</f>
        <v>(7.1)</v>
      </c>
      <c r="F147" s="302">
        <f>SUM(F145:F146)</f>
        <v>0</v>
      </c>
      <c r="G147" s="299" t="str">
        <f>CONCATENATE("(",ROUND((F147/$H147)*100,1),")")</f>
        <v>(0)</v>
      </c>
      <c r="H147" s="302">
        <f>SUM(H145:H146)</f>
        <v>1.2659999999999991</v>
      </c>
      <c r="I147" s="299" t="str">
        <f>CONCATENATE("(",ROUND((H147/$H147)*100,1),")")</f>
        <v>(100)</v>
      </c>
      <c r="K147" s="302">
        <f t="shared" si="122"/>
        <v>-5.0284979705728983E-2</v>
      </c>
      <c r="L147" s="302">
        <f t="shared" si="123"/>
        <v>-2.7150202942732432E-3</v>
      </c>
      <c r="M147" s="302">
        <f t="shared" si="124"/>
        <v>0</v>
      </c>
      <c r="N147" s="302">
        <f t="shared" si="125"/>
        <v>-5.3000000000002226E-2</v>
      </c>
    </row>
    <row r="148" spans="1:14" x14ac:dyDescent="0.2">
      <c r="A148" s="293"/>
      <c r="B148" s="294"/>
      <c r="C148" s="293"/>
      <c r="D148" s="294"/>
      <c r="E148" s="293"/>
      <c r="F148" s="294"/>
      <c r="G148" s="293"/>
      <c r="H148" s="294"/>
      <c r="I148" s="293"/>
      <c r="J148" s="293"/>
      <c r="K148" s="294"/>
      <c r="L148" s="294"/>
      <c r="M148" s="294"/>
      <c r="N148" s="294"/>
    </row>
    <row r="151" spans="1:14" x14ac:dyDescent="0.2">
      <c r="C151" s="182"/>
      <c r="E151" s="182"/>
      <c r="G151" s="182"/>
      <c r="I151" s="182"/>
    </row>
    <row r="152" spans="1:14" x14ac:dyDescent="0.2">
      <c r="A152" s="288"/>
      <c r="B152" s="289" t="s">
        <v>372</v>
      </c>
      <c r="C152" s="288"/>
      <c r="D152" s="289"/>
      <c r="E152" s="288"/>
      <c r="F152" s="289" t="str">
        <f>name!B10</f>
        <v>Water and sewerage</v>
      </c>
      <c r="G152" s="288"/>
      <c r="H152" s="291"/>
      <c r="I152" s="288"/>
      <c r="J152" s="290"/>
      <c r="K152" s="291"/>
      <c r="L152" s="291"/>
      <c r="M152" s="291"/>
      <c r="N152" s="291"/>
    </row>
    <row r="153" spans="1:14" x14ac:dyDescent="0.2">
      <c r="N153" s="287" t="s">
        <v>370</v>
      </c>
    </row>
    <row r="154" spans="1:14" x14ac:dyDescent="0.2">
      <c r="A154" s="182" t="s">
        <v>371</v>
      </c>
      <c r="B154" s="372" t="s">
        <v>369</v>
      </c>
      <c r="C154" s="372"/>
      <c r="D154" s="372" t="s">
        <v>368</v>
      </c>
      <c r="E154" s="372"/>
      <c r="F154" s="372" t="s">
        <v>367</v>
      </c>
      <c r="G154" s="372"/>
      <c r="H154" s="372" t="s">
        <v>33</v>
      </c>
      <c r="I154" s="372"/>
      <c r="J154" s="182"/>
      <c r="K154" s="297" t="s">
        <v>345</v>
      </c>
      <c r="L154" s="297" t="s">
        <v>347</v>
      </c>
      <c r="M154" s="297" t="s">
        <v>343</v>
      </c>
      <c r="N154" s="297" t="s">
        <v>33</v>
      </c>
    </row>
    <row r="155" spans="1:14" x14ac:dyDescent="0.2">
      <c r="A155" s="292">
        <f>$A$8</f>
        <v>2020</v>
      </c>
      <c r="B155" s="287" t="s">
        <v>66</v>
      </c>
      <c r="C155" s="20" t="s">
        <v>366</v>
      </c>
      <c r="D155" s="287" t="s">
        <v>66</v>
      </c>
      <c r="E155" s="20" t="s">
        <v>366</v>
      </c>
      <c r="F155" s="287" t="s">
        <v>66</v>
      </c>
      <c r="G155" s="20" t="s">
        <v>366</v>
      </c>
      <c r="H155" s="287" t="s">
        <v>66</v>
      </c>
      <c r="I155" s="20" t="s">
        <v>366</v>
      </c>
      <c r="J155" s="182"/>
      <c r="K155" s="286" t="str">
        <f>CONCATENATE(A155," - ",A160)</f>
        <v>2020 - 2025</v>
      </c>
      <c r="L155" s="285"/>
      <c r="M155" s="285"/>
    </row>
    <row r="156" spans="1:14" x14ac:dyDescent="0.2">
      <c r="A156" s="282" t="s">
        <v>364</v>
      </c>
      <c r="B156" s="302">
        <f>'Ind T6'!L63</f>
        <v>3.5805342853188384</v>
      </c>
      <c r="C156" s="299" t="str">
        <f>CONCATENATE("(",ROUND((B156/$H158)*100,1),")")</f>
        <v>(74.8)</v>
      </c>
      <c r="D156" s="302">
        <f>'Ind T6'!M63</f>
        <v>8.8303831471889194E-2</v>
      </c>
      <c r="E156" s="299" t="str">
        <f>CONCATENATE("(",ROUND((D156/$H158)*100,1),")")</f>
        <v>(1.8)</v>
      </c>
      <c r="F156" s="302">
        <f>'Ind T6'!N63</f>
        <v>0</v>
      </c>
      <c r="G156" s="299" t="str">
        <f>CONCATENATE("(",ROUND((F156/$H158)*100,1),")")</f>
        <v>(0)</v>
      </c>
      <c r="H156" s="302">
        <f>SUM(B156,D156,F156)</f>
        <v>3.6688381167907278</v>
      </c>
      <c r="I156" s="299" t="str">
        <f>CONCATENATE("(",ROUND((H156/$H158)*100,1),")")</f>
        <v>(76.7)</v>
      </c>
      <c r="K156" s="302">
        <f>B161-B156</f>
        <v>0.12321665138304461</v>
      </c>
      <c r="L156" s="302">
        <f>D161-D156</f>
        <v>4.2899419453884674E-3</v>
      </c>
      <c r="M156" s="302">
        <f>F161-F156</f>
        <v>0</v>
      </c>
      <c r="N156" s="302">
        <f>SUM(K156:M156)</f>
        <v>0.12750659332843306</v>
      </c>
    </row>
    <row r="157" spans="1:14" x14ac:dyDescent="0.2">
      <c r="A157" s="282" t="s">
        <v>365</v>
      </c>
      <c r="B157" s="302">
        <f>'Ind T6'!L62</f>
        <v>0.84582214052416105</v>
      </c>
      <c r="C157" s="299" t="str">
        <f>CONCATENATE("(",ROUND((B157/$H158)*100,1),")")</f>
        <v>(17.7)</v>
      </c>
      <c r="D157" s="302">
        <f>'Ind T6'!M62</f>
        <v>0.2442734341884284</v>
      </c>
      <c r="E157" s="299" t="str">
        <f>CONCATENATE("(",ROUND((D157/$H158)*100,1),")")</f>
        <v>(5.1)</v>
      </c>
      <c r="F157" s="302">
        <f>'Ind T6'!N62</f>
        <v>2.706630849668739E-2</v>
      </c>
      <c r="G157" s="299" t="str">
        <f>CONCATENATE("(",ROUND((F157/$H158)*100,1),")")</f>
        <v>(0.6)</v>
      </c>
      <c r="H157" s="302">
        <f t="shared" ref="H157" si="126">SUM(B157,D157,F157)</f>
        <v>1.1171618832092767</v>
      </c>
      <c r="I157" s="299" t="str">
        <f>CONCATENATE("(",ROUND((H157/$H158)*100,1),")")</f>
        <v>(23.3)</v>
      </c>
      <c r="K157" s="302">
        <f t="shared" ref="K157:K158" si="127">B162-B157</f>
        <v>6.9222208556502851E-2</v>
      </c>
      <c r="L157" s="302">
        <f t="shared" ref="L157:L158" si="128">D162-D157</f>
        <v>1.3423207272586613E-2</v>
      </c>
      <c r="M157" s="302">
        <f t="shared" ref="M157:M158" si="129">F162-F157</f>
        <v>8.479908424769457E-4</v>
      </c>
      <c r="N157" s="302">
        <f t="shared" ref="N157:N158" si="130">SUM(K157:M157)</f>
        <v>8.3493406671566406E-2</v>
      </c>
    </row>
    <row r="158" spans="1:14" x14ac:dyDescent="0.2">
      <c r="A158" s="282" t="s">
        <v>363</v>
      </c>
      <c r="B158" s="302">
        <f>SUM(B156:B157)</f>
        <v>4.4263564258429993</v>
      </c>
      <c r="C158" s="299" t="str">
        <f>CONCATENATE("(",ROUND((B158/$H158)*100,1),")")</f>
        <v>(92.5)</v>
      </c>
      <c r="D158" s="302">
        <f>SUM(D156:D157)</f>
        <v>0.33257726566031759</v>
      </c>
      <c r="E158" s="299" t="str">
        <f>CONCATENATE("(",ROUND((D158/$H158)*100,1),")")</f>
        <v>(6.9)</v>
      </c>
      <c r="F158" s="302">
        <f>SUM(F156:F157)</f>
        <v>2.706630849668739E-2</v>
      </c>
      <c r="G158" s="299" t="str">
        <f>CONCATENATE("(",ROUND((F158/$H158)*100,1),")")</f>
        <v>(0.6)</v>
      </c>
      <c r="H158" s="302">
        <f>SUM(H156:H157)</f>
        <v>4.7860000000000049</v>
      </c>
      <c r="I158" s="299" t="str">
        <f>CONCATENATE("(",ROUND((H158/$H158)*100,1),")")</f>
        <v>(100)</v>
      </c>
      <c r="K158" s="302">
        <f t="shared" si="127"/>
        <v>0.19243885993954724</v>
      </c>
      <c r="L158" s="302">
        <f t="shared" si="128"/>
        <v>1.7713149217975066E-2</v>
      </c>
      <c r="M158" s="302">
        <f t="shared" si="129"/>
        <v>8.479908424769457E-4</v>
      </c>
      <c r="N158" s="302">
        <f t="shared" si="130"/>
        <v>0.21099999999999924</v>
      </c>
    </row>
    <row r="159" spans="1:14" x14ac:dyDescent="0.2">
      <c r="B159" s="302"/>
      <c r="C159" s="284"/>
      <c r="D159" s="302"/>
      <c r="E159" s="284"/>
      <c r="F159" s="302"/>
      <c r="G159" s="284"/>
      <c r="H159" s="302"/>
      <c r="I159" s="284"/>
    </row>
    <row r="160" spans="1:14" x14ac:dyDescent="0.2">
      <c r="A160" s="292">
        <f>$A$13</f>
        <v>2025</v>
      </c>
      <c r="B160" s="302"/>
      <c r="C160" s="284"/>
      <c r="D160" s="302"/>
      <c r="E160" s="284"/>
      <c r="F160" s="302"/>
      <c r="G160" s="284"/>
      <c r="H160" s="302"/>
      <c r="I160" s="284"/>
      <c r="K160" s="286" t="str">
        <f>CONCATENATE(A160," - ",A165)</f>
        <v>2025 - 2035</v>
      </c>
    </row>
    <row r="161" spans="1:14" x14ac:dyDescent="0.2">
      <c r="A161" s="282" t="s">
        <v>364</v>
      </c>
      <c r="B161" s="302">
        <f>'Ind T6'!Q63</f>
        <v>3.703750936701883</v>
      </c>
      <c r="C161" s="299" t="str">
        <f>CONCATENATE("(",ROUND((B161/$H163)*100,1),")")</f>
        <v>(74.1)</v>
      </c>
      <c r="D161" s="302">
        <f>'Ind T6'!R63</f>
        <v>9.2593773417277661E-2</v>
      </c>
      <c r="E161" s="299" t="str">
        <f>CONCATENATE("(",ROUND((D161/$H163)*100,1),")")</f>
        <v>(1.9)</v>
      </c>
      <c r="F161" s="302">
        <f>'Ind T6'!S63</f>
        <v>0</v>
      </c>
      <c r="G161" s="299" t="str">
        <f>CONCATENATE("(",ROUND((F161/$H163)*100,1),")")</f>
        <v>(0)</v>
      </c>
      <c r="H161" s="302">
        <f>SUM(B161,D161,F161)</f>
        <v>3.7963447101191607</v>
      </c>
      <c r="I161" s="299" t="str">
        <f>CONCATENATE("(",ROUND((H161/$H163)*100,1),")")</f>
        <v>(76)</v>
      </c>
      <c r="K161" s="302">
        <f>B166-B161</f>
        <v>0.15457769205932337</v>
      </c>
      <c r="L161" s="302">
        <f>D166-D161</f>
        <v>4.9289509121301506E-3</v>
      </c>
      <c r="M161" s="302">
        <f>F166-F161</f>
        <v>0</v>
      </c>
      <c r="N161" s="302">
        <f>SUM(K161:M161)</f>
        <v>0.15950664297145351</v>
      </c>
    </row>
    <row r="162" spans="1:14" x14ac:dyDescent="0.2">
      <c r="A162" s="282" t="s">
        <v>365</v>
      </c>
      <c r="B162" s="302">
        <f>'Ind T6'!Q62</f>
        <v>0.9150443490806639</v>
      </c>
      <c r="C162" s="299" t="str">
        <f>CONCATENATE("(",ROUND((B162/$H163)*100,1),")")</f>
        <v>(18.3)</v>
      </c>
      <c r="D162" s="302">
        <f>'Ind T6'!R62</f>
        <v>0.25769664146101501</v>
      </c>
      <c r="E162" s="299" t="str">
        <f>CONCATENATE("(",ROUND((D162/$H163)*100,1),")")</f>
        <v>(5.2)</v>
      </c>
      <c r="F162" s="302">
        <f>'Ind T6'!S62</f>
        <v>2.7914299339164336E-2</v>
      </c>
      <c r="G162" s="299" t="str">
        <f>CONCATENATE("(",ROUND((F162/$H163)*100,1),")")</f>
        <v>(0.6)</v>
      </c>
      <c r="H162" s="302">
        <f t="shared" ref="H162" si="131">SUM(B162,D162,F162)</f>
        <v>1.2006552898808434</v>
      </c>
      <c r="I162" s="299" t="str">
        <f>CONCATENATE("(",ROUND((H162/$H163)*100,1),")")</f>
        <v>(24)</v>
      </c>
      <c r="K162" s="302">
        <f t="shared" ref="K162:K163" si="132">B167-B162</f>
        <v>0.12577036023825383</v>
      </c>
      <c r="L162" s="302">
        <f t="shared" ref="L162:L163" si="133">D167-D162</f>
        <v>2.0792546679746671E-2</v>
      </c>
      <c r="M162" s="302">
        <f t="shared" ref="M162:M163" si="134">F167-F162</f>
        <v>9.3045011054120053E-4</v>
      </c>
      <c r="N162" s="302">
        <f t="shared" ref="N162:N163" si="135">SUM(K162:M162)</f>
        <v>0.14749335702854172</v>
      </c>
    </row>
    <row r="163" spans="1:14" x14ac:dyDescent="0.2">
      <c r="A163" s="282" t="s">
        <v>363</v>
      </c>
      <c r="B163" s="302">
        <f>SUM(B161:B162)</f>
        <v>4.6187952857825465</v>
      </c>
      <c r="C163" s="299" t="str">
        <f>CONCATENATE("(",ROUND((B163/$H163)*100,1),")")</f>
        <v>(92.4)</v>
      </c>
      <c r="D163" s="302">
        <f>SUM(D161:D162)</f>
        <v>0.35029041487829266</v>
      </c>
      <c r="E163" s="299" t="str">
        <f>CONCATENATE("(",ROUND((D163/$H163)*100,1),")")</f>
        <v>(7)</v>
      </c>
      <c r="F163" s="302">
        <f>SUM(F161:F162)</f>
        <v>2.7914299339164336E-2</v>
      </c>
      <c r="G163" s="299" t="str">
        <f>CONCATENATE("(",ROUND((F163/$H163)*100,1),")")</f>
        <v>(0.6)</v>
      </c>
      <c r="H163" s="302">
        <f>SUM(H161:H162)</f>
        <v>4.9970000000000043</v>
      </c>
      <c r="I163" s="299" t="str">
        <f>CONCATENATE("(",ROUND((H163/$H163)*100,1),")")</f>
        <v>(100)</v>
      </c>
      <c r="K163" s="302">
        <f t="shared" si="132"/>
        <v>0.28034805229757787</v>
      </c>
      <c r="L163" s="302">
        <f t="shared" si="133"/>
        <v>2.5721497591876863E-2</v>
      </c>
      <c r="M163" s="302">
        <f t="shared" si="134"/>
        <v>9.3045011054120053E-4</v>
      </c>
      <c r="N163" s="302">
        <f t="shared" si="135"/>
        <v>0.30699999999999594</v>
      </c>
    </row>
    <row r="164" spans="1:14" x14ac:dyDescent="0.2">
      <c r="B164" s="302"/>
      <c r="C164" s="284"/>
      <c r="D164" s="302"/>
      <c r="E164" s="284"/>
      <c r="F164" s="302"/>
      <c r="G164" s="284"/>
      <c r="H164" s="302"/>
      <c r="I164" s="284"/>
    </row>
    <row r="165" spans="1:14" x14ac:dyDescent="0.2">
      <c r="A165" s="292">
        <f>$A$18</f>
        <v>2035</v>
      </c>
      <c r="B165" s="302"/>
      <c r="C165" s="284"/>
      <c r="D165" s="302"/>
      <c r="E165" s="284"/>
      <c r="F165" s="302"/>
      <c r="G165" s="284"/>
      <c r="H165" s="302"/>
      <c r="I165" s="284"/>
      <c r="K165" s="286" t="str">
        <f>CONCATENATE(A155," - ",A165)</f>
        <v>2020 - 2035</v>
      </c>
    </row>
    <row r="166" spans="1:14" x14ac:dyDescent="0.2">
      <c r="A166" s="282" t="s">
        <v>364</v>
      </c>
      <c r="B166" s="302">
        <f>'Ind T6'!V63</f>
        <v>3.8583286287612064</v>
      </c>
      <c r="C166" s="299" t="str">
        <f>CONCATENATE("(",ROUND((B166/$H168)*100,1),")")</f>
        <v>(72.7)</v>
      </c>
      <c r="D166" s="302">
        <f>'Ind T6'!W63</f>
        <v>9.7522724329407812E-2</v>
      </c>
      <c r="E166" s="299" t="str">
        <f>CONCATENATE("(",ROUND((D166/$H168)*100,1),")")</f>
        <v>(1.8)</v>
      </c>
      <c r="F166" s="302">
        <f>'Ind T6'!X63</f>
        <v>0</v>
      </c>
      <c r="G166" s="299" t="str">
        <f>CONCATENATE("(",ROUND((F166/$H168)*100,1),")")</f>
        <v>(0)</v>
      </c>
      <c r="H166" s="302">
        <f>SUM(B166,D166,F166)</f>
        <v>3.9558513530906141</v>
      </c>
      <c r="I166" s="299" t="str">
        <f>CONCATENATE("(",ROUND((H166/$H168)*100,1),")")</f>
        <v>(74.6)</v>
      </c>
      <c r="K166" s="302">
        <f>B166-B156</f>
        <v>0.27779434344236797</v>
      </c>
      <c r="L166" s="302">
        <f>D166-D156</f>
        <v>9.218892857518618E-3</v>
      </c>
      <c r="M166" s="302">
        <f>F166-F156</f>
        <v>0</v>
      </c>
      <c r="N166" s="302">
        <f>SUM(K166:M166)</f>
        <v>0.28701323629988662</v>
      </c>
    </row>
    <row r="167" spans="1:14" x14ac:dyDescent="0.2">
      <c r="A167" s="282" t="s">
        <v>365</v>
      </c>
      <c r="B167" s="302">
        <f>'Ind T6'!V62</f>
        <v>1.0408147093189177</v>
      </c>
      <c r="C167" s="299" t="str">
        <f>CONCATENATE("(",ROUND((B167/$H168)*100,1),")")</f>
        <v>(19.6)</v>
      </c>
      <c r="D167" s="302">
        <f>'Ind T6'!W62</f>
        <v>0.27848918814076168</v>
      </c>
      <c r="E167" s="299" t="str">
        <f>CONCATENATE("(",ROUND((D167/$H168)*100,1),")")</f>
        <v>(5.3)</v>
      </c>
      <c r="F167" s="302">
        <f>'Ind T6'!X62</f>
        <v>2.8844749449705536E-2</v>
      </c>
      <c r="G167" s="299" t="str">
        <f>CONCATENATE("(",ROUND((F167/$H168)*100,1),")")</f>
        <v>(0.5)</v>
      </c>
      <c r="H167" s="302">
        <f t="shared" ref="H167" si="136">SUM(B167,D167,F167)</f>
        <v>1.3481486469093849</v>
      </c>
      <c r="I167" s="299" t="str">
        <f>CONCATENATE("(",ROUND((H167/$H168)*100,1),")")</f>
        <v>(25.4)</v>
      </c>
      <c r="K167" s="302">
        <f t="shared" ref="K167:K168" si="137">B167-B157</f>
        <v>0.19499256879475668</v>
      </c>
      <c r="L167" s="302">
        <f t="shared" ref="L167:L168" si="138">D167-D157</f>
        <v>3.4215753952333283E-2</v>
      </c>
      <c r="M167" s="302">
        <f t="shared" ref="M167:M168" si="139">F167-F157</f>
        <v>1.7784409530181462E-3</v>
      </c>
      <c r="N167" s="302">
        <f t="shared" ref="N167:N168" si="140">SUM(K167:M167)</f>
        <v>0.23098676370010812</v>
      </c>
    </row>
    <row r="168" spans="1:14" x14ac:dyDescent="0.2">
      <c r="A168" s="282" t="s">
        <v>363</v>
      </c>
      <c r="B168" s="302">
        <f>SUM(B166:B167)</f>
        <v>4.8991433380801244</v>
      </c>
      <c r="C168" s="299" t="str">
        <f>CONCATENATE("(",ROUND((B168/$H168)*100,1),")")</f>
        <v>(92.4)</v>
      </c>
      <c r="D168" s="302">
        <f>SUM(D166:D167)</f>
        <v>0.37601191247016952</v>
      </c>
      <c r="E168" s="299" t="str">
        <f>CONCATENATE("(",ROUND((D168/$H168)*100,1),")")</f>
        <v>(7.1)</v>
      </c>
      <c r="F168" s="302">
        <f>SUM(F166:F167)</f>
        <v>2.8844749449705536E-2</v>
      </c>
      <c r="G168" s="299" t="str">
        <f>CONCATENATE("(",ROUND((F168/$H168)*100,1),")")</f>
        <v>(0.5)</v>
      </c>
      <c r="H168" s="302">
        <f>SUM(H166:H167)</f>
        <v>5.3039999999999985</v>
      </c>
      <c r="I168" s="299" t="str">
        <f>CONCATENATE("(",ROUND((H168/$H168)*100,1),")")</f>
        <v>(100)</v>
      </c>
      <c r="K168" s="302">
        <f t="shared" si="137"/>
        <v>0.4727869122371251</v>
      </c>
      <c r="L168" s="302">
        <f t="shared" si="138"/>
        <v>4.3434646809851929E-2</v>
      </c>
      <c r="M168" s="302">
        <f t="shared" si="139"/>
        <v>1.7784409530181462E-3</v>
      </c>
      <c r="N168" s="302">
        <f t="shared" si="140"/>
        <v>0.51799999999999513</v>
      </c>
    </row>
    <row r="169" spans="1:14" x14ac:dyDescent="0.2">
      <c r="A169" s="293"/>
      <c r="B169" s="294"/>
      <c r="C169" s="293"/>
      <c r="D169" s="294"/>
      <c r="E169" s="293"/>
      <c r="F169" s="294"/>
      <c r="G169" s="293"/>
      <c r="H169" s="294"/>
      <c r="I169" s="293"/>
      <c r="J169" s="293"/>
      <c r="K169" s="294"/>
      <c r="L169" s="294"/>
      <c r="M169" s="294"/>
      <c r="N169" s="294"/>
    </row>
    <row r="173" spans="1:14" x14ac:dyDescent="0.2">
      <c r="A173" s="288"/>
      <c r="B173" s="289" t="s">
        <v>372</v>
      </c>
      <c r="C173" s="288"/>
      <c r="D173" s="289"/>
      <c r="E173" s="288"/>
      <c r="F173" s="289" t="str">
        <f>name!B11</f>
        <v>Construction</v>
      </c>
      <c r="G173" s="288"/>
      <c r="H173" s="291"/>
      <c r="I173" s="288"/>
      <c r="J173" s="290"/>
      <c r="K173" s="291"/>
      <c r="L173" s="291"/>
      <c r="M173" s="291"/>
      <c r="N173" s="291"/>
    </row>
    <row r="174" spans="1:14" x14ac:dyDescent="0.2">
      <c r="N174" s="287" t="s">
        <v>370</v>
      </c>
    </row>
    <row r="175" spans="1:14" x14ac:dyDescent="0.2">
      <c r="A175" s="182" t="s">
        <v>371</v>
      </c>
      <c r="B175" s="372" t="s">
        <v>369</v>
      </c>
      <c r="C175" s="372"/>
      <c r="D175" s="372" t="s">
        <v>368</v>
      </c>
      <c r="E175" s="372"/>
      <c r="F175" s="372" t="s">
        <v>367</v>
      </c>
      <c r="G175" s="372"/>
      <c r="H175" s="372" t="s">
        <v>33</v>
      </c>
      <c r="I175" s="372"/>
      <c r="J175" s="182"/>
      <c r="K175" s="297" t="s">
        <v>345</v>
      </c>
      <c r="L175" s="297" t="s">
        <v>347</v>
      </c>
      <c r="M175" s="297" t="s">
        <v>343</v>
      </c>
      <c r="N175" s="297" t="s">
        <v>33</v>
      </c>
    </row>
    <row r="176" spans="1:14" x14ac:dyDescent="0.2">
      <c r="A176" s="292">
        <f>$A$8</f>
        <v>2020</v>
      </c>
      <c r="B176" s="287" t="s">
        <v>66</v>
      </c>
      <c r="C176" s="20" t="s">
        <v>366</v>
      </c>
      <c r="D176" s="287" t="s">
        <v>66</v>
      </c>
      <c r="E176" s="20" t="s">
        <v>366</v>
      </c>
      <c r="F176" s="287" t="s">
        <v>66</v>
      </c>
      <c r="G176" s="20" t="s">
        <v>366</v>
      </c>
      <c r="H176" s="287" t="s">
        <v>66</v>
      </c>
      <c r="I176" s="20" t="s">
        <v>366</v>
      </c>
      <c r="J176" s="182"/>
      <c r="K176" s="286" t="str">
        <f>CONCATENATE(A176," - ",A181)</f>
        <v>2020 - 2025</v>
      </c>
      <c r="L176" s="285"/>
      <c r="M176" s="285"/>
    </row>
    <row r="177" spans="1:14" x14ac:dyDescent="0.2">
      <c r="A177" s="282" t="s">
        <v>364</v>
      </c>
      <c r="B177" s="302">
        <f>'Ind T6'!L72</f>
        <v>16.976572616740885</v>
      </c>
      <c r="C177" s="299" t="str">
        <f>CONCATENATE("(",ROUND((B177/$H179)*100,1),")")</f>
        <v>(49.9)</v>
      </c>
      <c r="D177" s="302">
        <f>'Ind T6'!M72</f>
        <v>1.1321395336326359</v>
      </c>
      <c r="E177" s="299" t="str">
        <f>CONCATENATE("(",ROUND((D177/$H179)*100,1),")")</f>
        <v>(3.3)</v>
      </c>
      <c r="F177" s="302">
        <f>'Ind T6'!N72</f>
        <v>10.755785601582058</v>
      </c>
      <c r="G177" s="299" t="str">
        <f>CONCATENATE("(",ROUND((F177/$H179)*100,1),")")</f>
        <v>(31.6)</v>
      </c>
      <c r="H177" s="302">
        <f>SUM(B177,D177,F177)</f>
        <v>28.864497751955579</v>
      </c>
      <c r="I177" s="299" t="str">
        <f>CONCATENATE("(",ROUND((H177/$H179)*100,1),")")</f>
        <v>(84.8)</v>
      </c>
      <c r="K177" s="302">
        <f>B182-B177</f>
        <v>-1.9387729462266634E-2</v>
      </c>
      <c r="L177" s="302">
        <f>D182-D177</f>
        <v>3.4313031670528904E-2</v>
      </c>
      <c r="M177" s="302">
        <f>F182-F177</f>
        <v>0.23417875960516099</v>
      </c>
      <c r="N177" s="302">
        <f>SUM(K177:M177)</f>
        <v>0.24910406181342326</v>
      </c>
    </row>
    <row r="178" spans="1:14" x14ac:dyDescent="0.2">
      <c r="A178" s="282" t="s">
        <v>365</v>
      </c>
      <c r="B178" s="302">
        <f>'Ind T6'!L71</f>
        <v>2.5389183608305141</v>
      </c>
      <c r="C178" s="299" t="str">
        <f>CONCATENATE("(",ROUND((B178/$H179)*100,1),")")</f>
        <v>(7.5)</v>
      </c>
      <c r="D178" s="302">
        <f>'Ind T6'!M71</f>
        <v>2.09889744911229</v>
      </c>
      <c r="E178" s="299" t="str">
        <f>CONCATENATE("(",ROUND((D178/$H179)*100,1),")")</f>
        <v>(6.2)</v>
      </c>
      <c r="F178" s="302">
        <f>'Ind T6'!N71</f>
        <v>0.51868643810159398</v>
      </c>
      <c r="G178" s="299" t="str">
        <f>CONCATENATE("(",ROUND((F178/$H179)*100,1),")")</f>
        <v>(1.5)</v>
      </c>
      <c r="H178" s="302">
        <f t="shared" ref="H178" si="141">SUM(B178,D178,F178)</f>
        <v>5.1565022480443981</v>
      </c>
      <c r="I178" s="299" t="str">
        <f>CONCATENATE("(",ROUND((H178/$H179)*100,1),")")</f>
        <v>(15.2)</v>
      </c>
      <c r="K178" s="302">
        <f t="shared" ref="K178:K179" si="142">B183-B178</f>
        <v>4.0727612446606276E-2</v>
      </c>
      <c r="L178" s="302">
        <f t="shared" ref="L178:L179" si="143">D183-D178</f>
        <v>4.7702441178936628E-2</v>
      </c>
      <c r="M178" s="302">
        <f t="shared" ref="M178:M179" si="144">F183-F178</f>
        <v>1.0465884561061789E-2</v>
      </c>
      <c r="N178" s="302">
        <f t="shared" ref="N178:N179" si="145">SUM(K178:M178)</f>
        <v>9.8895938186604693E-2</v>
      </c>
    </row>
    <row r="179" spans="1:14" x14ac:dyDescent="0.2">
      <c r="A179" s="282" t="s">
        <v>363</v>
      </c>
      <c r="B179" s="302">
        <f>SUM(B177:B178)</f>
        <v>19.5154909775714</v>
      </c>
      <c r="C179" s="299" t="str">
        <f>CONCATENATE("(",ROUND((B179/$H179)*100,1),")")</f>
        <v>(57.4)</v>
      </c>
      <c r="D179" s="302">
        <f>SUM(D177:D178)</f>
        <v>3.2310369827449259</v>
      </c>
      <c r="E179" s="299" t="str">
        <f>CONCATENATE("(",ROUND((D179/$H179)*100,1),")")</f>
        <v>(9.5)</v>
      </c>
      <c r="F179" s="302">
        <f>SUM(F177:F178)</f>
        <v>11.274472039683653</v>
      </c>
      <c r="G179" s="299" t="str">
        <f>CONCATENATE("(",ROUND((F179/$H179)*100,1),")")</f>
        <v>(33.1)</v>
      </c>
      <c r="H179" s="302">
        <f>SUM(H177:H178)</f>
        <v>34.020999999999979</v>
      </c>
      <c r="I179" s="299" t="str">
        <f>CONCATENATE("(",ROUND((H179/$H179)*100,1),")")</f>
        <v>(100)</v>
      </c>
      <c r="K179" s="302">
        <f t="shared" si="142"/>
        <v>2.1339882984339198E-2</v>
      </c>
      <c r="L179" s="302">
        <f t="shared" si="143"/>
        <v>8.2015472849465532E-2</v>
      </c>
      <c r="M179" s="302">
        <f t="shared" si="144"/>
        <v>0.24464464416622178</v>
      </c>
      <c r="N179" s="302">
        <f t="shared" si="145"/>
        <v>0.34800000000002651</v>
      </c>
    </row>
    <row r="180" spans="1:14" x14ac:dyDescent="0.2">
      <c r="B180" s="302"/>
      <c r="C180" s="284"/>
      <c r="D180" s="302"/>
      <c r="E180" s="284"/>
      <c r="F180" s="302"/>
      <c r="G180" s="284"/>
      <c r="H180" s="302"/>
      <c r="I180" s="284"/>
    </row>
    <row r="181" spans="1:14" x14ac:dyDescent="0.2">
      <c r="A181" s="292">
        <f>$A$13</f>
        <v>2025</v>
      </c>
      <c r="B181" s="302"/>
      <c r="C181" s="284"/>
      <c r="D181" s="302"/>
      <c r="E181" s="284"/>
      <c r="F181" s="302"/>
      <c r="G181" s="284"/>
      <c r="H181" s="302"/>
      <c r="I181" s="284"/>
      <c r="K181" s="286" t="str">
        <f>CONCATENATE(A181," - ",A186)</f>
        <v>2025 - 2035</v>
      </c>
    </row>
    <row r="182" spans="1:14" x14ac:dyDescent="0.2">
      <c r="A182" s="282" t="s">
        <v>364</v>
      </c>
      <c r="B182" s="302">
        <f>'Ind T6'!Q72</f>
        <v>16.957184887278618</v>
      </c>
      <c r="C182" s="299" t="str">
        <f>CONCATENATE("(",ROUND((B182/$H184)*100,1),")")</f>
        <v>(49.3)</v>
      </c>
      <c r="D182" s="302">
        <f>'Ind T6'!R72</f>
        <v>1.1664525653031648</v>
      </c>
      <c r="E182" s="299" t="str">
        <f>CONCATENATE("(",ROUND((D182/$H184)*100,1),")")</f>
        <v>(3.4)</v>
      </c>
      <c r="F182" s="302">
        <f>'Ind T6'!S72</f>
        <v>10.989964361187219</v>
      </c>
      <c r="G182" s="299" t="str">
        <f>CONCATENATE("(",ROUND((F182/$H184)*100,1),")")</f>
        <v>(32)</v>
      </c>
      <c r="H182" s="302">
        <f>SUM(B182,D182,F182)</f>
        <v>29.113601813769002</v>
      </c>
      <c r="I182" s="299" t="str">
        <f>CONCATENATE("(",ROUND((H182/$H184)*100,1),")")</f>
        <v>(84.7)</v>
      </c>
      <c r="K182" s="302">
        <f>B187-B182</f>
        <v>0.13440344035597462</v>
      </c>
      <c r="L182" s="302">
        <f>D187-D182</f>
        <v>9.1739568529175974E-2</v>
      </c>
      <c r="M182" s="302">
        <f>F187-F182</f>
        <v>0.7014227765129224</v>
      </c>
      <c r="N182" s="302">
        <f>SUM(K182:M182)</f>
        <v>0.92756578539807299</v>
      </c>
    </row>
    <row r="183" spans="1:14" x14ac:dyDescent="0.2">
      <c r="A183" s="282" t="s">
        <v>365</v>
      </c>
      <c r="B183" s="302">
        <f>'Ind T6'!Q71</f>
        <v>2.5796459732771204</v>
      </c>
      <c r="C183" s="299" t="str">
        <f>CONCATENATE("(",ROUND((B183/$H184)*100,1),")")</f>
        <v>(7.5)</v>
      </c>
      <c r="D183" s="302">
        <f>'Ind T6'!R71</f>
        <v>2.1465998902912267</v>
      </c>
      <c r="E183" s="299" t="str">
        <f>CONCATENATE("(",ROUND((D183/$H184)*100,1),")")</f>
        <v>(6.2)</v>
      </c>
      <c r="F183" s="302">
        <f>'Ind T6'!S71</f>
        <v>0.52915232266265577</v>
      </c>
      <c r="G183" s="299" t="str">
        <f>CONCATENATE("(",ROUND((F183/$H184)*100,1),")")</f>
        <v>(1.5)</v>
      </c>
      <c r="H183" s="302">
        <f t="shared" ref="H183" si="146">SUM(B183,D183,F183)</f>
        <v>5.2553981862310026</v>
      </c>
      <c r="I183" s="299" t="str">
        <f>CONCATENATE("(",ROUND((H183/$H184)*100,1),")")</f>
        <v>(15.3)</v>
      </c>
      <c r="K183" s="302">
        <f t="shared" ref="K183:K184" si="147">B188-B183</f>
        <v>0.14219419885638951</v>
      </c>
      <c r="L183" s="302">
        <f t="shared" ref="L183:L184" si="148">D188-D183</f>
        <v>0.14337737743952816</v>
      </c>
      <c r="M183" s="302">
        <f t="shared" ref="M183:M184" si="149">F188-F183</f>
        <v>4.4862638306042646E-2</v>
      </c>
      <c r="N183" s="302">
        <f t="shared" ref="N183:N184" si="150">SUM(K183:M183)</f>
        <v>0.33043421460196032</v>
      </c>
    </row>
    <row r="184" spans="1:14" x14ac:dyDescent="0.2">
      <c r="A184" s="282" t="s">
        <v>363</v>
      </c>
      <c r="B184" s="302">
        <f>SUM(B182:B183)</f>
        <v>19.536830860555739</v>
      </c>
      <c r="C184" s="299" t="str">
        <f>CONCATENATE("(",ROUND((B184/$H184)*100,1),")")</f>
        <v>(56.8)</v>
      </c>
      <c r="D184" s="302">
        <f>SUM(D182:D183)</f>
        <v>3.3130524555943914</v>
      </c>
      <c r="E184" s="299" t="str">
        <f>CONCATENATE("(",ROUND((D184/$H184)*100,1),")")</f>
        <v>(9.6)</v>
      </c>
      <c r="F184" s="302">
        <f>SUM(F182:F183)</f>
        <v>11.519116683849875</v>
      </c>
      <c r="G184" s="299" t="str">
        <f>CONCATENATE("(",ROUND((F184/$H184)*100,1),")")</f>
        <v>(33.5)</v>
      </c>
      <c r="H184" s="302">
        <f>SUM(H182:H183)</f>
        <v>34.369000000000007</v>
      </c>
      <c r="I184" s="299" t="str">
        <f>CONCATENATE("(",ROUND((H184/$H184)*100,1),")")</f>
        <v>(100)</v>
      </c>
      <c r="K184" s="302">
        <f t="shared" si="147"/>
        <v>0.27659763921236546</v>
      </c>
      <c r="L184" s="302">
        <f t="shared" si="148"/>
        <v>0.23511694596870392</v>
      </c>
      <c r="M184" s="302">
        <f t="shared" si="149"/>
        <v>0.74628541481896526</v>
      </c>
      <c r="N184" s="302">
        <f t="shared" si="150"/>
        <v>1.2580000000000346</v>
      </c>
    </row>
    <row r="185" spans="1:14" x14ac:dyDescent="0.2">
      <c r="B185" s="302"/>
      <c r="C185" s="284"/>
      <c r="D185" s="302"/>
      <c r="E185" s="284"/>
      <c r="F185" s="302"/>
      <c r="G185" s="284"/>
      <c r="H185" s="302"/>
      <c r="I185" s="284"/>
    </row>
    <row r="186" spans="1:14" x14ac:dyDescent="0.2">
      <c r="A186" s="292">
        <f>$A$18</f>
        <v>2035</v>
      </c>
      <c r="B186" s="302"/>
      <c r="C186" s="284"/>
      <c r="D186" s="302"/>
      <c r="E186" s="284"/>
      <c r="F186" s="302"/>
      <c r="G186" s="284"/>
      <c r="H186" s="302"/>
      <c r="I186" s="284"/>
      <c r="K186" s="286" t="str">
        <f>CONCATENATE(A176," - ",A186)</f>
        <v>2020 - 2035</v>
      </c>
    </row>
    <row r="187" spans="1:14" x14ac:dyDescent="0.2">
      <c r="A187" s="282" t="s">
        <v>364</v>
      </c>
      <c r="B187" s="302">
        <f>'Ind T6'!V72</f>
        <v>17.091588327634593</v>
      </c>
      <c r="C187" s="299" t="str">
        <f>CONCATENATE("(",ROUND((B187/$H189)*100,1),")")</f>
        <v>(48)</v>
      </c>
      <c r="D187" s="302">
        <f>'Ind T6'!W72</f>
        <v>1.2581921338323407</v>
      </c>
      <c r="E187" s="299" t="str">
        <f>CONCATENATE("(",ROUND((D187/$H189)*100,1),")")</f>
        <v>(3.5)</v>
      </c>
      <c r="F187" s="302">
        <f>'Ind T6'!X72</f>
        <v>11.691387137700142</v>
      </c>
      <c r="G187" s="299" t="str">
        <f>CONCATENATE("(",ROUND((F187/$H189)*100,1),")")</f>
        <v>(32.8)</v>
      </c>
      <c r="H187" s="302">
        <f>SUM(B187,D187,F187)</f>
        <v>30.041167599167075</v>
      </c>
      <c r="I187" s="299" t="str">
        <f>CONCATENATE("(",ROUND((H187/$H189)*100,1),")")</f>
        <v>(84.3)</v>
      </c>
      <c r="K187" s="302">
        <f>B187-B177</f>
        <v>0.11501571089370799</v>
      </c>
      <c r="L187" s="302">
        <f>D187-D177</f>
        <v>0.12605260019970488</v>
      </c>
      <c r="M187" s="302">
        <f>F187-F177</f>
        <v>0.93560153611808339</v>
      </c>
      <c r="N187" s="302">
        <f>SUM(K187:M187)</f>
        <v>1.1766698472114963</v>
      </c>
    </row>
    <row r="188" spans="1:14" x14ac:dyDescent="0.2">
      <c r="A188" s="282" t="s">
        <v>365</v>
      </c>
      <c r="B188" s="302">
        <f>'Ind T6'!V71</f>
        <v>2.7218401721335099</v>
      </c>
      <c r="C188" s="299" t="str">
        <f>CONCATENATE("(",ROUND((B188/$H189)*100,1),")")</f>
        <v>(7.6)</v>
      </c>
      <c r="D188" s="302">
        <f>'Ind T6'!W71</f>
        <v>2.2899772677307548</v>
      </c>
      <c r="E188" s="299" t="str">
        <f>CONCATENATE("(",ROUND((D188/$H189)*100,1),")")</f>
        <v>(6.4)</v>
      </c>
      <c r="F188" s="302">
        <f>'Ind T6'!X71</f>
        <v>0.57401496096869842</v>
      </c>
      <c r="G188" s="299" t="str">
        <f>CONCATENATE("(",ROUND((F188/$H189)*100,1),")")</f>
        <v>(1.6)</v>
      </c>
      <c r="H188" s="302">
        <f t="shared" ref="H188" si="151">SUM(B188,D188,F188)</f>
        <v>5.5858324008329632</v>
      </c>
      <c r="I188" s="299" t="str">
        <f>CONCATENATE("(",ROUND((H188/$H189)*100,1),")")</f>
        <v>(15.7)</v>
      </c>
      <c r="K188" s="302">
        <f t="shared" ref="K188:K189" si="152">B188-B178</f>
        <v>0.18292181130299578</v>
      </c>
      <c r="L188" s="302">
        <f t="shared" ref="L188:L189" si="153">D188-D178</f>
        <v>0.19107981861846479</v>
      </c>
      <c r="M188" s="302">
        <f t="shared" ref="M188:M189" si="154">F188-F178</f>
        <v>5.5328522867104435E-2</v>
      </c>
      <c r="N188" s="302">
        <f t="shared" ref="N188:N189" si="155">SUM(K188:M188)</f>
        <v>0.42933015278856501</v>
      </c>
    </row>
    <row r="189" spans="1:14" x14ac:dyDescent="0.2">
      <c r="A189" s="282" t="s">
        <v>363</v>
      </c>
      <c r="B189" s="302">
        <f>SUM(B187:B188)</f>
        <v>19.813428499768104</v>
      </c>
      <c r="C189" s="299" t="str">
        <f>CONCATENATE("(",ROUND((B189/$H189)*100,1),")")</f>
        <v>(55.6)</v>
      </c>
      <c r="D189" s="302">
        <f>SUM(D187:D188)</f>
        <v>3.5481694015630953</v>
      </c>
      <c r="E189" s="299" t="str">
        <f>CONCATENATE("(",ROUND((D189/$H189)*100,1),")")</f>
        <v>(10)</v>
      </c>
      <c r="F189" s="302">
        <f>SUM(F187:F188)</f>
        <v>12.26540209866884</v>
      </c>
      <c r="G189" s="299" t="str">
        <f>CONCATENATE("(",ROUND((F189/$H189)*100,1),")")</f>
        <v>(34.4)</v>
      </c>
      <c r="H189" s="302">
        <f>SUM(H187:H188)</f>
        <v>35.627000000000038</v>
      </c>
      <c r="I189" s="299" t="str">
        <f>CONCATENATE("(",ROUND((H189/$H189)*100,1),")")</f>
        <v>(100)</v>
      </c>
      <c r="K189" s="302">
        <f t="shared" si="152"/>
        <v>0.29793752219670466</v>
      </c>
      <c r="L189" s="302">
        <f t="shared" si="153"/>
        <v>0.31713241881816945</v>
      </c>
      <c r="M189" s="302">
        <f t="shared" si="154"/>
        <v>0.99093005898518705</v>
      </c>
      <c r="N189" s="302">
        <f t="shared" si="155"/>
        <v>1.6060000000000612</v>
      </c>
    </row>
    <row r="190" spans="1:14" x14ac:dyDescent="0.2">
      <c r="A190" s="293"/>
      <c r="B190" s="294"/>
      <c r="C190" s="293"/>
      <c r="D190" s="294"/>
      <c r="E190" s="293"/>
      <c r="F190" s="294"/>
      <c r="G190" s="293"/>
      <c r="H190" s="294"/>
      <c r="I190" s="293"/>
      <c r="J190" s="293"/>
      <c r="K190" s="294"/>
      <c r="L190" s="294"/>
      <c r="M190" s="294"/>
      <c r="N190" s="294"/>
    </row>
    <row r="194" spans="1:14" x14ac:dyDescent="0.2">
      <c r="A194" s="288"/>
      <c r="B194" s="289" t="s">
        <v>372</v>
      </c>
      <c r="C194" s="288"/>
      <c r="D194" s="289"/>
      <c r="E194" s="288"/>
      <c r="F194" s="289" t="str">
        <f>name!B12</f>
        <v>Wholesale and retail trade</v>
      </c>
      <c r="G194" s="288"/>
      <c r="H194" s="291"/>
      <c r="I194" s="288"/>
      <c r="J194" s="290"/>
      <c r="K194" s="291"/>
      <c r="L194" s="291"/>
      <c r="M194" s="291"/>
      <c r="N194" s="291"/>
    </row>
    <row r="195" spans="1:14" x14ac:dyDescent="0.2">
      <c r="N195" s="287" t="s">
        <v>370</v>
      </c>
    </row>
    <row r="196" spans="1:14" x14ac:dyDescent="0.2">
      <c r="A196" s="182" t="s">
        <v>371</v>
      </c>
      <c r="B196" s="372" t="s">
        <v>369</v>
      </c>
      <c r="C196" s="372"/>
      <c r="D196" s="372" t="s">
        <v>368</v>
      </c>
      <c r="E196" s="372"/>
      <c r="F196" s="372" t="s">
        <v>367</v>
      </c>
      <c r="G196" s="372"/>
      <c r="H196" s="372" t="s">
        <v>33</v>
      </c>
      <c r="I196" s="372"/>
      <c r="J196" s="182"/>
      <c r="K196" s="297" t="s">
        <v>345</v>
      </c>
      <c r="L196" s="297" t="s">
        <v>347</v>
      </c>
      <c r="M196" s="297" t="s">
        <v>343</v>
      </c>
      <c r="N196" s="297" t="s">
        <v>33</v>
      </c>
    </row>
    <row r="197" spans="1:14" x14ac:dyDescent="0.2">
      <c r="A197" s="292">
        <f>$A$8</f>
        <v>2020</v>
      </c>
      <c r="B197" s="287" t="s">
        <v>66</v>
      </c>
      <c r="C197" s="20" t="s">
        <v>366</v>
      </c>
      <c r="D197" s="287" t="s">
        <v>66</v>
      </c>
      <c r="E197" s="20" t="s">
        <v>366</v>
      </c>
      <c r="F197" s="287" t="s">
        <v>66</v>
      </c>
      <c r="G197" s="20" t="s">
        <v>366</v>
      </c>
      <c r="H197" s="287" t="s">
        <v>66</v>
      </c>
      <c r="I197" s="20" t="s">
        <v>366</v>
      </c>
      <c r="J197" s="182"/>
      <c r="K197" s="286" t="str">
        <f>CONCATENATE(A197," - ",A202)</f>
        <v>2020 - 2025</v>
      </c>
      <c r="L197" s="285"/>
      <c r="M197" s="285"/>
    </row>
    <row r="198" spans="1:14" x14ac:dyDescent="0.2">
      <c r="A198" s="282" t="s">
        <v>364</v>
      </c>
      <c r="B198" s="302">
        <f>'Ind T6'!L81</f>
        <v>29.723355782183848</v>
      </c>
      <c r="C198" s="299" t="str">
        <f>CONCATENATE("(",ROUND((B198/$H200)*100,1),")")</f>
        <v>(36.5)</v>
      </c>
      <c r="D198" s="302">
        <f>'Ind T6'!M81</f>
        <v>8.8360771364448301</v>
      </c>
      <c r="E198" s="299" t="str">
        <f>CONCATENATE("(",ROUND((D198/$H200)*100,1),")")</f>
        <v>(10.8)</v>
      </c>
      <c r="F198" s="302">
        <f>'Ind T6'!N81</f>
        <v>4.9415630476931565</v>
      </c>
      <c r="G198" s="299" t="str">
        <f>CONCATENATE("(",ROUND((F198/$H200)*100,1),")")</f>
        <v>(6.1)</v>
      </c>
      <c r="H198" s="302">
        <f>SUM(B198,D198,F198)</f>
        <v>43.500995966321838</v>
      </c>
      <c r="I198" s="299" t="str">
        <f>CONCATENATE("(",ROUND((H198/$H200)*100,1),")")</f>
        <v>(53.4)</v>
      </c>
      <c r="K198" s="302">
        <f>B203-B198</f>
        <v>0.57829101095571644</v>
      </c>
      <c r="L198" s="302">
        <f>D203-D198</f>
        <v>7.5194921588929375E-2</v>
      </c>
      <c r="M198" s="302">
        <f>F203-F198</f>
        <v>0.10313818190583568</v>
      </c>
      <c r="N198" s="302">
        <f>SUM(K198:M198)</f>
        <v>0.7566241144504815</v>
      </c>
    </row>
    <row r="199" spans="1:14" x14ac:dyDescent="0.2">
      <c r="A199" s="282" t="s">
        <v>365</v>
      </c>
      <c r="B199" s="302">
        <f>'Ind T6'!L80</f>
        <v>15.917416977488378</v>
      </c>
      <c r="C199" s="299" t="str">
        <f>CONCATENATE("(",ROUND((B199/$H200)*100,1),")")</f>
        <v>(19.5)</v>
      </c>
      <c r="D199" s="302">
        <f>'Ind T6'!M80</f>
        <v>20.131906020468264</v>
      </c>
      <c r="E199" s="299" t="str">
        <f>CONCATENATE("(",ROUND((D199/$H200)*100,1),")")</f>
        <v>(24.7)</v>
      </c>
      <c r="F199" s="302">
        <f>'Ind T6'!N80</f>
        <v>1.9396810357214802</v>
      </c>
      <c r="G199" s="299" t="str">
        <f>CONCATENATE("(",ROUND((F199/$H200)*100,1),")")</f>
        <v>(2.4)</v>
      </c>
      <c r="H199" s="302">
        <f t="shared" ref="H199" si="156">SUM(B199,D199,F199)</f>
        <v>37.989004033678121</v>
      </c>
      <c r="I199" s="299" t="str">
        <f>CONCATENATE("(",ROUND((H199/$H200)*100,1),")")</f>
        <v>(46.6)</v>
      </c>
      <c r="K199" s="302">
        <f t="shared" ref="K199:K200" si="157">B204-B199</f>
        <v>0.79874753582964608</v>
      </c>
      <c r="L199" s="302">
        <f t="shared" ref="L199:L200" si="158">D204-D199</f>
        <v>-0.58269221630736112</v>
      </c>
      <c r="M199" s="302">
        <f t="shared" ref="M199:M200" si="159">F204-F199</f>
        <v>7.5320566027377911E-2</v>
      </c>
      <c r="N199" s="302">
        <f t="shared" ref="N199:N200" si="160">SUM(K199:M199)</f>
        <v>0.29137588554966287</v>
      </c>
    </row>
    <row r="200" spans="1:14" x14ac:dyDescent="0.2">
      <c r="A200" s="282" t="s">
        <v>363</v>
      </c>
      <c r="B200" s="302">
        <f>SUM(B198:B199)</f>
        <v>45.640772759672224</v>
      </c>
      <c r="C200" s="299" t="str">
        <f>CONCATENATE("(",ROUND((B200/$H200)*100,1),")")</f>
        <v>(56)</v>
      </c>
      <c r="D200" s="302">
        <f>SUM(D198:D199)</f>
        <v>28.967983156913093</v>
      </c>
      <c r="E200" s="299" t="str">
        <f>CONCATENATE("(",ROUND((D200/$H200)*100,1),")")</f>
        <v>(35.5)</v>
      </c>
      <c r="F200" s="302">
        <f>SUM(F198:F199)</f>
        <v>6.8812440834146367</v>
      </c>
      <c r="G200" s="299" t="str">
        <f>CONCATENATE("(",ROUND((F200/$H200)*100,1),")")</f>
        <v>(8.4)</v>
      </c>
      <c r="H200" s="302">
        <f>SUM(H198:H199)</f>
        <v>81.489999999999952</v>
      </c>
      <c r="I200" s="299" t="str">
        <f>CONCATENATE("(",ROUND((H200/$H200)*100,1),")")</f>
        <v>(100)</v>
      </c>
      <c r="K200" s="302">
        <f t="shared" si="157"/>
        <v>1.3770385467853643</v>
      </c>
      <c r="L200" s="302">
        <f t="shared" si="158"/>
        <v>-0.50749729471842997</v>
      </c>
      <c r="M200" s="302">
        <f t="shared" si="159"/>
        <v>0.17845874793321403</v>
      </c>
      <c r="N200" s="302">
        <f t="shared" si="160"/>
        <v>1.0480000000001484</v>
      </c>
    </row>
    <row r="201" spans="1:14" x14ac:dyDescent="0.2">
      <c r="B201" s="302"/>
      <c r="C201" s="284"/>
      <c r="D201" s="302"/>
      <c r="E201" s="284"/>
      <c r="F201" s="302"/>
      <c r="G201" s="284"/>
      <c r="H201" s="302"/>
      <c r="I201" s="284"/>
    </row>
    <row r="202" spans="1:14" x14ac:dyDescent="0.2">
      <c r="A202" s="292">
        <f>$A$13</f>
        <v>2025</v>
      </c>
      <c r="B202" s="302"/>
      <c r="C202" s="284"/>
      <c r="D202" s="302"/>
      <c r="E202" s="284"/>
      <c r="F202" s="302"/>
      <c r="G202" s="284"/>
      <c r="H202" s="302"/>
      <c r="I202" s="284"/>
      <c r="K202" s="286" t="str">
        <f>CONCATENATE(A202," - ",A207)</f>
        <v>2025 - 2035</v>
      </c>
    </row>
    <row r="203" spans="1:14" x14ac:dyDescent="0.2">
      <c r="A203" s="282" t="s">
        <v>364</v>
      </c>
      <c r="B203" s="302">
        <f>'Ind T6'!Q81</f>
        <v>30.301646793139565</v>
      </c>
      <c r="C203" s="299" t="str">
        <f>CONCATENATE("(",ROUND((B203/$H205)*100,1),")")</f>
        <v>(36.7)</v>
      </c>
      <c r="D203" s="302">
        <f>'Ind T6'!R81</f>
        <v>8.9112720580337594</v>
      </c>
      <c r="E203" s="299" t="str">
        <f>CONCATENATE("(",ROUND((D203/$H205)*100,1),")")</f>
        <v>(10.8)</v>
      </c>
      <c r="F203" s="302">
        <f>'Ind T6'!S81</f>
        <v>5.0447012295989921</v>
      </c>
      <c r="G203" s="299" t="str">
        <f>CONCATENATE("(",ROUND((F203/$H205)*100,1),")")</f>
        <v>(6.1)</v>
      </c>
      <c r="H203" s="302">
        <f>SUM(B203,D203,F203)</f>
        <v>44.25762008077232</v>
      </c>
      <c r="I203" s="299" t="str">
        <f>CONCATENATE("(",ROUND((H203/$H205)*100,1),")")</f>
        <v>(53.6)</v>
      </c>
      <c r="K203" s="302">
        <f>B208-B203</f>
        <v>0.72475972605213812</v>
      </c>
      <c r="L203" s="302">
        <f>D208-D203</f>
        <v>0.14939258543586575</v>
      </c>
      <c r="M203" s="302">
        <f>F208-F203</f>
        <v>0.16030985226647054</v>
      </c>
      <c r="N203" s="302">
        <f>SUM(K203:M203)</f>
        <v>1.0344621637544744</v>
      </c>
    </row>
    <row r="204" spans="1:14" x14ac:dyDescent="0.2">
      <c r="A204" s="282" t="s">
        <v>365</v>
      </c>
      <c r="B204" s="302">
        <f>'Ind T6'!Q80</f>
        <v>16.716164513318024</v>
      </c>
      <c r="C204" s="299" t="str">
        <f>CONCATENATE("(",ROUND((B204/$H205)*100,1),")")</f>
        <v>(20.3)</v>
      </c>
      <c r="D204" s="302">
        <f>'Ind T6'!R80</f>
        <v>19.549213804160903</v>
      </c>
      <c r="E204" s="299" t="str">
        <f>CONCATENATE("(",ROUND((D204/$H205)*100,1),")")</f>
        <v>(23.7)</v>
      </c>
      <c r="F204" s="302">
        <f>'Ind T6'!S80</f>
        <v>2.0150016017488581</v>
      </c>
      <c r="G204" s="299" t="str">
        <f>CONCATENATE("(",ROUND((F204/$H205)*100,1),")")</f>
        <v>(2.4)</v>
      </c>
      <c r="H204" s="302">
        <f t="shared" ref="H204" si="161">SUM(B204,D204,F204)</f>
        <v>38.280379919227784</v>
      </c>
      <c r="I204" s="299" t="str">
        <f>CONCATENATE("(",ROUND((H204/$H205)*100,1),")")</f>
        <v>(46.4)</v>
      </c>
      <c r="K204" s="302">
        <f t="shared" ref="K204:K205" si="162">B209-B204</f>
        <v>1.4829699361164508</v>
      </c>
      <c r="L204" s="302">
        <f t="shared" ref="L204:L205" si="163">D209-D204</f>
        <v>-1.1772769535568059</v>
      </c>
      <c r="M204" s="302">
        <f t="shared" ref="M204:M205" si="164">F209-F204</f>
        <v>0.15384485368589695</v>
      </c>
      <c r="N204" s="302">
        <f t="shared" ref="N204:N205" si="165">SUM(K204:M204)</f>
        <v>0.45953783624554179</v>
      </c>
    </row>
    <row r="205" spans="1:14" x14ac:dyDescent="0.2">
      <c r="A205" s="282" t="s">
        <v>363</v>
      </c>
      <c r="B205" s="302">
        <f>SUM(B203:B204)</f>
        <v>47.017811306457588</v>
      </c>
      <c r="C205" s="299" t="str">
        <f>CONCATENATE("(",ROUND((B205/$H205)*100,1),")")</f>
        <v>(57)</v>
      </c>
      <c r="D205" s="302">
        <f>SUM(D203:D204)</f>
        <v>28.460485862194663</v>
      </c>
      <c r="E205" s="299" t="str">
        <f>CONCATENATE("(",ROUND((D205/$H205)*100,1),")")</f>
        <v>(34.5)</v>
      </c>
      <c r="F205" s="302">
        <f>SUM(F203:F204)</f>
        <v>7.0597028313478507</v>
      </c>
      <c r="G205" s="299" t="str">
        <f>CONCATENATE("(",ROUND((F205/$H205)*100,1),")")</f>
        <v>(8.6)</v>
      </c>
      <c r="H205" s="302">
        <f>SUM(H203:H204)</f>
        <v>82.538000000000096</v>
      </c>
      <c r="I205" s="299" t="str">
        <f>CONCATENATE("(",ROUND((H205/$H205)*100,1),")")</f>
        <v>(100)</v>
      </c>
      <c r="K205" s="302">
        <f t="shared" si="162"/>
        <v>2.2077296621685889</v>
      </c>
      <c r="L205" s="302">
        <f t="shared" si="163"/>
        <v>-1.0278843681209402</v>
      </c>
      <c r="M205" s="302">
        <f t="shared" si="164"/>
        <v>0.31415470595236705</v>
      </c>
      <c r="N205" s="302">
        <f t="shared" si="165"/>
        <v>1.4940000000000158</v>
      </c>
    </row>
    <row r="206" spans="1:14" x14ac:dyDescent="0.2">
      <c r="B206" s="302"/>
      <c r="C206" s="284"/>
      <c r="D206" s="302"/>
      <c r="E206" s="284"/>
      <c r="F206" s="302"/>
      <c r="G206" s="284"/>
      <c r="H206" s="302"/>
      <c r="I206" s="284"/>
    </row>
    <row r="207" spans="1:14" x14ac:dyDescent="0.2">
      <c r="A207" s="292">
        <f>$A$18</f>
        <v>2035</v>
      </c>
      <c r="B207" s="302"/>
      <c r="C207" s="284"/>
      <c r="D207" s="302"/>
      <c r="E207" s="284"/>
      <c r="F207" s="302"/>
      <c r="G207" s="284"/>
      <c r="H207" s="302"/>
      <c r="I207" s="284"/>
      <c r="K207" s="286" t="str">
        <f>CONCATENATE(A197," - ",A207)</f>
        <v>2020 - 2035</v>
      </c>
    </row>
    <row r="208" spans="1:14" x14ac:dyDescent="0.2">
      <c r="A208" s="282" t="s">
        <v>364</v>
      </c>
      <c r="B208" s="302">
        <f>'Ind T6'!V81</f>
        <v>31.026406519191703</v>
      </c>
      <c r="C208" s="299" t="str">
        <f>CONCATENATE("(",ROUND((B208/$H210)*100,1),")")</f>
        <v>(36.9)</v>
      </c>
      <c r="D208" s="302">
        <f>'Ind T6'!W81</f>
        <v>9.0606646434696252</v>
      </c>
      <c r="E208" s="299" t="str">
        <f>CONCATENATE("(",ROUND((D208/$H210)*100,1),")")</f>
        <v>(10.8)</v>
      </c>
      <c r="F208" s="302">
        <f>'Ind T6'!X81</f>
        <v>5.2050110818654627</v>
      </c>
      <c r="G208" s="299" t="str">
        <f>CONCATENATE("(",ROUND((F208/$H210)*100,1),")")</f>
        <v>(6.2)</v>
      </c>
      <c r="H208" s="302">
        <f>SUM(B208,D208,F208)</f>
        <v>45.292082244526796</v>
      </c>
      <c r="I208" s="299" t="str">
        <f>CONCATENATE("(",ROUND((H208/$H210)*100,1),")")</f>
        <v>(53.9)</v>
      </c>
      <c r="K208" s="302">
        <f>B208-B198</f>
        <v>1.3030507370078546</v>
      </c>
      <c r="L208" s="302">
        <f>D208-D198</f>
        <v>0.22458750702479513</v>
      </c>
      <c r="M208" s="302">
        <f>F208-F198</f>
        <v>0.26344803417230622</v>
      </c>
      <c r="N208" s="302">
        <f>SUM(K208:M208)</f>
        <v>1.7910862782049559</v>
      </c>
    </row>
    <row r="209" spans="1:14" x14ac:dyDescent="0.2">
      <c r="A209" s="282" t="s">
        <v>365</v>
      </c>
      <c r="B209" s="302">
        <f>'Ind T6'!V80</f>
        <v>18.199134449434474</v>
      </c>
      <c r="C209" s="299" t="str">
        <f>CONCATENATE("(",ROUND((B209/$H210)*100,1),")")</f>
        <v>(21.7)</v>
      </c>
      <c r="D209" s="302">
        <f>'Ind T6'!W80</f>
        <v>18.371936850604097</v>
      </c>
      <c r="E209" s="299" t="str">
        <f>CONCATENATE("(",ROUND((D209/$H210)*100,1),")")</f>
        <v>(21.9)</v>
      </c>
      <c r="F209" s="302">
        <f>'Ind T6'!X80</f>
        <v>2.1688464554347551</v>
      </c>
      <c r="G209" s="299" t="str">
        <f>CONCATENATE("(",ROUND((F209/$H210)*100,1),")")</f>
        <v>(2.6)</v>
      </c>
      <c r="H209" s="302">
        <f t="shared" ref="H209" si="166">SUM(B209,D209,F209)</f>
        <v>38.739917755473321</v>
      </c>
      <c r="I209" s="299" t="str">
        <f>CONCATENATE("(",ROUND((H209/$H210)*100,1),")")</f>
        <v>(46.1)</v>
      </c>
      <c r="K209" s="302">
        <f t="shared" ref="K209:K210" si="167">B209-B199</f>
        <v>2.2817174719460969</v>
      </c>
      <c r="L209" s="302">
        <f t="shared" ref="L209:L210" si="168">D209-D199</f>
        <v>-1.7599691698641671</v>
      </c>
      <c r="M209" s="302">
        <f t="shared" ref="M209:M210" si="169">F209-F199</f>
        <v>0.22916541971327486</v>
      </c>
      <c r="N209" s="302">
        <f t="shared" ref="N209:N210" si="170">SUM(K209:M209)</f>
        <v>0.75091372179520466</v>
      </c>
    </row>
    <row r="210" spans="1:14" x14ac:dyDescent="0.2">
      <c r="A210" s="282" t="s">
        <v>363</v>
      </c>
      <c r="B210" s="302">
        <f>SUM(B208:B209)</f>
        <v>49.225540968626177</v>
      </c>
      <c r="C210" s="299" t="str">
        <f>CONCATENATE("(",ROUND((B210/$H210)*100,1),")")</f>
        <v>(58.6)</v>
      </c>
      <c r="D210" s="302">
        <f>SUM(D208:D209)</f>
        <v>27.432601494073722</v>
      </c>
      <c r="E210" s="299" t="str">
        <f>CONCATENATE("(",ROUND((D210/$H210)*100,1),")")</f>
        <v>(32.6)</v>
      </c>
      <c r="F210" s="302">
        <f>SUM(F208:F209)</f>
        <v>7.3738575373002178</v>
      </c>
      <c r="G210" s="299" t="str">
        <f>CONCATENATE("(",ROUND((F210/$H210)*100,1),")")</f>
        <v>(8.8)</v>
      </c>
      <c r="H210" s="302">
        <f>SUM(H208:H209)</f>
        <v>84.032000000000124</v>
      </c>
      <c r="I210" s="299" t="str">
        <f>CONCATENATE("(",ROUND((H210/$H210)*100,1),")")</f>
        <v>(100)</v>
      </c>
      <c r="K210" s="302">
        <f t="shared" si="167"/>
        <v>3.5847682089539532</v>
      </c>
      <c r="L210" s="302">
        <f t="shared" si="168"/>
        <v>-1.5353816628393702</v>
      </c>
      <c r="M210" s="302">
        <f t="shared" si="169"/>
        <v>0.49261345388558109</v>
      </c>
      <c r="N210" s="302">
        <f t="shared" si="170"/>
        <v>2.5420000000001641</v>
      </c>
    </row>
    <row r="211" spans="1:14" x14ac:dyDescent="0.2">
      <c r="A211" s="293"/>
      <c r="B211" s="294"/>
      <c r="C211" s="293"/>
      <c r="D211" s="294"/>
      <c r="E211" s="293"/>
      <c r="F211" s="294"/>
      <c r="G211" s="293"/>
      <c r="H211" s="294"/>
      <c r="I211" s="293"/>
      <c r="J211" s="293"/>
      <c r="K211" s="294"/>
      <c r="L211" s="294"/>
      <c r="M211" s="294"/>
      <c r="N211" s="294"/>
    </row>
    <row r="215" spans="1:14" x14ac:dyDescent="0.2">
      <c r="A215" s="288"/>
      <c r="B215" s="289" t="s">
        <v>372</v>
      </c>
      <c r="C215" s="288"/>
      <c r="D215" s="289"/>
      <c r="E215" s="288"/>
      <c r="F215" s="289" t="str">
        <f>name!B13</f>
        <v>Transport and storage</v>
      </c>
      <c r="G215" s="288"/>
      <c r="H215" s="291"/>
      <c r="I215" s="288"/>
      <c r="J215" s="290"/>
      <c r="K215" s="291"/>
      <c r="L215" s="291"/>
      <c r="M215" s="291"/>
      <c r="N215" s="291"/>
    </row>
    <row r="216" spans="1:14" x14ac:dyDescent="0.2">
      <c r="N216" s="287" t="s">
        <v>370</v>
      </c>
    </row>
    <row r="217" spans="1:14" x14ac:dyDescent="0.2">
      <c r="A217" s="182" t="s">
        <v>371</v>
      </c>
      <c r="B217" s="372" t="s">
        <v>369</v>
      </c>
      <c r="C217" s="372"/>
      <c r="D217" s="372" t="s">
        <v>368</v>
      </c>
      <c r="E217" s="372"/>
      <c r="F217" s="372" t="s">
        <v>367</v>
      </c>
      <c r="G217" s="372"/>
      <c r="H217" s="372" t="s">
        <v>33</v>
      </c>
      <c r="I217" s="372"/>
      <c r="J217" s="182"/>
      <c r="K217" s="297" t="s">
        <v>345</v>
      </c>
      <c r="L217" s="297" t="s">
        <v>347</v>
      </c>
      <c r="M217" s="297" t="s">
        <v>343</v>
      </c>
      <c r="N217" s="297" t="s">
        <v>33</v>
      </c>
    </row>
    <row r="218" spans="1:14" x14ac:dyDescent="0.2">
      <c r="A218" s="292">
        <f>$A$8</f>
        <v>2020</v>
      </c>
      <c r="B218" s="287" t="s">
        <v>66</v>
      </c>
      <c r="C218" s="20" t="s">
        <v>366</v>
      </c>
      <c r="D218" s="287" t="s">
        <v>66</v>
      </c>
      <c r="E218" s="20" t="s">
        <v>366</v>
      </c>
      <c r="F218" s="287" t="s">
        <v>66</v>
      </c>
      <c r="G218" s="20" t="s">
        <v>366</v>
      </c>
      <c r="H218" s="287" t="s">
        <v>66</v>
      </c>
      <c r="I218" s="20" t="s">
        <v>366</v>
      </c>
      <c r="J218" s="182"/>
      <c r="K218" s="286" t="str">
        <f>CONCATENATE(A218," - ",A223)</f>
        <v>2020 - 2025</v>
      </c>
      <c r="L218" s="285"/>
      <c r="M218" s="285"/>
    </row>
    <row r="219" spans="1:14" x14ac:dyDescent="0.2">
      <c r="A219" s="282" t="s">
        <v>364</v>
      </c>
      <c r="B219" s="302">
        <f>'Ind T6'!L90</f>
        <v>16.111628754918293</v>
      </c>
      <c r="C219" s="299" t="str">
        <f>CONCATENATE("(",ROUND((B219/$H221)*100,1),")")</f>
        <v>(56.4)</v>
      </c>
      <c r="D219" s="302">
        <f>'Ind T6'!M90</f>
        <v>2.4100570524901692</v>
      </c>
      <c r="E219" s="299" t="str">
        <f>CONCATENATE("(",ROUND((D219/$H221)*100,1),")")</f>
        <v>(8.4)</v>
      </c>
      <c r="F219" s="302">
        <f>'Ind T6'!N90</f>
        <v>3.5298868813825686</v>
      </c>
      <c r="G219" s="299" t="str">
        <f>CONCATENATE("(",ROUND((F219/$H221)*100,1),")")</f>
        <v>(12.3)</v>
      </c>
      <c r="H219" s="302">
        <f>SUM(B219,D219,F219)</f>
        <v>22.051572688791033</v>
      </c>
      <c r="I219" s="299" t="str">
        <f>CONCATENATE("(",ROUND((H219/$H221)*100,1),")")</f>
        <v>(77.1)</v>
      </c>
      <c r="K219" s="302">
        <f>B224-B219</f>
        <v>0.43162334288803805</v>
      </c>
      <c r="L219" s="302">
        <f>D224-D219</f>
        <v>9.1209700061427146E-2</v>
      </c>
      <c r="M219" s="302">
        <f>F224-F219</f>
        <v>4.835099177071811E-2</v>
      </c>
      <c r="N219" s="302">
        <f>SUM(K219:M219)</f>
        <v>0.57118403472018331</v>
      </c>
    </row>
    <row r="220" spans="1:14" x14ac:dyDescent="0.2">
      <c r="A220" s="282" t="s">
        <v>365</v>
      </c>
      <c r="B220" s="302">
        <f>'Ind T6'!L89</f>
        <v>3.8192276489874586</v>
      </c>
      <c r="C220" s="299" t="str">
        <f>CONCATENATE("(",ROUND((B220/$H221)*100,1),")")</f>
        <v>(13.4)</v>
      </c>
      <c r="D220" s="302">
        <f>'Ind T6'!M89</f>
        <v>2.2266199397503561</v>
      </c>
      <c r="E220" s="299" t="str">
        <f>CONCATENATE("(",ROUND((D220/$H221)*100,1),")")</f>
        <v>(7.8)</v>
      </c>
      <c r="F220" s="302">
        <f>'Ind T6'!N89</f>
        <v>0.48757972247115949</v>
      </c>
      <c r="G220" s="299" t="str">
        <f>CONCATENATE("(",ROUND((F220/$H221)*100,1),")")</f>
        <v>(1.7)</v>
      </c>
      <c r="H220" s="302">
        <f t="shared" ref="H220" si="171">SUM(B220,D220,F220)</f>
        <v>6.5334273112089738</v>
      </c>
      <c r="I220" s="299" t="str">
        <f>CONCATENATE("(",ROUND((H220/$H221)*100,1),")")</f>
        <v>(22.9)</v>
      </c>
      <c r="K220" s="302">
        <f t="shared" ref="K220:K221" si="172">B225-B220</f>
        <v>0.2931652747976119</v>
      </c>
      <c r="L220" s="302">
        <f t="shared" ref="L220:L221" si="173">D225-D220</f>
        <v>0.1896274283803403</v>
      </c>
      <c r="M220" s="302">
        <f t="shared" ref="M220:M221" si="174">F225-F220</f>
        <v>-3.9767378981725443E-3</v>
      </c>
      <c r="N220" s="302">
        <f t="shared" ref="N220:N221" si="175">SUM(K220:M220)</f>
        <v>0.47881596527977965</v>
      </c>
    </row>
    <row r="221" spans="1:14" x14ac:dyDescent="0.2">
      <c r="A221" s="282" t="s">
        <v>363</v>
      </c>
      <c r="B221" s="302">
        <f>SUM(B219:B220)</f>
        <v>19.93085640390575</v>
      </c>
      <c r="C221" s="299" t="str">
        <f>CONCATENATE("(",ROUND((B221/$H221)*100,1),")")</f>
        <v>(69.7)</v>
      </c>
      <c r="D221" s="302">
        <f>SUM(D219:D220)</f>
        <v>4.6366769922405258</v>
      </c>
      <c r="E221" s="299" t="str">
        <f>CONCATENATE("(",ROUND((D221/$H221)*100,1),")")</f>
        <v>(16.2)</v>
      </c>
      <c r="F221" s="302">
        <f>SUM(F219:F220)</f>
        <v>4.0174666038537277</v>
      </c>
      <c r="G221" s="299" t="str">
        <f>CONCATENATE("(",ROUND((F221/$H221)*100,1),")")</f>
        <v>(14.1)</v>
      </c>
      <c r="H221" s="302">
        <f>SUM(H219:H220)</f>
        <v>28.585000000000008</v>
      </c>
      <c r="I221" s="299" t="str">
        <f>CONCATENATE("(",ROUND((H221/$H221)*100,1),")")</f>
        <v>(100)</v>
      </c>
      <c r="K221" s="302">
        <f t="shared" si="172"/>
        <v>0.72478861768565039</v>
      </c>
      <c r="L221" s="302">
        <f t="shared" si="173"/>
        <v>0.28083712844176745</v>
      </c>
      <c r="M221" s="302">
        <f t="shared" si="174"/>
        <v>4.4374253872545566E-2</v>
      </c>
      <c r="N221" s="302">
        <f t="shared" si="175"/>
        <v>1.0499999999999634</v>
      </c>
    </row>
    <row r="222" spans="1:14" x14ac:dyDescent="0.2">
      <c r="B222" s="302"/>
      <c r="C222" s="284"/>
      <c r="D222" s="302"/>
      <c r="E222" s="284"/>
      <c r="F222" s="302"/>
      <c r="G222" s="284"/>
      <c r="H222" s="302"/>
      <c r="I222" s="284"/>
    </row>
    <row r="223" spans="1:14" x14ac:dyDescent="0.2">
      <c r="A223" s="292">
        <f>$A$13</f>
        <v>2025</v>
      </c>
      <c r="B223" s="302"/>
      <c r="C223" s="284"/>
      <c r="D223" s="302"/>
      <c r="E223" s="284"/>
      <c r="F223" s="302"/>
      <c r="G223" s="284"/>
      <c r="H223" s="302"/>
      <c r="I223" s="284"/>
      <c r="K223" s="286" t="str">
        <f>CONCATENATE(A223," - ",A228)</f>
        <v>2025 - 2035</v>
      </c>
    </row>
    <row r="224" spans="1:14" x14ac:dyDescent="0.2">
      <c r="A224" s="282" t="s">
        <v>364</v>
      </c>
      <c r="B224" s="302">
        <f>'Ind T6'!Q90</f>
        <v>16.543252097806331</v>
      </c>
      <c r="C224" s="299" t="str">
        <f>CONCATENATE("(",ROUND((B224/$H226)*100,1),")")</f>
        <v>(55.8)</v>
      </c>
      <c r="D224" s="302">
        <f>'Ind T6'!R90</f>
        <v>2.5012667525515964</v>
      </c>
      <c r="E224" s="299" t="str">
        <f>CONCATENATE("(",ROUND((D224/$H226)*100,1),")")</f>
        <v>(8.4)</v>
      </c>
      <c r="F224" s="302">
        <f>'Ind T6'!S90</f>
        <v>3.5782378731532867</v>
      </c>
      <c r="G224" s="299" t="str">
        <f>CONCATENATE("(",ROUND((F224/$H226)*100,1),")")</f>
        <v>(12.1)</v>
      </c>
      <c r="H224" s="302">
        <f>SUM(B224,D224,F224)</f>
        <v>22.622756723511216</v>
      </c>
      <c r="I224" s="299" t="str">
        <f>CONCATENATE("(",ROUND((H224/$H226)*100,1),")")</f>
        <v>(76.3)</v>
      </c>
      <c r="K224" s="302">
        <f>B229-B224</f>
        <v>-0.25467868619812251</v>
      </c>
      <c r="L224" s="302">
        <f>D229-D224</f>
        <v>0.10477778301817686</v>
      </c>
      <c r="M224" s="302">
        <f>F229-F224</f>
        <v>9.1072833251806706E-2</v>
      </c>
      <c r="N224" s="302">
        <f>SUM(K224:M224)</f>
        <v>-5.8828069928138937E-2</v>
      </c>
    </row>
    <row r="225" spans="1:14" x14ac:dyDescent="0.2">
      <c r="A225" s="282" t="s">
        <v>365</v>
      </c>
      <c r="B225" s="302">
        <f>'Ind T6'!Q89</f>
        <v>4.1123929237850705</v>
      </c>
      <c r="C225" s="299" t="str">
        <f>CONCATENATE("(",ROUND((B225/$H226)*100,1),")")</f>
        <v>(13.9)</v>
      </c>
      <c r="D225" s="302">
        <f>'Ind T6'!R89</f>
        <v>2.4162473681306964</v>
      </c>
      <c r="E225" s="299" t="str">
        <f>CONCATENATE("(",ROUND((D225/$H226)*100,1),")")</f>
        <v>(8.2)</v>
      </c>
      <c r="F225" s="302">
        <f>'Ind T6'!S89</f>
        <v>0.48360298457298695</v>
      </c>
      <c r="G225" s="299" t="str">
        <f>CONCATENATE("(",ROUND((F225/$H226)*100,1),")")</f>
        <v>(1.6)</v>
      </c>
      <c r="H225" s="302">
        <f t="shared" ref="H225" si="176">SUM(B225,D225,F225)</f>
        <v>7.0122432764887543</v>
      </c>
      <c r="I225" s="299" t="str">
        <f>CONCATENATE("(",ROUND((H225/$H226)*100,1),")")</f>
        <v>(23.7)</v>
      </c>
      <c r="K225" s="302">
        <f t="shared" ref="K225:K226" si="177">B230-B225</f>
        <v>0.2104607475205631</v>
      </c>
      <c r="L225" s="302">
        <f t="shared" ref="L225:L226" si="178">D230-D225</f>
        <v>0.20958543778588856</v>
      </c>
      <c r="M225" s="302">
        <f t="shared" ref="M225:M226" si="179">F230-F225</f>
        <v>-1.2218115378232364E-2</v>
      </c>
      <c r="N225" s="302">
        <f t="shared" ref="N225:N226" si="180">SUM(K225:M225)</f>
        <v>0.40782806992821929</v>
      </c>
    </row>
    <row r="226" spans="1:14" x14ac:dyDescent="0.2">
      <c r="A226" s="282" t="s">
        <v>363</v>
      </c>
      <c r="B226" s="302">
        <f>SUM(B224:B225)</f>
        <v>20.6556450215914</v>
      </c>
      <c r="C226" s="299" t="str">
        <f>CONCATENATE("(",ROUND((B226/$H226)*100,1),")")</f>
        <v>(69.7)</v>
      </c>
      <c r="D226" s="302">
        <f>SUM(D224:D225)</f>
        <v>4.9175141206822932</v>
      </c>
      <c r="E226" s="299" t="str">
        <f>CONCATENATE("(",ROUND((D226/$H226)*100,1),")")</f>
        <v>(16.6)</v>
      </c>
      <c r="F226" s="302">
        <f>SUM(F224:F225)</f>
        <v>4.0618408577262732</v>
      </c>
      <c r="G226" s="299" t="str">
        <f>CONCATENATE("(",ROUND((F226/$H226)*100,1),")")</f>
        <v>(13.7)</v>
      </c>
      <c r="H226" s="302">
        <f>SUM(H224:H225)</f>
        <v>29.63499999999997</v>
      </c>
      <c r="I226" s="299" t="str">
        <f>CONCATENATE("(",ROUND((H226/$H226)*100,1),")")</f>
        <v>(100)</v>
      </c>
      <c r="K226" s="302">
        <f t="shared" si="177"/>
        <v>-4.4217938677558521E-2</v>
      </c>
      <c r="L226" s="302">
        <f t="shared" si="178"/>
        <v>0.31436322080406498</v>
      </c>
      <c r="M226" s="302">
        <f t="shared" si="179"/>
        <v>7.8854717873574565E-2</v>
      </c>
      <c r="N226" s="302">
        <f t="shared" si="180"/>
        <v>0.34900000000008102</v>
      </c>
    </row>
    <row r="227" spans="1:14" x14ac:dyDescent="0.2">
      <c r="B227" s="302"/>
      <c r="C227" s="284"/>
      <c r="D227" s="302"/>
      <c r="E227" s="284"/>
      <c r="F227" s="302"/>
      <c r="G227" s="284"/>
      <c r="H227" s="302"/>
      <c r="I227" s="284"/>
    </row>
    <row r="228" spans="1:14" x14ac:dyDescent="0.2">
      <c r="A228" s="292">
        <f>$A$18</f>
        <v>2035</v>
      </c>
      <c r="B228" s="302"/>
      <c r="C228" s="284"/>
      <c r="D228" s="302"/>
      <c r="E228" s="284"/>
      <c r="F228" s="302"/>
      <c r="G228" s="284"/>
      <c r="H228" s="302"/>
      <c r="I228" s="284"/>
      <c r="K228" s="286" t="str">
        <f>CONCATENATE(A218," - ",A228)</f>
        <v>2020 - 2035</v>
      </c>
    </row>
    <row r="229" spans="1:14" x14ac:dyDescent="0.2">
      <c r="A229" s="282" t="s">
        <v>364</v>
      </c>
      <c r="B229" s="302">
        <f>'Ind T6'!V90</f>
        <v>16.288573411608208</v>
      </c>
      <c r="C229" s="299" t="str">
        <f>CONCATENATE("(",ROUND((B229/$H231)*100,1),")")</f>
        <v>(54.3)</v>
      </c>
      <c r="D229" s="302">
        <f>'Ind T6'!W90</f>
        <v>2.6060445355697732</v>
      </c>
      <c r="E229" s="299" t="str">
        <f>CONCATENATE("(",ROUND((D229/$H231)*100,1),")")</f>
        <v>(8.7)</v>
      </c>
      <c r="F229" s="302">
        <f>'Ind T6'!X90</f>
        <v>3.6693107064050934</v>
      </c>
      <c r="G229" s="299" t="str">
        <f>CONCATENATE("(",ROUND((F229/$H231)*100,1),")")</f>
        <v>(12.2)</v>
      </c>
      <c r="H229" s="302">
        <f>SUM(B229,D229,F229)</f>
        <v>22.563928653583073</v>
      </c>
      <c r="I229" s="299" t="str">
        <f>CONCATENATE("(",ROUND((H229/$H231)*100,1),")")</f>
        <v>(75.3)</v>
      </c>
      <c r="K229" s="302">
        <f>B229-B219</f>
        <v>0.17694465668991555</v>
      </c>
      <c r="L229" s="302">
        <f>D229-D219</f>
        <v>0.19598748307960401</v>
      </c>
      <c r="M229" s="302">
        <f>F229-F219</f>
        <v>0.13942382502252482</v>
      </c>
      <c r="N229" s="302">
        <f>SUM(K229:M229)</f>
        <v>0.51235596479204437</v>
      </c>
    </row>
    <row r="230" spans="1:14" x14ac:dyDescent="0.2">
      <c r="A230" s="282" t="s">
        <v>365</v>
      </c>
      <c r="B230" s="302">
        <f>'Ind T6'!V89</f>
        <v>4.3228536713056336</v>
      </c>
      <c r="C230" s="299" t="str">
        <f>CONCATENATE("(",ROUND((B230/$H231)*100,1),")")</f>
        <v>(14.4)</v>
      </c>
      <c r="D230" s="302">
        <f>'Ind T6'!W89</f>
        <v>2.625832805916585</v>
      </c>
      <c r="E230" s="299" t="str">
        <f>CONCATENATE("(",ROUND((D230/$H231)*100,1),")")</f>
        <v>(8.8)</v>
      </c>
      <c r="F230" s="302">
        <f>'Ind T6'!X89</f>
        <v>0.47138486919475459</v>
      </c>
      <c r="G230" s="299" t="str">
        <f>CONCATENATE("(",ROUND((F230/$H231)*100,1),")")</f>
        <v>(1.6)</v>
      </c>
      <c r="H230" s="302">
        <f t="shared" ref="H230" si="181">SUM(B230,D230,F230)</f>
        <v>7.4200713464169734</v>
      </c>
      <c r="I230" s="299" t="str">
        <f>CONCATENATE("(",ROUND((H230/$H231)*100,1),")")</f>
        <v>(24.7)</v>
      </c>
      <c r="K230" s="302">
        <f t="shared" ref="K230:K231" si="182">B230-B220</f>
        <v>0.50362602231817499</v>
      </c>
      <c r="L230" s="302">
        <f t="shared" ref="L230:L231" si="183">D230-D220</f>
        <v>0.39921286616622886</v>
      </c>
      <c r="M230" s="302">
        <f t="shared" ref="M230:M231" si="184">F230-F220</f>
        <v>-1.6194853276404908E-2</v>
      </c>
      <c r="N230" s="302">
        <f t="shared" ref="N230:N231" si="185">SUM(K230:M230)</f>
        <v>0.88664403520799895</v>
      </c>
    </row>
    <row r="231" spans="1:14" x14ac:dyDescent="0.2">
      <c r="A231" s="282" t="s">
        <v>363</v>
      </c>
      <c r="B231" s="302">
        <f>SUM(B229:B230)</f>
        <v>20.611427082913842</v>
      </c>
      <c r="C231" s="299" t="str">
        <f>CONCATENATE("(",ROUND((B231/$H231)*100,1),")")</f>
        <v>(68.7)</v>
      </c>
      <c r="D231" s="302">
        <f>SUM(D229:D230)</f>
        <v>5.2318773414863582</v>
      </c>
      <c r="E231" s="299" t="str">
        <f>CONCATENATE("(",ROUND((D231/$H231)*100,1),")")</f>
        <v>(17.4)</v>
      </c>
      <c r="F231" s="302">
        <f>SUM(F229:F230)</f>
        <v>4.1406955755998478</v>
      </c>
      <c r="G231" s="299" t="str">
        <f>CONCATENATE("(",ROUND((F231/$H231)*100,1),")")</f>
        <v>(13.8)</v>
      </c>
      <c r="H231" s="302">
        <f>SUM(H229:H230)</f>
        <v>29.984000000000044</v>
      </c>
      <c r="I231" s="299" t="str">
        <f>CONCATENATE("(",ROUND((H231/$H231)*100,1),")")</f>
        <v>(100)</v>
      </c>
      <c r="K231" s="302">
        <f t="shared" si="182"/>
        <v>0.68057067900809187</v>
      </c>
      <c r="L231" s="302">
        <f t="shared" si="183"/>
        <v>0.59520034924583243</v>
      </c>
      <c r="M231" s="302">
        <f t="shared" si="184"/>
        <v>0.12322897174612013</v>
      </c>
      <c r="N231" s="302">
        <f t="shared" si="185"/>
        <v>1.3990000000000444</v>
      </c>
    </row>
    <row r="232" spans="1:14" x14ac:dyDescent="0.2">
      <c r="A232" s="293"/>
      <c r="B232" s="294"/>
      <c r="C232" s="293"/>
      <c r="D232" s="294"/>
      <c r="E232" s="293"/>
      <c r="F232" s="294"/>
      <c r="G232" s="293"/>
      <c r="H232" s="294"/>
      <c r="I232" s="293"/>
      <c r="J232" s="293"/>
      <c r="K232" s="294"/>
      <c r="L232" s="294"/>
      <c r="M232" s="294"/>
      <c r="N232" s="294"/>
    </row>
    <row r="236" spans="1:14" x14ac:dyDescent="0.2">
      <c r="A236" s="288"/>
      <c r="B236" s="289" t="s">
        <v>372</v>
      </c>
      <c r="C236" s="288"/>
      <c r="D236" s="289"/>
      <c r="E236" s="288"/>
      <c r="F236" s="289" t="str">
        <f>name!B14</f>
        <v>Accommodation and food</v>
      </c>
      <c r="G236" s="288"/>
      <c r="H236" s="291"/>
      <c r="I236" s="288"/>
      <c r="J236" s="290"/>
      <c r="K236" s="291"/>
      <c r="L236" s="291"/>
      <c r="M236" s="291"/>
      <c r="N236" s="291"/>
    </row>
    <row r="237" spans="1:14" x14ac:dyDescent="0.2">
      <c r="N237" s="287" t="s">
        <v>370</v>
      </c>
    </row>
    <row r="238" spans="1:14" x14ac:dyDescent="0.2">
      <c r="A238" s="182" t="s">
        <v>371</v>
      </c>
      <c r="B238" s="372" t="s">
        <v>369</v>
      </c>
      <c r="C238" s="372"/>
      <c r="D238" s="372" t="s">
        <v>368</v>
      </c>
      <c r="E238" s="372"/>
      <c r="F238" s="372" t="s">
        <v>367</v>
      </c>
      <c r="G238" s="372"/>
      <c r="H238" s="372" t="s">
        <v>33</v>
      </c>
      <c r="I238" s="372"/>
      <c r="J238" s="182"/>
      <c r="K238" s="297" t="s">
        <v>345</v>
      </c>
      <c r="L238" s="297" t="s">
        <v>347</v>
      </c>
      <c r="M238" s="297" t="s">
        <v>343</v>
      </c>
      <c r="N238" s="297" t="s">
        <v>33</v>
      </c>
    </row>
    <row r="239" spans="1:14" x14ac:dyDescent="0.2">
      <c r="A239" s="292">
        <f>$A$8</f>
        <v>2020</v>
      </c>
      <c r="B239" s="287" t="s">
        <v>66</v>
      </c>
      <c r="C239" s="20" t="s">
        <v>366</v>
      </c>
      <c r="D239" s="287" t="s">
        <v>66</v>
      </c>
      <c r="E239" s="20" t="s">
        <v>366</v>
      </c>
      <c r="F239" s="287" t="s">
        <v>66</v>
      </c>
      <c r="G239" s="20" t="s">
        <v>366</v>
      </c>
      <c r="H239" s="287" t="s">
        <v>66</v>
      </c>
      <c r="I239" s="20" t="s">
        <v>366</v>
      </c>
      <c r="J239" s="182"/>
      <c r="K239" s="286" t="str">
        <f>CONCATENATE(A239," - ",A244)</f>
        <v>2020 - 2025</v>
      </c>
      <c r="L239" s="285"/>
      <c r="M239" s="285"/>
    </row>
    <row r="240" spans="1:14" x14ac:dyDescent="0.2">
      <c r="A240" s="282" t="s">
        <v>364</v>
      </c>
      <c r="B240" s="302">
        <f>'Ind T6'!L99</f>
        <v>6.100701322658125</v>
      </c>
      <c r="C240" s="299" t="str">
        <f>CONCATENATE("(",ROUND((B240/$H242)*100,1),")")</f>
        <v>(17.9)</v>
      </c>
      <c r="D240" s="302">
        <f>'Ind T6'!M99</f>
        <v>7.6591950291520394</v>
      </c>
      <c r="E240" s="299" t="str">
        <f>CONCATENATE("(",ROUND((D240/$H242)*100,1),")")</f>
        <v>(22.5)</v>
      </c>
      <c r="F240" s="302">
        <f>'Ind T6'!N99</f>
        <v>0.33436946532920864</v>
      </c>
      <c r="G240" s="299" t="str">
        <f>CONCATENATE("(",ROUND((F240/$H242)*100,1),")")</f>
        <v>(1)</v>
      </c>
      <c r="H240" s="302">
        <f>SUM(B240,D240,F240)</f>
        <v>14.094265817139373</v>
      </c>
      <c r="I240" s="299" t="str">
        <f>CONCATENATE("(",ROUND((H240/$H242)*100,1),")")</f>
        <v>(41.4)</v>
      </c>
      <c r="K240" s="302">
        <f>B245-B240</f>
        <v>8.8177277616265926E-2</v>
      </c>
      <c r="L240" s="302">
        <f>D245-D240</f>
        <v>-4.6668900727723006E-2</v>
      </c>
      <c r="M240" s="302">
        <f>F245-F240</f>
        <v>1.6104034788277322E-2</v>
      </c>
      <c r="N240" s="302">
        <f>SUM(K240:M240)</f>
        <v>5.7612411676820241E-2</v>
      </c>
    </row>
    <row r="241" spans="1:14" x14ac:dyDescent="0.2">
      <c r="A241" s="282" t="s">
        <v>365</v>
      </c>
      <c r="B241" s="302">
        <f>'Ind T6'!L98</f>
        <v>6.3994995682890741</v>
      </c>
      <c r="C241" s="299" t="str">
        <f>CONCATENATE("(",ROUND((B241/$H242)*100,1),")")</f>
        <v>(18.8)</v>
      </c>
      <c r="D241" s="302">
        <f>'Ind T6'!M98</f>
        <v>12.620668755504552</v>
      </c>
      <c r="E241" s="299" t="str">
        <f>CONCATENATE("(",ROUND((D241/$H242)*100,1),")")</f>
        <v>(37.1)</v>
      </c>
      <c r="F241" s="302">
        <f>'Ind T6'!N98</f>
        <v>0.94856585906703761</v>
      </c>
      <c r="G241" s="299" t="str">
        <f>CONCATENATE("(",ROUND((F241/$H242)*100,1),")")</f>
        <v>(2.8)</v>
      </c>
      <c r="H241" s="302">
        <f t="shared" ref="H241" si="186">SUM(B241,D241,F241)</f>
        <v>19.968734182860665</v>
      </c>
      <c r="I241" s="299" t="str">
        <f>CONCATENATE("(",ROUND((H241/$H242)*100,1),")")</f>
        <v>(58.6)</v>
      </c>
      <c r="K241" s="302">
        <f t="shared" ref="K241:K242" si="187">B246-B241</f>
        <v>9.0544536198533088E-2</v>
      </c>
      <c r="L241" s="302">
        <f t="shared" ref="L241:L242" si="188">D246-D241</f>
        <v>0.21077034847598064</v>
      </c>
      <c r="M241" s="302">
        <f t="shared" ref="M241:M242" si="189">F246-F241</f>
        <v>6.0072703648663683E-2</v>
      </c>
      <c r="N241" s="302">
        <f t="shared" ref="N241:N242" si="190">SUM(K241:M241)</f>
        <v>0.36138758832317741</v>
      </c>
    </row>
    <row r="242" spans="1:14" x14ac:dyDescent="0.2">
      <c r="A242" s="282" t="s">
        <v>363</v>
      </c>
      <c r="B242" s="302">
        <f>SUM(B240:B241)</f>
        <v>12.500200890947198</v>
      </c>
      <c r="C242" s="299" t="str">
        <f>CONCATENATE("(",ROUND((B242/$H242)*100,1),")")</f>
        <v>(36.7)</v>
      </c>
      <c r="D242" s="302">
        <f>SUM(D240:D241)</f>
        <v>20.279863784656591</v>
      </c>
      <c r="E242" s="299" t="str">
        <f>CONCATENATE("(",ROUND((D242/$H242)*100,1),")")</f>
        <v>(59.5)</v>
      </c>
      <c r="F242" s="302">
        <f>SUM(F240:F241)</f>
        <v>1.2829353243962462</v>
      </c>
      <c r="G242" s="299" t="str">
        <f>CONCATENATE("(",ROUND((F242/$H242)*100,1),")")</f>
        <v>(3.8)</v>
      </c>
      <c r="H242" s="302">
        <f>SUM(H240:H241)</f>
        <v>34.063000000000038</v>
      </c>
      <c r="I242" s="299" t="str">
        <f>CONCATENATE("(",ROUND((H242/$H242)*100,1),")")</f>
        <v>(100)</v>
      </c>
      <c r="K242" s="302">
        <f t="shared" si="187"/>
        <v>0.1787218138147999</v>
      </c>
      <c r="L242" s="302">
        <f t="shared" si="188"/>
        <v>0.16410144774825852</v>
      </c>
      <c r="M242" s="302">
        <f t="shared" si="189"/>
        <v>7.6176738436940949E-2</v>
      </c>
      <c r="N242" s="302">
        <f t="shared" si="190"/>
        <v>0.41899999999999937</v>
      </c>
    </row>
    <row r="243" spans="1:14" x14ac:dyDescent="0.2">
      <c r="B243" s="302"/>
      <c r="C243" s="284"/>
      <c r="D243" s="302"/>
      <c r="E243" s="284"/>
      <c r="F243" s="302"/>
      <c r="G243" s="284"/>
      <c r="H243" s="302"/>
      <c r="I243" s="284"/>
    </row>
    <row r="244" spans="1:14" x14ac:dyDescent="0.2">
      <c r="A244" s="292">
        <f>$A$13</f>
        <v>2025</v>
      </c>
      <c r="B244" s="302"/>
      <c r="C244" s="284"/>
      <c r="D244" s="302"/>
      <c r="E244" s="284"/>
      <c r="F244" s="302"/>
      <c r="G244" s="284"/>
      <c r="H244" s="302"/>
      <c r="I244" s="284"/>
      <c r="K244" s="286" t="str">
        <f>CONCATENATE(A244," - ",A249)</f>
        <v>2025 - 2035</v>
      </c>
    </row>
    <row r="245" spans="1:14" x14ac:dyDescent="0.2">
      <c r="A245" s="282" t="s">
        <v>364</v>
      </c>
      <c r="B245" s="302">
        <f>'Ind T6'!Q99</f>
        <v>6.188878600274391</v>
      </c>
      <c r="C245" s="299" t="str">
        <f>CONCATENATE("(",ROUND((B245/$H247)*100,1),")")</f>
        <v>(17.9)</v>
      </c>
      <c r="D245" s="302">
        <f>'Ind T6'!R99</f>
        <v>7.6125261284243164</v>
      </c>
      <c r="E245" s="299" t="str">
        <f>CONCATENATE("(",ROUND((D245/$H247)*100,1),")")</f>
        <v>(22.1)</v>
      </c>
      <c r="F245" s="302">
        <f>'Ind T6'!S99</f>
        <v>0.35047350011748596</v>
      </c>
      <c r="G245" s="299" t="str">
        <f>CONCATENATE("(",ROUND((F245/$H247)*100,1),")")</f>
        <v>(1)</v>
      </c>
      <c r="H245" s="302">
        <f>SUM(B245,D245,F245)</f>
        <v>14.151878228816193</v>
      </c>
      <c r="I245" s="299" t="str">
        <f>CONCATENATE("(",ROUND((H245/$H247)*100,1),")")</f>
        <v>(41)</v>
      </c>
      <c r="K245" s="302">
        <f>B250-B245</f>
        <v>0.60063908994957504</v>
      </c>
      <c r="L245" s="302">
        <f>D250-D245</f>
        <v>0.56555031798310029</v>
      </c>
      <c r="M245" s="302">
        <f>F250-F245</f>
        <v>3.5291763626029038E-2</v>
      </c>
      <c r="N245" s="302">
        <f>SUM(K245:M245)</f>
        <v>1.2014811715587044</v>
      </c>
    </row>
    <row r="246" spans="1:14" x14ac:dyDescent="0.2">
      <c r="A246" s="282" t="s">
        <v>365</v>
      </c>
      <c r="B246" s="302">
        <f>'Ind T6'!Q98</f>
        <v>6.4900441044876072</v>
      </c>
      <c r="C246" s="299" t="str">
        <f>CONCATENATE("(",ROUND((B246/$H247)*100,1),")")</f>
        <v>(18.8)</v>
      </c>
      <c r="D246" s="302">
        <f>'Ind T6'!R98</f>
        <v>12.831439103980532</v>
      </c>
      <c r="E246" s="299" t="str">
        <f>CONCATENATE("(",ROUND((D246/$H247)*100,1),")")</f>
        <v>(37.2)</v>
      </c>
      <c r="F246" s="302">
        <f>'Ind T6'!S98</f>
        <v>1.0086385627157013</v>
      </c>
      <c r="G246" s="299" t="str">
        <f>CONCATENATE("(",ROUND((F246/$H247)*100,1),")")</f>
        <v>(2.9)</v>
      </c>
      <c r="H246" s="302">
        <f t="shared" ref="H246" si="191">SUM(B246,D246,F246)</f>
        <v>20.33012177118384</v>
      </c>
      <c r="I246" s="299" t="str">
        <f>CONCATENATE("(",ROUND((H246/$H247)*100,1),")")</f>
        <v>(59)</v>
      </c>
      <c r="K246" s="302">
        <f t="shared" ref="K246:K247" si="192">B251-B246</f>
        <v>0.57733248210523502</v>
      </c>
      <c r="L246" s="302">
        <f t="shared" ref="L246:L247" si="193">D251-D246</f>
        <v>1.0786726318076578</v>
      </c>
      <c r="M246" s="302">
        <f t="shared" ref="M246:M247" si="194">F251-F246</f>
        <v>0.10451371452832459</v>
      </c>
      <c r="N246" s="302">
        <f t="shared" ref="N246:N247" si="195">SUM(K246:M246)</f>
        <v>1.7605188284412174</v>
      </c>
    </row>
    <row r="247" spans="1:14" x14ac:dyDescent="0.2">
      <c r="A247" s="282" t="s">
        <v>363</v>
      </c>
      <c r="B247" s="302">
        <f>SUM(B245:B246)</f>
        <v>12.678922704761998</v>
      </c>
      <c r="C247" s="299" t="str">
        <f>CONCATENATE("(",ROUND((B247/$H247)*100,1),")")</f>
        <v>(36.8)</v>
      </c>
      <c r="D247" s="302">
        <f>SUM(D245:D246)</f>
        <v>20.44396523240485</v>
      </c>
      <c r="E247" s="299" t="str">
        <f>CONCATENATE("(",ROUND((D247/$H247)*100,1),")")</f>
        <v>(59.3)</v>
      </c>
      <c r="F247" s="302">
        <f>SUM(F245:F246)</f>
        <v>1.3591120628331872</v>
      </c>
      <c r="G247" s="299" t="str">
        <f>CONCATENATE("(",ROUND((F247/$H247)*100,1),")")</f>
        <v>(3.9)</v>
      </c>
      <c r="H247" s="302">
        <f>SUM(H245:H246)</f>
        <v>34.482000000000035</v>
      </c>
      <c r="I247" s="299" t="str">
        <f>CONCATENATE("(",ROUND((H247/$H247)*100,1),")")</f>
        <v>(100)</v>
      </c>
      <c r="K247" s="302">
        <f t="shared" si="192"/>
        <v>1.1779715720548101</v>
      </c>
      <c r="L247" s="302">
        <f t="shared" si="193"/>
        <v>1.644222949790759</v>
      </c>
      <c r="M247" s="302">
        <f t="shared" si="194"/>
        <v>0.13980547815435362</v>
      </c>
      <c r="N247" s="302">
        <f t="shared" si="195"/>
        <v>2.9619999999999225</v>
      </c>
    </row>
    <row r="248" spans="1:14" x14ac:dyDescent="0.2">
      <c r="B248" s="302"/>
      <c r="C248" s="284"/>
      <c r="D248" s="302"/>
      <c r="E248" s="284"/>
      <c r="F248" s="302"/>
      <c r="G248" s="284"/>
      <c r="H248" s="302"/>
      <c r="I248" s="284"/>
    </row>
    <row r="249" spans="1:14" x14ac:dyDescent="0.2">
      <c r="A249" s="292">
        <f>$A$18</f>
        <v>2035</v>
      </c>
      <c r="B249" s="302"/>
      <c r="C249" s="284"/>
      <c r="D249" s="302"/>
      <c r="E249" s="284"/>
      <c r="F249" s="302"/>
      <c r="G249" s="284"/>
      <c r="H249" s="302"/>
      <c r="I249" s="284"/>
      <c r="K249" s="286" t="str">
        <f>CONCATENATE(A239," - ",A249)</f>
        <v>2020 - 2035</v>
      </c>
    </row>
    <row r="250" spans="1:14" x14ac:dyDescent="0.2">
      <c r="A250" s="282" t="s">
        <v>364</v>
      </c>
      <c r="B250" s="302">
        <f>'Ind T6'!V99</f>
        <v>6.789517690223966</v>
      </c>
      <c r="C250" s="299" t="str">
        <f>CONCATENATE("(",ROUND((B250/$H252)*100,1),")")</f>
        <v>(18.1)</v>
      </c>
      <c r="D250" s="302">
        <f>'Ind T6'!W99</f>
        <v>8.1780764464074167</v>
      </c>
      <c r="E250" s="299" t="str">
        <f>CONCATENATE("(",ROUND((D250/$H252)*100,1),")")</f>
        <v>(21.8)</v>
      </c>
      <c r="F250" s="302">
        <f>'Ind T6'!X99</f>
        <v>0.385765263743515</v>
      </c>
      <c r="G250" s="299" t="str">
        <f>CONCATENATE("(",ROUND((F250/$H252)*100,1),")")</f>
        <v>(1)</v>
      </c>
      <c r="H250" s="302">
        <f>SUM(B250,D250,F250)</f>
        <v>15.353359400374899</v>
      </c>
      <c r="I250" s="299" t="str">
        <f>CONCATENATE("(",ROUND((H250/$H252)*100,1),")")</f>
        <v>(41)</v>
      </c>
      <c r="K250" s="302">
        <f>B250-B240</f>
        <v>0.68881636756584097</v>
      </c>
      <c r="L250" s="302">
        <f>D250-D240</f>
        <v>0.51888141725537729</v>
      </c>
      <c r="M250" s="302">
        <f>F250-F240</f>
        <v>5.139579841430636E-2</v>
      </c>
      <c r="N250" s="302">
        <f>SUM(K250:M250)</f>
        <v>1.2590935832355246</v>
      </c>
    </row>
    <row r="251" spans="1:14" x14ac:dyDescent="0.2">
      <c r="A251" s="282" t="s">
        <v>365</v>
      </c>
      <c r="B251" s="302">
        <f>'Ind T6'!V98</f>
        <v>7.0673765865928422</v>
      </c>
      <c r="C251" s="299" t="str">
        <f>CONCATENATE("(",ROUND((B251/$H252)*100,1),")")</f>
        <v>(18.9)</v>
      </c>
      <c r="D251" s="302">
        <f>'Ind T6'!W98</f>
        <v>13.91011173578819</v>
      </c>
      <c r="E251" s="299" t="str">
        <f>CONCATENATE("(",ROUND((D251/$H252)*100,1),")")</f>
        <v>(37.1)</v>
      </c>
      <c r="F251" s="302">
        <f>'Ind T6'!X98</f>
        <v>1.1131522772440259</v>
      </c>
      <c r="G251" s="299" t="str">
        <f>CONCATENATE("(",ROUND((F251/$H252)*100,1),")")</f>
        <v>(3)</v>
      </c>
      <c r="H251" s="302">
        <f t="shared" ref="H251" si="196">SUM(B251,D251,F251)</f>
        <v>22.090640599625058</v>
      </c>
      <c r="I251" s="299" t="str">
        <f>CONCATENATE("(",ROUND((H251/$H252)*100,1),")")</f>
        <v>(59)</v>
      </c>
      <c r="K251" s="302">
        <f t="shared" ref="K251:K252" si="197">B251-B241</f>
        <v>0.66787701830376811</v>
      </c>
      <c r="L251" s="302">
        <f t="shared" ref="L251:L252" si="198">D251-D241</f>
        <v>1.2894429802836385</v>
      </c>
      <c r="M251" s="302">
        <f t="shared" ref="M251:M252" si="199">F251-F241</f>
        <v>0.16458641817698827</v>
      </c>
      <c r="N251" s="302">
        <f t="shared" ref="N251:N252" si="200">SUM(K251:M251)</f>
        <v>2.1219064167643946</v>
      </c>
    </row>
    <row r="252" spans="1:14" x14ac:dyDescent="0.2">
      <c r="A252" s="282" t="s">
        <v>363</v>
      </c>
      <c r="B252" s="302">
        <f>SUM(B250:B251)</f>
        <v>13.856894276816808</v>
      </c>
      <c r="C252" s="299" t="str">
        <f>CONCATENATE("(",ROUND((B252/$H252)*100,1),")")</f>
        <v>(37)</v>
      </c>
      <c r="D252" s="302">
        <f>SUM(D250:D251)</f>
        <v>22.088188182195609</v>
      </c>
      <c r="E252" s="299" t="str">
        <f>CONCATENATE("(",ROUND((D252/$H252)*100,1),")")</f>
        <v>(59)</v>
      </c>
      <c r="F252" s="302">
        <f>SUM(F250:F251)</f>
        <v>1.4989175409875408</v>
      </c>
      <c r="G252" s="299" t="str">
        <f>CONCATENATE("(",ROUND((F252/$H252)*100,1),")")</f>
        <v>(4)</v>
      </c>
      <c r="H252" s="302">
        <f>SUM(H250:H251)</f>
        <v>37.44399999999996</v>
      </c>
      <c r="I252" s="299" t="str">
        <f>CONCATENATE("(",ROUND((H252/$H252)*100,1),")")</f>
        <v>(100)</v>
      </c>
      <c r="K252" s="302">
        <f t="shared" si="197"/>
        <v>1.35669338586961</v>
      </c>
      <c r="L252" s="302">
        <f t="shared" si="198"/>
        <v>1.8083243975390175</v>
      </c>
      <c r="M252" s="302">
        <f t="shared" si="199"/>
        <v>0.21598221659129457</v>
      </c>
      <c r="N252" s="302">
        <f t="shared" si="200"/>
        <v>3.3809999999999221</v>
      </c>
    </row>
    <row r="253" spans="1:14" x14ac:dyDescent="0.2">
      <c r="A253" s="293"/>
      <c r="B253" s="294"/>
      <c r="C253" s="293"/>
      <c r="D253" s="294"/>
      <c r="E253" s="293"/>
      <c r="F253" s="294"/>
      <c r="G253" s="293"/>
      <c r="H253" s="294"/>
      <c r="I253" s="293"/>
      <c r="J253" s="293"/>
      <c r="K253" s="294"/>
      <c r="L253" s="294"/>
      <c r="M253" s="294"/>
      <c r="N253" s="294"/>
    </row>
    <row r="256" spans="1:14" x14ac:dyDescent="0.2">
      <c r="C256" s="182"/>
      <c r="E256" s="182"/>
      <c r="G256" s="182"/>
      <c r="I256" s="182"/>
    </row>
    <row r="257" spans="1:14" x14ac:dyDescent="0.2">
      <c r="A257" s="288"/>
      <c r="B257" s="289" t="s">
        <v>372</v>
      </c>
      <c r="C257" s="288"/>
      <c r="D257" s="289"/>
      <c r="E257" s="288"/>
      <c r="F257" s="289" t="str">
        <f>name!B15</f>
        <v>Media</v>
      </c>
      <c r="G257" s="288"/>
      <c r="H257" s="291"/>
      <c r="I257" s="288"/>
      <c r="J257" s="290"/>
      <c r="K257" s="291"/>
      <c r="L257" s="291"/>
      <c r="M257" s="291"/>
      <c r="N257" s="291"/>
    </row>
    <row r="258" spans="1:14" x14ac:dyDescent="0.2">
      <c r="N258" s="287" t="s">
        <v>370</v>
      </c>
    </row>
    <row r="259" spans="1:14" x14ac:dyDescent="0.2">
      <c r="A259" s="182" t="s">
        <v>371</v>
      </c>
      <c r="B259" s="372" t="s">
        <v>369</v>
      </c>
      <c r="C259" s="372"/>
      <c r="D259" s="372" t="s">
        <v>368</v>
      </c>
      <c r="E259" s="372"/>
      <c r="F259" s="372" t="s">
        <v>367</v>
      </c>
      <c r="G259" s="372"/>
      <c r="H259" s="372" t="s">
        <v>33</v>
      </c>
      <c r="I259" s="372"/>
      <c r="J259" s="182"/>
      <c r="K259" s="297" t="s">
        <v>345</v>
      </c>
      <c r="L259" s="297" t="s">
        <v>347</v>
      </c>
      <c r="M259" s="297" t="s">
        <v>343</v>
      </c>
      <c r="N259" s="297" t="s">
        <v>33</v>
      </c>
    </row>
    <row r="260" spans="1:14" x14ac:dyDescent="0.2">
      <c r="A260" s="292">
        <f>$A$8</f>
        <v>2020</v>
      </c>
      <c r="B260" s="287" t="s">
        <v>66</v>
      </c>
      <c r="C260" s="20" t="s">
        <v>366</v>
      </c>
      <c r="D260" s="287" t="s">
        <v>66</v>
      </c>
      <c r="E260" s="20" t="s">
        <v>366</v>
      </c>
      <c r="F260" s="287" t="s">
        <v>66</v>
      </c>
      <c r="G260" s="20" t="s">
        <v>366</v>
      </c>
      <c r="H260" s="287" t="s">
        <v>66</v>
      </c>
      <c r="I260" s="20" t="s">
        <v>366</v>
      </c>
      <c r="J260" s="182"/>
      <c r="K260" s="286" t="str">
        <f>CONCATENATE(A260," - ",A265)</f>
        <v>2020 - 2025</v>
      </c>
      <c r="L260" s="285"/>
      <c r="M260" s="285"/>
    </row>
    <row r="261" spans="1:14" x14ac:dyDescent="0.2">
      <c r="A261" s="282" t="s">
        <v>364</v>
      </c>
      <c r="B261" s="302">
        <f>'Ind T6'!L108</f>
        <v>0.58210277777424591</v>
      </c>
      <c r="C261" s="299" t="str">
        <f>CONCATENATE("(",ROUND((B261/$H263)*100,1),")")</f>
        <v>(26.4)</v>
      </c>
      <c r="D261" s="302">
        <f>'Ind T6'!M108</f>
        <v>0.27295625000210688</v>
      </c>
      <c r="E261" s="299" t="str">
        <f>CONCATENATE("(",ROUND((D261/$H263)*100,1),")")</f>
        <v>(12.4)</v>
      </c>
      <c r="F261" s="302">
        <f>'Ind T6'!N108</f>
        <v>0.23905972222509306</v>
      </c>
      <c r="G261" s="299" t="str">
        <f>CONCATENATE("(",ROUND((F261/$H263)*100,1),")")</f>
        <v>(10.9)</v>
      </c>
      <c r="H261" s="302">
        <f>SUM(B261,D261,F261)</f>
        <v>1.0941187500014458</v>
      </c>
      <c r="I261" s="299" t="str">
        <f>CONCATENATE("(",ROUND((H261/$H263)*100,1),")")</f>
        <v>(49.7)</v>
      </c>
      <c r="K261" s="302">
        <f>B266-B261</f>
        <v>-1.6237932010300438E-2</v>
      </c>
      <c r="L261" s="302">
        <f>D266-D261</f>
        <v>6.7856854799891453E-3</v>
      </c>
      <c r="M261" s="302">
        <f>F266-F261</f>
        <v>-3.9846103747097072E-3</v>
      </c>
      <c r="N261" s="302">
        <f>SUM(K261:M261)</f>
        <v>-1.3436856905021E-2</v>
      </c>
    </row>
    <row r="262" spans="1:14" x14ac:dyDescent="0.2">
      <c r="A262" s="282" t="s">
        <v>365</v>
      </c>
      <c r="B262" s="302">
        <f>'Ind T6'!L107</f>
        <v>0.25537083333209593</v>
      </c>
      <c r="C262" s="299" t="str">
        <f>CONCATENATE("(",ROUND((B262/$H263)*100,1),")")</f>
        <v>(11.6)</v>
      </c>
      <c r="D262" s="302">
        <f>'Ind T6'!M107</f>
        <v>0.57088888889813272</v>
      </c>
      <c r="E262" s="299" t="str">
        <f>CONCATENATE("(",ROUND((D262/$H263)*100,1),")")</f>
        <v>(25.9)</v>
      </c>
      <c r="F262" s="302">
        <f>'Ind T6'!N107</f>
        <v>0.28162152776832772</v>
      </c>
      <c r="G262" s="299" t="str">
        <f>CONCATENATE("(",ROUND((F262/$H263)*100,1),")")</f>
        <v>(12.8)</v>
      </c>
      <c r="H262" s="302">
        <f t="shared" ref="H262" si="201">SUM(B262,D262,F262)</f>
        <v>1.1078812499985564</v>
      </c>
      <c r="I262" s="299" t="str">
        <f>CONCATENATE("(",ROUND((H262/$H263)*100,1),")")</f>
        <v>(50.3)</v>
      </c>
      <c r="K262" s="302">
        <f t="shared" ref="K262:K263" si="202">B267-B262</f>
        <v>-6.5128159044630651E-3</v>
      </c>
      <c r="L262" s="302">
        <f t="shared" ref="L262:L263" si="203">D267-D262</f>
        <v>-5.0240431311940892E-3</v>
      </c>
      <c r="M262" s="302">
        <f t="shared" ref="M262:M263" si="204">F267-F262</f>
        <v>-9.0262840593274829E-3</v>
      </c>
      <c r="N262" s="302">
        <f t="shared" ref="N262:N263" si="205">SUM(K262:M262)</f>
        <v>-2.0563143094984637E-2</v>
      </c>
    </row>
    <row r="263" spans="1:14" x14ac:dyDescent="0.2">
      <c r="A263" s="282" t="s">
        <v>363</v>
      </c>
      <c r="B263" s="302">
        <f>SUM(B261:B262)</f>
        <v>0.83747361110634189</v>
      </c>
      <c r="C263" s="299" t="str">
        <f>CONCATENATE("(",ROUND((B263/$H263)*100,1),")")</f>
        <v>(38)</v>
      </c>
      <c r="D263" s="302">
        <f>SUM(D261:D262)</f>
        <v>0.8438451389002396</v>
      </c>
      <c r="E263" s="299" t="str">
        <f>CONCATENATE("(",ROUND((D263/$H263)*100,1),")")</f>
        <v>(38.3)</v>
      </c>
      <c r="F263" s="302">
        <f>SUM(F261:F262)</f>
        <v>0.5206812499934208</v>
      </c>
      <c r="G263" s="299" t="str">
        <f>CONCATENATE("(",ROUND((F263/$H263)*100,1),")")</f>
        <v>(23.6)</v>
      </c>
      <c r="H263" s="302">
        <f>SUM(H261:H262)</f>
        <v>2.2020000000000022</v>
      </c>
      <c r="I263" s="299" t="str">
        <f>CONCATENATE("(",ROUND((H263/$H263)*100,1),")")</f>
        <v>(100)</v>
      </c>
      <c r="K263" s="302">
        <f t="shared" si="202"/>
        <v>-2.2750747914763503E-2</v>
      </c>
      <c r="L263" s="302">
        <f t="shared" si="203"/>
        <v>1.7616423487950561E-3</v>
      </c>
      <c r="M263" s="302">
        <f t="shared" si="204"/>
        <v>-1.3010894434037246E-2</v>
      </c>
      <c r="N263" s="302">
        <f t="shared" si="205"/>
        <v>-3.4000000000005692E-2</v>
      </c>
    </row>
    <row r="264" spans="1:14" x14ac:dyDescent="0.2">
      <c r="B264" s="302"/>
      <c r="C264" s="284"/>
      <c r="D264" s="302"/>
      <c r="E264" s="284"/>
      <c r="F264" s="302"/>
      <c r="G264" s="284"/>
      <c r="H264" s="302"/>
      <c r="I264" s="284"/>
    </row>
    <row r="265" spans="1:14" x14ac:dyDescent="0.2">
      <c r="A265" s="292">
        <f>$A$13</f>
        <v>2025</v>
      </c>
      <c r="B265" s="302"/>
      <c r="C265" s="284"/>
      <c r="D265" s="302"/>
      <c r="E265" s="284"/>
      <c r="F265" s="302"/>
      <c r="G265" s="284"/>
      <c r="H265" s="302"/>
      <c r="I265" s="284"/>
      <c r="K265" s="286" t="str">
        <f>CONCATENATE(A265," - ",A270)</f>
        <v>2025 - 2035</v>
      </c>
    </row>
    <row r="266" spans="1:14" x14ac:dyDescent="0.2">
      <c r="A266" s="282" t="s">
        <v>364</v>
      </c>
      <c r="B266" s="302">
        <f>'Ind T6'!Q108</f>
        <v>0.56586484576394547</v>
      </c>
      <c r="C266" s="299" t="str">
        <f>CONCATENATE("(",ROUND((B266/$H268)*100,1),")")</f>
        <v>(26.1)</v>
      </c>
      <c r="D266" s="302">
        <f>'Ind T6'!R108</f>
        <v>0.27974193548209603</v>
      </c>
      <c r="E266" s="299" t="str">
        <f>CONCATENATE("(",ROUND((D266/$H268)*100,1),")")</f>
        <v>(12.9)</v>
      </c>
      <c r="F266" s="302">
        <f>'Ind T6'!S108</f>
        <v>0.23507511185038335</v>
      </c>
      <c r="G266" s="299" t="str">
        <f>CONCATENATE("(",ROUND((F266/$H268)*100,1),")")</f>
        <v>(10.8)</v>
      </c>
      <c r="H266" s="302">
        <f>SUM(B266,D266,F266)</f>
        <v>1.0806818930964248</v>
      </c>
      <c r="I266" s="299" t="str">
        <f>CONCATENATE("(",ROUND((H266/$H268)*100,1),")")</f>
        <v>(49.8)</v>
      </c>
      <c r="K266" s="302">
        <f>B271-B266</f>
        <v>2.120669868497238E-3</v>
      </c>
      <c r="L266" s="302">
        <f>D271-D266</f>
        <v>2.2519362314731284E-2</v>
      </c>
      <c r="M266" s="302">
        <f>F271-F266</f>
        <v>5.6097085493970467E-3</v>
      </c>
      <c r="N266" s="302">
        <f>SUM(K266:M266)</f>
        <v>3.0249740732625569E-2</v>
      </c>
    </row>
    <row r="267" spans="1:14" x14ac:dyDescent="0.2">
      <c r="A267" s="282" t="s">
        <v>365</v>
      </c>
      <c r="B267" s="302">
        <f>'Ind T6'!Q107</f>
        <v>0.24885801742763286</v>
      </c>
      <c r="C267" s="299" t="str">
        <f>CONCATENATE("(",ROUND((B267/$H268)*100,1),")")</f>
        <v>(11.5)</v>
      </c>
      <c r="D267" s="302">
        <f>'Ind T6'!R107</f>
        <v>0.56586484576693863</v>
      </c>
      <c r="E267" s="299" t="str">
        <f>CONCATENATE("(",ROUND((D267/$H268)*100,1),")")</f>
        <v>(26.1)</v>
      </c>
      <c r="F267" s="302">
        <f>'Ind T6'!S107</f>
        <v>0.27259524370900023</v>
      </c>
      <c r="G267" s="299" t="str">
        <f>CONCATENATE("(",ROUND((F267/$H268)*100,1),")")</f>
        <v>(12.6)</v>
      </c>
      <c r="H267" s="302">
        <f t="shared" ref="H267" si="206">SUM(B267,D267,F267)</f>
        <v>1.0873181069035718</v>
      </c>
      <c r="I267" s="299" t="str">
        <f>CONCATENATE("(",ROUND((H267/$H268)*100,1),")")</f>
        <v>(50.2)</v>
      </c>
      <c r="K267" s="302">
        <f t="shared" ref="K267:K268" si="207">B272-B267</f>
        <v>5.879526029866966E-3</v>
      </c>
      <c r="L267" s="302">
        <f t="shared" ref="L267:L268" si="208">D272-D267</f>
        <v>9.0192793773247182E-3</v>
      </c>
      <c r="M267" s="302">
        <f t="shared" ref="M267:M268" si="209">F272-F267</f>
        <v>-8.1485461398135284E-3</v>
      </c>
      <c r="N267" s="302">
        <f t="shared" ref="N267:N268" si="210">SUM(K267:M267)</f>
        <v>6.7502592673781558E-3</v>
      </c>
    </row>
    <row r="268" spans="1:14" x14ac:dyDescent="0.2">
      <c r="A268" s="282" t="s">
        <v>363</v>
      </c>
      <c r="B268" s="302">
        <f>SUM(B266:B267)</f>
        <v>0.81472286319157838</v>
      </c>
      <c r="C268" s="299" t="str">
        <f>CONCATENATE("(",ROUND((B268/$H268)*100,1),")")</f>
        <v>(37.6)</v>
      </c>
      <c r="D268" s="302">
        <f>SUM(D266:D267)</f>
        <v>0.84560678124903466</v>
      </c>
      <c r="E268" s="299" t="str">
        <f>CONCATENATE("(",ROUND((D268/$H268)*100,1),")")</f>
        <v>(39)</v>
      </c>
      <c r="F268" s="302">
        <f>SUM(F266:F267)</f>
        <v>0.50767035555938356</v>
      </c>
      <c r="G268" s="299" t="str">
        <f>CONCATENATE("(",ROUND((F268/$H268)*100,1),")")</f>
        <v>(23.4)</v>
      </c>
      <c r="H268" s="302">
        <f>SUM(H266:H267)</f>
        <v>2.1679999999999966</v>
      </c>
      <c r="I268" s="299" t="str">
        <f>CONCATENATE("(",ROUND((H268/$H268)*100,1),")")</f>
        <v>(100)</v>
      </c>
      <c r="K268" s="302">
        <f t="shared" si="207"/>
        <v>8.0001958983642041E-3</v>
      </c>
      <c r="L268" s="302">
        <f t="shared" si="208"/>
        <v>3.1538641692056002E-2</v>
      </c>
      <c r="M268" s="302">
        <f t="shared" si="209"/>
        <v>-2.5388375904165095E-3</v>
      </c>
      <c r="N268" s="302">
        <f t="shared" si="210"/>
        <v>3.7000000000003697E-2</v>
      </c>
    </row>
    <row r="269" spans="1:14" x14ac:dyDescent="0.2">
      <c r="B269" s="302"/>
      <c r="C269" s="284"/>
      <c r="D269" s="302"/>
      <c r="E269" s="284"/>
      <c r="F269" s="302"/>
      <c r="G269" s="284"/>
      <c r="H269" s="302"/>
      <c r="I269" s="284"/>
    </row>
    <row r="270" spans="1:14" x14ac:dyDescent="0.2">
      <c r="A270" s="292">
        <f>$A$18</f>
        <v>2035</v>
      </c>
      <c r="B270" s="302"/>
      <c r="C270" s="284"/>
      <c r="D270" s="302"/>
      <c r="E270" s="284"/>
      <c r="F270" s="302"/>
      <c r="G270" s="284"/>
      <c r="H270" s="302"/>
      <c r="I270" s="284"/>
      <c r="K270" s="286" t="str">
        <f>CONCATENATE(A260," - ",A270)</f>
        <v>2020 - 2035</v>
      </c>
    </row>
    <row r="271" spans="1:14" x14ac:dyDescent="0.2">
      <c r="A271" s="282" t="s">
        <v>364</v>
      </c>
      <c r="B271" s="302">
        <f>'Ind T6'!V108</f>
        <v>0.56798551563244271</v>
      </c>
      <c r="C271" s="299" t="str">
        <f>CONCATENATE("(",ROUND((B271/$H273)*100,1),")")</f>
        <v>(25.8)</v>
      </c>
      <c r="D271" s="302">
        <f>'Ind T6'!W108</f>
        <v>0.30226129779682731</v>
      </c>
      <c r="E271" s="299" t="str">
        <f>CONCATENATE("(",ROUND((D271/$H273)*100,1),")")</f>
        <v>(13.7)</v>
      </c>
      <c r="F271" s="302">
        <f>'Ind T6'!X108</f>
        <v>0.2406848203997804</v>
      </c>
      <c r="G271" s="299" t="str">
        <f>CONCATENATE("(",ROUND((F271/$H273)*100,1),")")</f>
        <v>(10.9)</v>
      </c>
      <c r="H271" s="302">
        <f>SUM(B271,D271,F271)</f>
        <v>1.1109316338290505</v>
      </c>
      <c r="I271" s="299" t="str">
        <f>CONCATENATE("(",ROUND((H271/$H273)*100,1),")")</f>
        <v>(50.4)</v>
      </c>
      <c r="K271" s="302">
        <f>B271-B261</f>
        <v>-1.41172621418032E-2</v>
      </c>
      <c r="L271" s="302">
        <f>D271-D261</f>
        <v>2.9305047794720429E-2</v>
      </c>
      <c r="M271" s="302">
        <f>F271-F261</f>
        <v>1.6250981746873394E-3</v>
      </c>
      <c r="N271" s="302">
        <f>SUM(K271:M271)</f>
        <v>1.6812883827604569E-2</v>
      </c>
    </row>
    <row r="272" spans="1:14" x14ac:dyDescent="0.2">
      <c r="A272" s="282" t="s">
        <v>365</v>
      </c>
      <c r="B272" s="302">
        <f>'Ind T6'!V107</f>
        <v>0.25473754345749983</v>
      </c>
      <c r="C272" s="299" t="str">
        <f>CONCATENATE("(",ROUND((B272/$H273)*100,1),")")</f>
        <v>(11.6)</v>
      </c>
      <c r="D272" s="302">
        <f>'Ind T6'!W107</f>
        <v>0.57488412514426335</v>
      </c>
      <c r="E272" s="299" t="str">
        <f>CONCATENATE("(",ROUND((D272/$H273)*100,1),")")</f>
        <v>(26.1)</v>
      </c>
      <c r="F272" s="302">
        <f>'Ind T6'!X107</f>
        <v>0.26444669756918671</v>
      </c>
      <c r="G272" s="299" t="str">
        <f>CONCATENATE("(",ROUND((F272/$H273)*100,1),")")</f>
        <v>(12)</v>
      </c>
      <c r="H272" s="302">
        <f t="shared" ref="H272" si="211">SUM(B272,D272,F272)</f>
        <v>1.09406836617095</v>
      </c>
      <c r="I272" s="299" t="str">
        <f>CONCATENATE("(",ROUND((H272/$H273)*100,1),")")</f>
        <v>(49.6)</v>
      </c>
      <c r="K272" s="302">
        <f t="shared" ref="K272:K273" si="212">B272-B262</f>
        <v>-6.3328987459609909E-4</v>
      </c>
      <c r="L272" s="302">
        <f t="shared" ref="L272:L273" si="213">D272-D262</f>
        <v>3.995236246130629E-3</v>
      </c>
      <c r="M272" s="302">
        <f t="shared" ref="M272:M273" si="214">F272-F262</f>
        <v>-1.7174830199141011E-2</v>
      </c>
      <c r="N272" s="302">
        <f t="shared" ref="N272:N273" si="215">SUM(K272:M272)</f>
        <v>-1.3812883827606481E-2</v>
      </c>
    </row>
    <row r="273" spans="1:14" x14ac:dyDescent="0.2">
      <c r="A273" s="282" t="s">
        <v>363</v>
      </c>
      <c r="B273" s="302">
        <f>SUM(B271:B272)</f>
        <v>0.82272305908994259</v>
      </c>
      <c r="C273" s="299" t="str">
        <f>CONCATENATE("(",ROUND((B273/$H273)*100,1),")")</f>
        <v>(37.3)</v>
      </c>
      <c r="D273" s="302">
        <f>SUM(D271:D272)</f>
        <v>0.87714542294109066</v>
      </c>
      <c r="E273" s="299" t="str">
        <f>CONCATENATE("(",ROUND((D273/$H273)*100,1),")")</f>
        <v>(39.8)</v>
      </c>
      <c r="F273" s="302">
        <f>SUM(F271:F272)</f>
        <v>0.50513151796896705</v>
      </c>
      <c r="G273" s="299" t="str">
        <f>CONCATENATE("(",ROUND((F273/$H273)*100,1),")")</f>
        <v>(22.9)</v>
      </c>
      <c r="H273" s="302">
        <f>SUM(H271:H272)</f>
        <v>2.2050000000000005</v>
      </c>
      <c r="I273" s="299" t="str">
        <f>CONCATENATE("(",ROUND((H273/$H273)*100,1),")")</f>
        <v>(100)</v>
      </c>
      <c r="K273" s="302">
        <f t="shared" si="212"/>
        <v>-1.4750552016399299E-2</v>
      </c>
      <c r="L273" s="302">
        <f t="shared" si="213"/>
        <v>3.3300284040851058E-2</v>
      </c>
      <c r="M273" s="302">
        <f t="shared" si="214"/>
        <v>-1.5549732024453755E-2</v>
      </c>
      <c r="N273" s="302">
        <f t="shared" si="215"/>
        <v>2.9999999999980043E-3</v>
      </c>
    </row>
    <row r="274" spans="1:14" x14ac:dyDescent="0.2">
      <c r="A274" s="293"/>
      <c r="B274" s="294"/>
      <c r="C274" s="293"/>
      <c r="D274" s="294"/>
      <c r="E274" s="293"/>
      <c r="F274" s="294"/>
      <c r="G274" s="293"/>
      <c r="H274" s="294"/>
      <c r="I274" s="293"/>
      <c r="J274" s="293"/>
      <c r="K274" s="294"/>
      <c r="L274" s="294"/>
      <c r="M274" s="294"/>
      <c r="N274" s="294"/>
    </row>
    <row r="278" spans="1:14" x14ac:dyDescent="0.2">
      <c r="A278" s="288"/>
      <c r="B278" s="289" t="s">
        <v>372</v>
      </c>
      <c r="C278" s="288"/>
      <c r="D278" s="289"/>
      <c r="E278" s="288"/>
      <c r="F278" s="289" t="str">
        <f>name!B16</f>
        <v>Information technology</v>
      </c>
      <c r="G278" s="288"/>
      <c r="H278" s="291"/>
      <c r="I278" s="288"/>
      <c r="J278" s="290"/>
      <c r="K278" s="291"/>
      <c r="L278" s="291"/>
      <c r="M278" s="291"/>
      <c r="N278" s="291"/>
    </row>
    <row r="279" spans="1:14" x14ac:dyDescent="0.2">
      <c r="N279" s="287" t="s">
        <v>370</v>
      </c>
    </row>
    <row r="280" spans="1:14" x14ac:dyDescent="0.2">
      <c r="A280" s="182" t="s">
        <v>371</v>
      </c>
      <c r="B280" s="372" t="s">
        <v>369</v>
      </c>
      <c r="C280" s="372"/>
      <c r="D280" s="372" t="s">
        <v>368</v>
      </c>
      <c r="E280" s="372"/>
      <c r="F280" s="372" t="s">
        <v>367</v>
      </c>
      <c r="G280" s="372"/>
      <c r="H280" s="372" t="s">
        <v>33</v>
      </c>
      <c r="I280" s="372"/>
      <c r="J280" s="182"/>
      <c r="K280" s="297" t="s">
        <v>345</v>
      </c>
      <c r="L280" s="297" t="s">
        <v>347</v>
      </c>
      <c r="M280" s="297" t="s">
        <v>343</v>
      </c>
      <c r="N280" s="297" t="s">
        <v>33</v>
      </c>
    </row>
    <row r="281" spans="1:14" x14ac:dyDescent="0.2">
      <c r="A281" s="292">
        <f>$A$8</f>
        <v>2020</v>
      </c>
      <c r="B281" s="287" t="s">
        <v>66</v>
      </c>
      <c r="C281" s="20" t="s">
        <v>366</v>
      </c>
      <c r="D281" s="287" t="s">
        <v>66</v>
      </c>
      <c r="E281" s="20" t="s">
        <v>366</v>
      </c>
      <c r="F281" s="287" t="s">
        <v>66</v>
      </c>
      <c r="G281" s="20" t="s">
        <v>366</v>
      </c>
      <c r="H281" s="287" t="s">
        <v>66</v>
      </c>
      <c r="I281" s="20" t="s">
        <v>366</v>
      </c>
      <c r="J281" s="182"/>
      <c r="K281" s="286" t="str">
        <f>CONCATENATE(A281," - ",A286)</f>
        <v>2020 - 2025</v>
      </c>
      <c r="L281" s="285"/>
      <c r="M281" s="285"/>
    </row>
    <row r="282" spans="1:14" x14ac:dyDescent="0.2">
      <c r="A282" s="282" t="s">
        <v>364</v>
      </c>
      <c r="B282" s="302">
        <f>'Ind T6'!L117</f>
        <v>3.6477169399232632</v>
      </c>
      <c r="C282" s="299" t="str">
        <f>CONCATENATE("(",ROUND((B282/$H284)*100,1),")")</f>
        <v>(66.7)</v>
      </c>
      <c r="D282" s="302">
        <f>'Ind T6'!M117</f>
        <v>0.20825701014877399</v>
      </c>
      <c r="E282" s="299" t="str">
        <f>CONCATENATE("(",ROUND((D282/$H284)*100,1),")")</f>
        <v>(3.8)</v>
      </c>
      <c r="F282" s="302">
        <f>'Ind T6'!N117</f>
        <v>0.18004456526695914</v>
      </c>
      <c r="G282" s="299" t="str">
        <f>CONCATENATE("(",ROUND((F282/$H284)*100,1),")")</f>
        <v>(3.3)</v>
      </c>
      <c r="H282" s="302">
        <f>SUM(B282,D282,F282)</f>
        <v>4.0360185153389967</v>
      </c>
      <c r="I282" s="299" t="str">
        <f>CONCATENATE("(",ROUND((H282/$H284)*100,1),")")</f>
        <v>(73.8)</v>
      </c>
      <c r="K282" s="302">
        <f>B287-B282</f>
        <v>0.26879039380257908</v>
      </c>
      <c r="L282" s="302">
        <f>D287-D282</f>
        <v>1.8706748880880641E-2</v>
      </c>
      <c r="M282" s="302">
        <f>F287-F282</f>
        <v>1.9151725064549541E-2</v>
      </c>
      <c r="N282" s="302">
        <f>SUM(K282:M282)</f>
        <v>0.30664886774800926</v>
      </c>
    </row>
    <row r="283" spans="1:14" x14ac:dyDescent="0.2">
      <c r="A283" s="282" t="s">
        <v>365</v>
      </c>
      <c r="B283" s="302">
        <f>'Ind T6'!L116</f>
        <v>0.94868735819611549</v>
      </c>
      <c r="C283" s="299" t="str">
        <f>CONCATENATE("(",ROUND((B283/$H284)*100,1),")")</f>
        <v>(17.3)</v>
      </c>
      <c r="D283" s="302">
        <f>'Ind T6'!M116</f>
        <v>0.40632944475813071</v>
      </c>
      <c r="E283" s="299" t="str">
        <f>CONCATENATE("(",ROUND((D283/$H284)*100,1),")")</f>
        <v>(7.4)</v>
      </c>
      <c r="F283" s="302">
        <f>'Ind T6'!N116</f>
        <v>7.7964681706757716E-2</v>
      </c>
      <c r="G283" s="299" t="str">
        <f>CONCATENATE("(",ROUND((F283/$H284)*100,1),")")</f>
        <v>(1.4)</v>
      </c>
      <c r="H283" s="302">
        <f t="shared" ref="H283" si="216">SUM(B283,D283,F283)</f>
        <v>1.4329814846610038</v>
      </c>
      <c r="I283" s="299" t="str">
        <f>CONCATENATE("(",ROUND((H283/$H284)*100,1),")")</f>
        <v>(26.2)</v>
      </c>
      <c r="K283" s="302">
        <f t="shared" ref="K283:K284" si="217">B288-B283</f>
        <v>0.10129946691954639</v>
      </c>
      <c r="L283" s="302">
        <f t="shared" ref="L283:L284" si="218">D288-D283</f>
        <v>2.7243106843495124E-2</v>
      </c>
      <c r="M283" s="302">
        <f t="shared" ref="M283:M284" si="219">F288-F283</f>
        <v>7.8085584889522469E-3</v>
      </c>
      <c r="N283" s="302">
        <f t="shared" ref="N283:N284" si="220">SUM(K283:M283)</f>
        <v>0.13635113225199375</v>
      </c>
    </row>
    <row r="284" spans="1:14" x14ac:dyDescent="0.2">
      <c r="A284" s="282" t="s">
        <v>363</v>
      </c>
      <c r="B284" s="302">
        <f>SUM(B282:B283)</f>
        <v>4.5964042981193787</v>
      </c>
      <c r="C284" s="299" t="str">
        <f>CONCATENATE("(",ROUND((B284/$H284)*100,1),")")</f>
        <v>(84)</v>
      </c>
      <c r="D284" s="302">
        <f>SUM(D282:D283)</f>
        <v>0.61458645490690467</v>
      </c>
      <c r="E284" s="299" t="str">
        <f>CONCATENATE("(",ROUND((D284/$H284)*100,1),")")</f>
        <v>(11.2)</v>
      </c>
      <c r="F284" s="302">
        <f>SUM(F282:F283)</f>
        <v>0.25800924697371685</v>
      </c>
      <c r="G284" s="299" t="str">
        <f>CONCATENATE("(",ROUND((F284/$H284)*100,1),")")</f>
        <v>(4.7)</v>
      </c>
      <c r="H284" s="302">
        <f>SUM(H282:H283)</f>
        <v>5.4690000000000003</v>
      </c>
      <c r="I284" s="299" t="str">
        <f>CONCATENATE("(",ROUND((H284/$H284)*100,1),")")</f>
        <v>(100)</v>
      </c>
      <c r="K284" s="302">
        <f t="shared" si="217"/>
        <v>0.37008986072212569</v>
      </c>
      <c r="L284" s="302">
        <f t="shared" si="218"/>
        <v>4.5949855724375821E-2</v>
      </c>
      <c r="M284" s="302">
        <f t="shared" si="219"/>
        <v>2.6960283553501774E-2</v>
      </c>
      <c r="N284" s="302">
        <f t="shared" si="220"/>
        <v>0.44300000000000328</v>
      </c>
    </row>
    <row r="285" spans="1:14" x14ac:dyDescent="0.2">
      <c r="B285" s="302"/>
      <c r="C285" s="284"/>
      <c r="D285" s="302"/>
      <c r="E285" s="284"/>
      <c r="F285" s="302"/>
      <c r="G285" s="284"/>
      <c r="H285" s="302"/>
      <c r="I285" s="284"/>
    </row>
    <row r="286" spans="1:14" x14ac:dyDescent="0.2">
      <c r="A286" s="292">
        <f>$A$13</f>
        <v>2025</v>
      </c>
      <c r="B286" s="302"/>
      <c r="C286" s="284"/>
      <c r="D286" s="302"/>
      <c r="E286" s="284"/>
      <c r="F286" s="302"/>
      <c r="G286" s="284"/>
      <c r="H286" s="302"/>
      <c r="I286" s="284"/>
      <c r="K286" s="286" t="str">
        <f>CONCATENATE(A286," - ",A291)</f>
        <v>2025 - 2035</v>
      </c>
    </row>
    <row r="287" spans="1:14" x14ac:dyDescent="0.2">
      <c r="A287" s="282" t="s">
        <v>364</v>
      </c>
      <c r="B287" s="302">
        <f>'Ind T6'!Q117</f>
        <v>3.9165073337258423</v>
      </c>
      <c r="C287" s="299" t="str">
        <f>CONCATENATE("(",ROUND((B287/$H289)*100,1),")")</f>
        <v>(66.2)</v>
      </c>
      <c r="D287" s="302">
        <f>'Ind T6'!R117</f>
        <v>0.22696375902965463</v>
      </c>
      <c r="E287" s="299" t="str">
        <f>CONCATENATE("(",ROUND((D287/$H289)*100,1),")")</f>
        <v>(3.8)</v>
      </c>
      <c r="F287" s="302">
        <f>'Ind T6'!S117</f>
        <v>0.19919629033150868</v>
      </c>
      <c r="G287" s="299" t="str">
        <f>CONCATENATE("(",ROUND((F287/$H289)*100,1),")")</f>
        <v>(3.4)</v>
      </c>
      <c r="H287" s="302">
        <f>SUM(B287,D287,F287)</f>
        <v>4.3426673830870053</v>
      </c>
      <c r="I287" s="299" t="str">
        <f>CONCATENATE("(",ROUND((H287/$H289)*100,1),")")</f>
        <v>(73.5)</v>
      </c>
      <c r="K287" s="302">
        <f>B292-B287</f>
        <v>0.259192343051867</v>
      </c>
      <c r="L287" s="302">
        <f>D292-D287</f>
        <v>1.9555872485345877E-2</v>
      </c>
      <c r="M287" s="302">
        <f>F292-F287</f>
        <v>2.0365798748243014E-2</v>
      </c>
      <c r="N287" s="302">
        <f>SUM(K287:M287)</f>
        <v>0.29911401428545586</v>
      </c>
    </row>
    <row r="288" spans="1:14" x14ac:dyDescent="0.2">
      <c r="A288" s="282" t="s">
        <v>365</v>
      </c>
      <c r="B288" s="302">
        <f>'Ind T6'!Q116</f>
        <v>1.0499868251156619</v>
      </c>
      <c r="C288" s="299" t="str">
        <f>CONCATENATE("(",ROUND((B288/$H289)*100,1),")")</f>
        <v>(17.8)</v>
      </c>
      <c r="D288" s="302">
        <f>'Ind T6'!R116</f>
        <v>0.43357255160162583</v>
      </c>
      <c r="E288" s="299" t="str">
        <f>CONCATENATE("(",ROUND((D288/$H289)*100,1),")")</f>
        <v>(7.3)</v>
      </c>
      <c r="F288" s="302">
        <f>'Ind T6'!S116</f>
        <v>8.5773240195709963E-2</v>
      </c>
      <c r="G288" s="299" t="str">
        <f>CONCATENATE("(",ROUND((F288/$H289)*100,1),")")</f>
        <v>(1.5)</v>
      </c>
      <c r="H288" s="302">
        <f t="shared" ref="H288" si="221">SUM(B288,D288,F288)</f>
        <v>1.5693326169129975</v>
      </c>
      <c r="I288" s="299" t="str">
        <f>CONCATENATE("(",ROUND((H288/$H289)*100,1),")")</f>
        <v>(26.5)</v>
      </c>
      <c r="K288" s="302">
        <f t="shared" ref="K288:K289" si="222">B293-B288</f>
        <v>0.13035153531261279</v>
      </c>
      <c r="L288" s="302">
        <f t="shared" ref="L288:L289" si="223">D293-D288</f>
        <v>1.7611579753339435E-2</v>
      </c>
      <c r="M288" s="302">
        <f t="shared" ref="M288:M289" si="224">F293-F288</f>
        <v>6.9228706485820746E-3</v>
      </c>
      <c r="N288" s="302">
        <f t="shared" ref="N288:N289" si="225">SUM(K288:M288)</f>
        <v>0.1548859857145343</v>
      </c>
    </row>
    <row r="289" spans="1:14" x14ac:dyDescent="0.2">
      <c r="A289" s="282" t="s">
        <v>363</v>
      </c>
      <c r="B289" s="302">
        <f>SUM(B287:B288)</f>
        <v>4.9664941588415044</v>
      </c>
      <c r="C289" s="299" t="str">
        <f>CONCATENATE("(",ROUND((B289/$H289)*100,1),")")</f>
        <v>(84)</v>
      </c>
      <c r="D289" s="302">
        <f>SUM(D287:D288)</f>
        <v>0.66053631063128049</v>
      </c>
      <c r="E289" s="299" t="str">
        <f>CONCATENATE("(",ROUND((D289/$H289)*100,1),")")</f>
        <v>(11.2)</v>
      </c>
      <c r="F289" s="302">
        <f>SUM(F287:F288)</f>
        <v>0.28496953052721863</v>
      </c>
      <c r="G289" s="299" t="str">
        <f>CONCATENATE("(",ROUND((F289/$H289)*100,1),")")</f>
        <v>(4.8)</v>
      </c>
      <c r="H289" s="302">
        <f>SUM(H287:H288)</f>
        <v>5.9120000000000026</v>
      </c>
      <c r="I289" s="299" t="str">
        <f>CONCATENATE("(",ROUND((H289/$H289)*100,1),")")</f>
        <v>(100)</v>
      </c>
      <c r="K289" s="302">
        <f t="shared" si="222"/>
        <v>0.38954387836447957</v>
      </c>
      <c r="L289" s="302">
        <f t="shared" si="223"/>
        <v>3.7167452238685339E-2</v>
      </c>
      <c r="M289" s="302">
        <f t="shared" si="224"/>
        <v>2.7288669396825116E-2</v>
      </c>
      <c r="N289" s="302">
        <f t="shared" si="225"/>
        <v>0.45399999999999002</v>
      </c>
    </row>
    <row r="290" spans="1:14" x14ac:dyDescent="0.2">
      <c r="B290" s="302"/>
      <c r="C290" s="284"/>
      <c r="D290" s="302"/>
      <c r="E290" s="284"/>
      <c r="F290" s="302"/>
      <c r="G290" s="284"/>
      <c r="H290" s="302"/>
      <c r="I290" s="284"/>
    </row>
    <row r="291" spans="1:14" x14ac:dyDescent="0.2">
      <c r="A291" s="292">
        <f>$A$18</f>
        <v>2035</v>
      </c>
      <c r="B291" s="302"/>
      <c r="C291" s="284"/>
      <c r="D291" s="302"/>
      <c r="E291" s="284"/>
      <c r="F291" s="302"/>
      <c r="G291" s="284"/>
      <c r="H291" s="302"/>
      <c r="I291" s="284"/>
      <c r="K291" s="286" t="str">
        <f>CONCATENATE(A281," - ",A291)</f>
        <v>2020 - 2035</v>
      </c>
    </row>
    <row r="292" spans="1:14" x14ac:dyDescent="0.2">
      <c r="A292" s="282" t="s">
        <v>364</v>
      </c>
      <c r="B292" s="302">
        <f>'Ind T6'!V117</f>
        <v>4.1756996767777093</v>
      </c>
      <c r="C292" s="299" t="str">
        <f>CONCATENATE("(",ROUND((B292/$H294)*100,1),")")</f>
        <v>(65.6)</v>
      </c>
      <c r="D292" s="302">
        <f>'Ind T6'!W117</f>
        <v>0.2465196315150005</v>
      </c>
      <c r="E292" s="299" t="str">
        <f>CONCATENATE("(",ROUND((D292/$H294)*100,1),")")</f>
        <v>(3.9)</v>
      </c>
      <c r="F292" s="302">
        <f>'Ind T6'!X117</f>
        <v>0.21956208907975169</v>
      </c>
      <c r="G292" s="299" t="str">
        <f>CONCATENATE("(",ROUND((F292/$H294)*100,1),")")</f>
        <v>(3.4)</v>
      </c>
      <c r="H292" s="302">
        <f>SUM(B292,D292,F292)</f>
        <v>4.6417813973724611</v>
      </c>
      <c r="I292" s="299" t="str">
        <f>CONCATENATE("(",ROUND((H292/$H294)*100,1),")")</f>
        <v>(72.9)</v>
      </c>
      <c r="K292" s="302">
        <f>B292-B282</f>
        <v>0.52798273685444608</v>
      </c>
      <c r="L292" s="302">
        <f>D292-D282</f>
        <v>3.8262621366226518E-2</v>
      </c>
      <c r="M292" s="302">
        <f>F292-F282</f>
        <v>3.9517523812792554E-2</v>
      </c>
      <c r="N292" s="302">
        <f>SUM(K292:M292)</f>
        <v>0.60576288203346507</v>
      </c>
    </row>
    <row r="293" spans="1:14" x14ac:dyDescent="0.2">
      <c r="A293" s="282" t="s">
        <v>365</v>
      </c>
      <c r="B293" s="302">
        <f>'Ind T6'!V116</f>
        <v>1.1803383604282747</v>
      </c>
      <c r="C293" s="299" t="str">
        <f>CONCATENATE("(",ROUND((B293/$H294)*100,1),")")</f>
        <v>(18.5)</v>
      </c>
      <c r="D293" s="302">
        <f>'Ind T6'!W116</f>
        <v>0.45118413135496527</v>
      </c>
      <c r="E293" s="299" t="str">
        <f>CONCATENATE("(",ROUND((D293/$H294)*100,1),")")</f>
        <v>(7.1)</v>
      </c>
      <c r="F293" s="302">
        <f>'Ind T6'!X116</f>
        <v>9.2696110844292037E-2</v>
      </c>
      <c r="G293" s="299" t="str">
        <f>CONCATENATE("(",ROUND((F293/$H294)*100,1),")")</f>
        <v>(1.5)</v>
      </c>
      <c r="H293" s="302">
        <f t="shared" ref="H293" si="226">SUM(B293,D293,F293)</f>
        <v>1.7242186026275319</v>
      </c>
      <c r="I293" s="299" t="str">
        <f>CONCATENATE("(",ROUND((H293/$H294)*100,1),")")</f>
        <v>(27.1)</v>
      </c>
      <c r="K293" s="302">
        <f t="shared" ref="K293:K294" si="227">B293-B283</f>
        <v>0.23165100223215918</v>
      </c>
      <c r="L293" s="302">
        <f t="shared" ref="L293:L294" si="228">D293-D283</f>
        <v>4.4854686596834559E-2</v>
      </c>
      <c r="M293" s="302">
        <f t="shared" ref="M293:M294" si="229">F293-F283</f>
        <v>1.4731429137534321E-2</v>
      </c>
      <c r="N293" s="302">
        <f t="shared" ref="N293:N294" si="230">SUM(K293:M293)</f>
        <v>0.29123711796652807</v>
      </c>
    </row>
    <row r="294" spans="1:14" x14ac:dyDescent="0.2">
      <c r="A294" s="282" t="s">
        <v>363</v>
      </c>
      <c r="B294" s="302">
        <f>SUM(B292:B293)</f>
        <v>5.3560380372059839</v>
      </c>
      <c r="C294" s="299" t="str">
        <f>CONCATENATE("(",ROUND((B294/$H294)*100,1),")")</f>
        <v>(84.1)</v>
      </c>
      <c r="D294" s="302">
        <f>SUM(D292:D293)</f>
        <v>0.69770376286996583</v>
      </c>
      <c r="E294" s="299" t="str">
        <f>CONCATENATE("(",ROUND((D294/$H294)*100,1),")")</f>
        <v>(11)</v>
      </c>
      <c r="F294" s="302">
        <f>SUM(F292:F293)</f>
        <v>0.31225819992404374</v>
      </c>
      <c r="G294" s="299" t="str">
        <f>CONCATENATE("(",ROUND((F294/$H294)*100,1),")")</f>
        <v>(4.9)</v>
      </c>
      <c r="H294" s="302">
        <f>SUM(H292:H293)</f>
        <v>6.3659999999999926</v>
      </c>
      <c r="I294" s="299" t="str">
        <f>CONCATENATE("(",ROUND((H294/$H294)*100,1),")")</f>
        <v>(100)</v>
      </c>
      <c r="K294" s="302">
        <f t="shared" si="227"/>
        <v>0.75963373908660525</v>
      </c>
      <c r="L294" s="302">
        <f t="shared" si="228"/>
        <v>8.311730796306116E-2</v>
      </c>
      <c r="M294" s="302">
        <f t="shared" si="229"/>
        <v>5.424895295032689E-2</v>
      </c>
      <c r="N294" s="302">
        <f t="shared" si="230"/>
        <v>0.89699999999999336</v>
      </c>
    </row>
    <row r="295" spans="1:14" x14ac:dyDescent="0.2">
      <c r="A295" s="293"/>
      <c r="B295" s="294"/>
      <c r="C295" s="293"/>
      <c r="D295" s="294"/>
      <c r="E295" s="293"/>
      <c r="F295" s="294"/>
      <c r="G295" s="293"/>
      <c r="H295" s="294"/>
      <c r="I295" s="293"/>
      <c r="J295" s="293"/>
      <c r="K295" s="294"/>
      <c r="L295" s="294"/>
      <c r="M295" s="294"/>
      <c r="N295" s="294"/>
    </row>
    <row r="299" spans="1:14" x14ac:dyDescent="0.2">
      <c r="A299" s="288"/>
      <c r="B299" s="289" t="s">
        <v>372</v>
      </c>
      <c r="C299" s="288"/>
      <c r="D299" s="289"/>
      <c r="E299" s="288"/>
      <c r="F299" s="289" t="str">
        <f>name!B17</f>
        <v>Finance and insurance</v>
      </c>
      <c r="G299" s="288"/>
      <c r="H299" s="291"/>
      <c r="I299" s="288"/>
      <c r="J299" s="290"/>
      <c r="K299" s="291"/>
      <c r="L299" s="291"/>
      <c r="M299" s="291"/>
      <c r="N299" s="291"/>
    </row>
    <row r="300" spans="1:14" x14ac:dyDescent="0.2">
      <c r="N300" s="287" t="s">
        <v>370</v>
      </c>
    </row>
    <row r="301" spans="1:14" x14ac:dyDescent="0.2">
      <c r="A301" s="182" t="s">
        <v>371</v>
      </c>
      <c r="B301" s="372" t="s">
        <v>369</v>
      </c>
      <c r="C301" s="372"/>
      <c r="D301" s="372" t="s">
        <v>368</v>
      </c>
      <c r="E301" s="372"/>
      <c r="F301" s="372" t="s">
        <v>367</v>
      </c>
      <c r="G301" s="372"/>
      <c r="H301" s="372" t="s">
        <v>33</v>
      </c>
      <c r="I301" s="372"/>
      <c r="J301" s="182"/>
      <c r="K301" s="297" t="s">
        <v>345</v>
      </c>
      <c r="L301" s="297" t="s">
        <v>347</v>
      </c>
      <c r="M301" s="297" t="s">
        <v>343</v>
      </c>
      <c r="N301" s="297" t="s">
        <v>33</v>
      </c>
    </row>
    <row r="302" spans="1:14" x14ac:dyDescent="0.2">
      <c r="A302" s="292">
        <f>$A$8</f>
        <v>2020</v>
      </c>
      <c r="B302" s="287" t="s">
        <v>66</v>
      </c>
      <c r="C302" s="20" t="s">
        <v>366</v>
      </c>
      <c r="D302" s="287" t="s">
        <v>66</v>
      </c>
      <c r="E302" s="20" t="s">
        <v>366</v>
      </c>
      <c r="F302" s="287" t="s">
        <v>66</v>
      </c>
      <c r="G302" s="20" t="s">
        <v>366</v>
      </c>
      <c r="H302" s="287" t="s">
        <v>66</v>
      </c>
      <c r="I302" s="20" t="s">
        <v>366</v>
      </c>
      <c r="J302" s="182"/>
      <c r="K302" s="286" t="str">
        <f>CONCATENATE(A302," - ",A307)</f>
        <v>2020 - 2025</v>
      </c>
      <c r="L302" s="285"/>
      <c r="M302" s="285"/>
    </row>
    <row r="303" spans="1:14" x14ac:dyDescent="0.2">
      <c r="A303" s="282" t="s">
        <v>364</v>
      </c>
      <c r="B303" s="302">
        <f>'Ind T6'!L126</f>
        <v>2.0450154574561012</v>
      </c>
      <c r="C303" s="299" t="str">
        <f>CONCATENATE("(",ROUND((B303/$H305)*100,1),")")</f>
        <v>(41.3)</v>
      </c>
      <c r="D303" s="302">
        <f>'Ind T6'!M126</f>
        <v>0.10256055664914429</v>
      </c>
      <c r="E303" s="299" t="str">
        <f>CONCATENATE("(",ROUND((D303/$H305)*100,1),")")</f>
        <v>(2.1)</v>
      </c>
      <c r="F303" s="302">
        <f>'Ind T6'!N126</f>
        <v>0.29750306022726708</v>
      </c>
      <c r="G303" s="299" t="str">
        <f>CONCATENATE("(",ROUND((F303/$H305)*100,1),")")</f>
        <v>(6)</v>
      </c>
      <c r="H303" s="302">
        <f>SUM(B303,D303,F303)</f>
        <v>2.4450790743325124</v>
      </c>
      <c r="I303" s="299" t="str">
        <f>CONCATENATE("(",ROUND((H303/$H305)*100,1),")")</f>
        <v>(49.4)</v>
      </c>
      <c r="K303" s="302">
        <f>B308-B303</f>
        <v>-2.4251178101926563E-2</v>
      </c>
      <c r="L303" s="302">
        <f>D308-D303</f>
        <v>3.082169407510868E-3</v>
      </c>
      <c r="M303" s="302">
        <f>F308-F303</f>
        <v>1.1204758619159538E-2</v>
      </c>
      <c r="N303" s="302">
        <f>SUM(K303:M303)</f>
        <v>-9.9642500752561564E-3</v>
      </c>
    </row>
    <row r="304" spans="1:14" x14ac:dyDescent="0.2">
      <c r="A304" s="282" t="s">
        <v>365</v>
      </c>
      <c r="B304" s="302">
        <f>'Ind T6'!L125</f>
        <v>1.6611048516726397</v>
      </c>
      <c r="C304" s="299" t="str">
        <f>CONCATENATE("(",ROUND((B304/$H305)*100,1),")")</f>
        <v>(33.5)</v>
      </c>
      <c r="D304" s="302">
        <f>'Ind T6'!M125</f>
        <v>0.67964347303015782</v>
      </c>
      <c r="E304" s="299" t="str">
        <f>CONCATENATE("(",ROUND((D304/$H305)*100,1),")")</f>
        <v>(13.7)</v>
      </c>
      <c r="F304" s="302">
        <f>'Ind T6'!N125</f>
        <v>0.16717260096468406</v>
      </c>
      <c r="G304" s="299" t="str">
        <f>CONCATENATE("(",ROUND((F304/$H305)*100,1),")")</f>
        <v>(3.4)</v>
      </c>
      <c r="H304" s="302">
        <f t="shared" ref="H304" si="231">SUM(B304,D304,F304)</f>
        <v>2.5079209256674817</v>
      </c>
      <c r="I304" s="299" t="str">
        <f>CONCATENATE("(",ROUND((H304/$H305)*100,1),")")</f>
        <v>(50.6)</v>
      </c>
      <c r="K304" s="302">
        <f t="shared" ref="K304:K305" si="232">B309-B304</f>
        <v>-2.6808546940933375E-2</v>
      </c>
      <c r="L304" s="302">
        <f t="shared" ref="L304:L305" si="233">D309-D304</f>
        <v>-1.8015632446283347E-2</v>
      </c>
      <c r="M304" s="302">
        <f t="shared" ref="M304:M305" si="234">F309-F304</f>
        <v>4.788429462472682E-3</v>
      </c>
      <c r="N304" s="302">
        <f t="shared" ref="N304:N305" si="235">SUM(K304:M304)</f>
        <v>-4.0035749924744041E-2</v>
      </c>
    </row>
    <row r="305" spans="1:14" x14ac:dyDescent="0.2">
      <c r="A305" s="282" t="s">
        <v>363</v>
      </c>
      <c r="B305" s="302">
        <f>SUM(B303:B304)</f>
        <v>3.7061203091287407</v>
      </c>
      <c r="C305" s="299" t="str">
        <f>CONCATENATE("(",ROUND((B305/$H305)*100,1),")")</f>
        <v>(74.8)</v>
      </c>
      <c r="D305" s="302">
        <f>SUM(D303:D304)</f>
        <v>0.78220402967930214</v>
      </c>
      <c r="E305" s="299" t="str">
        <f>CONCATENATE("(",ROUND((D305/$H305)*100,1),")")</f>
        <v>(15.8)</v>
      </c>
      <c r="F305" s="302">
        <f>SUM(F303:F304)</f>
        <v>0.46467566119195114</v>
      </c>
      <c r="G305" s="299" t="str">
        <f>CONCATENATE("(",ROUND((F305/$H305)*100,1),")")</f>
        <v>(9.4)</v>
      </c>
      <c r="H305" s="302">
        <f>SUM(H303:H304)</f>
        <v>4.9529999999999941</v>
      </c>
      <c r="I305" s="299" t="str">
        <f>CONCATENATE("(",ROUND((H305/$H305)*100,1),")")</f>
        <v>(100)</v>
      </c>
      <c r="K305" s="302">
        <f t="shared" si="232"/>
        <v>-5.1059725042859938E-2</v>
      </c>
      <c r="L305" s="302">
        <f t="shared" si="233"/>
        <v>-1.4933463038772521E-2</v>
      </c>
      <c r="M305" s="302">
        <f t="shared" si="234"/>
        <v>1.5993188081632193E-2</v>
      </c>
      <c r="N305" s="302">
        <f t="shared" si="235"/>
        <v>-5.0000000000000266E-2</v>
      </c>
    </row>
    <row r="306" spans="1:14" x14ac:dyDescent="0.2">
      <c r="B306" s="302"/>
      <c r="C306" s="284"/>
      <c r="D306" s="302"/>
      <c r="E306" s="284"/>
      <c r="F306" s="302"/>
      <c r="G306" s="284"/>
      <c r="H306" s="302"/>
      <c r="I306" s="284"/>
    </row>
    <row r="307" spans="1:14" x14ac:dyDescent="0.2">
      <c r="A307" s="292">
        <f>$A$13</f>
        <v>2025</v>
      </c>
      <c r="B307" s="302"/>
      <c r="C307" s="284"/>
      <c r="D307" s="302"/>
      <c r="E307" s="284"/>
      <c r="F307" s="302"/>
      <c r="G307" s="284"/>
      <c r="H307" s="302"/>
      <c r="I307" s="284"/>
      <c r="K307" s="286" t="str">
        <f>CONCATENATE(A307," - ",A312)</f>
        <v>2025 - 2035</v>
      </c>
    </row>
    <row r="308" spans="1:14" x14ac:dyDescent="0.2">
      <c r="A308" s="282" t="s">
        <v>364</v>
      </c>
      <c r="B308" s="302">
        <f>'Ind T6'!Q126</f>
        <v>2.0207642793541747</v>
      </c>
      <c r="C308" s="299" t="str">
        <f>CONCATENATE("(",ROUND((B308/$H310)*100,1),")")</f>
        <v>(41.2)</v>
      </c>
      <c r="D308" s="302">
        <f>'Ind T6'!R126</f>
        <v>0.10564272605665516</v>
      </c>
      <c r="E308" s="299" t="str">
        <f>CONCATENATE("(",ROUND((D308/$H310)*100,1),")")</f>
        <v>(2.2)</v>
      </c>
      <c r="F308" s="302">
        <f>'Ind T6'!S126</f>
        <v>0.30870781884642662</v>
      </c>
      <c r="G308" s="299" t="str">
        <f>CONCATENATE("(",ROUND((F308/$H310)*100,1),")")</f>
        <v>(6.3)</v>
      </c>
      <c r="H308" s="302">
        <f>SUM(B308,D308,F308)</f>
        <v>2.4351148242572567</v>
      </c>
      <c r="I308" s="299" t="str">
        <f>CONCATENATE("(",ROUND((H308/$H310)*100,1),")")</f>
        <v>(49.7)</v>
      </c>
      <c r="K308" s="302">
        <f>B313-B308</f>
        <v>-0.11349888672901276</v>
      </c>
      <c r="L308" s="302">
        <f>D313-D308</f>
        <v>8.2540416966164765E-4</v>
      </c>
      <c r="M308" s="302">
        <f>F313-F308</f>
        <v>-5.5026714786876041E-3</v>
      </c>
      <c r="N308" s="302">
        <f>SUM(K308:M308)</f>
        <v>-0.11817615403803872</v>
      </c>
    </row>
    <row r="309" spans="1:14" x14ac:dyDescent="0.2">
      <c r="A309" s="282" t="s">
        <v>365</v>
      </c>
      <c r="B309" s="302">
        <f>'Ind T6'!Q125</f>
        <v>1.6342963047317063</v>
      </c>
      <c r="C309" s="299" t="str">
        <f>CONCATENATE("(",ROUND((B309/$H310)*100,1),")")</f>
        <v>(33.3)</v>
      </c>
      <c r="D309" s="302">
        <f>'Ind T6'!R125</f>
        <v>0.66162784058387447</v>
      </c>
      <c r="E309" s="299" t="str">
        <f>CONCATENATE("(",ROUND((D309/$H310)*100,1),")")</f>
        <v>(13.5)</v>
      </c>
      <c r="F309" s="302">
        <f>'Ind T6'!S125</f>
        <v>0.17196103042715674</v>
      </c>
      <c r="G309" s="299" t="str">
        <f>CONCATENATE("(",ROUND((F309/$H310)*100,1),")")</f>
        <v>(3.5)</v>
      </c>
      <c r="H309" s="302">
        <f t="shared" ref="H309" si="236">SUM(B309,D309,F309)</f>
        <v>2.4678851757427376</v>
      </c>
      <c r="I309" s="299" t="str">
        <f>CONCATENATE("(",ROUND((H309/$H310)*100,1),")")</f>
        <v>(50.3)</v>
      </c>
      <c r="K309" s="302">
        <f t="shared" ref="K309:K310" si="237">B314-B309</f>
        <v>-9.6597097516566865E-2</v>
      </c>
      <c r="L309" s="302">
        <f t="shared" ref="L309:L310" si="238">D314-D309</f>
        <v>-4.4939405271834931E-2</v>
      </c>
      <c r="M309" s="302">
        <f t="shared" ref="M309:M310" si="239">F314-F309</f>
        <v>-7.2873431735610839E-3</v>
      </c>
      <c r="N309" s="302">
        <f t="shared" ref="N309:N310" si="240">SUM(K309:M309)</f>
        <v>-0.14882384596196288</v>
      </c>
    </row>
    <row r="310" spans="1:14" x14ac:dyDescent="0.2">
      <c r="A310" s="282" t="s">
        <v>363</v>
      </c>
      <c r="B310" s="302">
        <f>SUM(B308:B309)</f>
        <v>3.6550605840858807</v>
      </c>
      <c r="C310" s="299" t="str">
        <f>CONCATENATE("(",ROUND((B310/$H310)*100,1),")")</f>
        <v>(74.5)</v>
      </c>
      <c r="D310" s="302">
        <f>SUM(D308:D309)</f>
        <v>0.76727056664052962</v>
      </c>
      <c r="E310" s="299" t="str">
        <f>CONCATENATE("(",ROUND((D310/$H310)*100,1),")")</f>
        <v>(15.6)</v>
      </c>
      <c r="F310" s="302">
        <f>SUM(F308:F309)</f>
        <v>0.48066884927358333</v>
      </c>
      <c r="G310" s="299" t="str">
        <f>CONCATENATE("(",ROUND((F310/$H310)*100,1),")")</f>
        <v>(9.8)</v>
      </c>
      <c r="H310" s="302">
        <f>SUM(H308:H309)</f>
        <v>4.9029999999999943</v>
      </c>
      <c r="I310" s="299" t="str">
        <f>CONCATENATE("(",ROUND((H310/$H310)*100,1),")")</f>
        <v>(100)</v>
      </c>
      <c r="K310" s="302">
        <f t="shared" si="237"/>
        <v>-0.21009598424557918</v>
      </c>
      <c r="L310" s="302">
        <f t="shared" si="238"/>
        <v>-4.4114001102173228E-2</v>
      </c>
      <c r="M310" s="302">
        <f t="shared" si="239"/>
        <v>-1.279001465224866E-2</v>
      </c>
      <c r="N310" s="302">
        <f t="shared" si="240"/>
        <v>-0.26700000000000107</v>
      </c>
    </row>
    <row r="311" spans="1:14" x14ac:dyDescent="0.2">
      <c r="B311" s="302"/>
      <c r="C311" s="284"/>
      <c r="D311" s="302"/>
      <c r="E311" s="284"/>
      <c r="F311" s="302"/>
      <c r="G311" s="284"/>
      <c r="H311" s="302"/>
      <c r="I311" s="284"/>
    </row>
    <row r="312" spans="1:14" x14ac:dyDescent="0.2">
      <c r="A312" s="292">
        <f>$A$18</f>
        <v>2035</v>
      </c>
      <c r="B312" s="302"/>
      <c r="C312" s="284"/>
      <c r="D312" s="302"/>
      <c r="E312" s="284"/>
      <c r="F312" s="302"/>
      <c r="G312" s="284"/>
      <c r="H312" s="302"/>
      <c r="I312" s="284"/>
      <c r="K312" s="286" t="str">
        <f>CONCATENATE(A302," - ",A312)</f>
        <v>2020 - 2035</v>
      </c>
    </row>
    <row r="313" spans="1:14" x14ac:dyDescent="0.2">
      <c r="A313" s="282" t="s">
        <v>364</v>
      </c>
      <c r="B313" s="302">
        <f>'Ind T6'!V126</f>
        <v>1.9072653926251619</v>
      </c>
      <c r="C313" s="299" t="str">
        <f>CONCATENATE("(",ROUND((B313/$H315)*100,1),")")</f>
        <v>(41.1)</v>
      </c>
      <c r="D313" s="302">
        <f>'Ind T6'!W126</f>
        <v>0.10646813022631681</v>
      </c>
      <c r="E313" s="299" t="str">
        <f>CONCATENATE("(",ROUND((D313/$H315)*100,1),")")</f>
        <v>(2.3)</v>
      </c>
      <c r="F313" s="302">
        <f>'Ind T6'!X126</f>
        <v>0.30320514736773901</v>
      </c>
      <c r="G313" s="299" t="str">
        <f>CONCATENATE("(",ROUND((F313/$H315)*100,1),")")</f>
        <v>(6.5)</v>
      </c>
      <c r="H313" s="302">
        <f>SUM(B313,D313,F313)</f>
        <v>2.3169386702192178</v>
      </c>
      <c r="I313" s="299" t="str">
        <f>CONCATENATE("(",ROUND((H313/$H315)*100,1),")")</f>
        <v>(50)</v>
      </c>
      <c r="K313" s="302">
        <f>B313-B303</f>
        <v>-0.13775006483093932</v>
      </c>
      <c r="L313" s="302">
        <f>D313-D303</f>
        <v>3.9075735771725156E-3</v>
      </c>
      <c r="M313" s="302">
        <f>F313-F303</f>
        <v>5.7020871404719342E-3</v>
      </c>
      <c r="N313" s="302">
        <f>SUM(K313:M313)</f>
        <v>-0.12814040411329486</v>
      </c>
    </row>
    <row r="314" spans="1:14" x14ac:dyDescent="0.2">
      <c r="A314" s="282" t="s">
        <v>365</v>
      </c>
      <c r="B314" s="302">
        <f>'Ind T6'!V125</f>
        <v>1.5376992072151394</v>
      </c>
      <c r="C314" s="299" t="str">
        <f>CONCATENATE("(",ROUND((B314/$H315)*100,1),")")</f>
        <v>(33.2)</v>
      </c>
      <c r="D314" s="302">
        <f>'Ind T6'!W125</f>
        <v>0.61668843531203954</v>
      </c>
      <c r="E314" s="299" t="str">
        <f>CONCATENATE("(",ROUND((D314/$H315)*100,1),")")</f>
        <v>(13.3)</v>
      </c>
      <c r="F314" s="302">
        <f>'Ind T6'!X125</f>
        <v>0.16467368725359566</v>
      </c>
      <c r="G314" s="299" t="str">
        <f>CONCATENATE("(",ROUND((F314/$H315)*100,1),")")</f>
        <v>(3.6)</v>
      </c>
      <c r="H314" s="302">
        <f t="shared" ref="H314" si="241">SUM(B314,D314,F314)</f>
        <v>2.3190613297807747</v>
      </c>
      <c r="I314" s="299" t="str">
        <f>CONCATENATE("(",ROUND((H314/$H315)*100,1),")")</f>
        <v>(50)</v>
      </c>
      <c r="K314" s="302">
        <f t="shared" ref="K314:K315" si="242">B314-B304</f>
        <v>-0.12340564445750024</v>
      </c>
      <c r="L314" s="302">
        <f t="shared" ref="L314:L315" si="243">D314-D304</f>
        <v>-6.2955037718118279E-2</v>
      </c>
      <c r="M314" s="302">
        <f t="shared" ref="M314:M315" si="244">F314-F304</f>
        <v>-2.4989137110884019E-3</v>
      </c>
      <c r="N314" s="302">
        <f t="shared" ref="N314:N315" si="245">SUM(K314:M314)</f>
        <v>-0.18885959588670692</v>
      </c>
    </row>
    <row r="315" spans="1:14" x14ac:dyDescent="0.2">
      <c r="A315" s="282" t="s">
        <v>363</v>
      </c>
      <c r="B315" s="302">
        <f>SUM(B313:B314)</f>
        <v>3.4449645998403016</v>
      </c>
      <c r="C315" s="299" t="str">
        <f>CONCATENATE("(",ROUND((B315/$H315)*100,1),")")</f>
        <v>(74.3)</v>
      </c>
      <c r="D315" s="302">
        <f>SUM(D313:D314)</f>
        <v>0.72315656553835639</v>
      </c>
      <c r="E315" s="299" t="str">
        <f>CONCATENATE("(",ROUND((D315/$H315)*100,1),")")</f>
        <v>(15.6)</v>
      </c>
      <c r="F315" s="302">
        <f>SUM(F313:F314)</f>
        <v>0.46787883462133467</v>
      </c>
      <c r="G315" s="299" t="str">
        <f>CONCATENATE("(",ROUND((F315/$H315)*100,1),")")</f>
        <v>(10.1)</v>
      </c>
      <c r="H315" s="302">
        <f>SUM(H313:H314)</f>
        <v>4.6359999999999921</v>
      </c>
      <c r="I315" s="299" t="str">
        <f>CONCATENATE("(",ROUND((H315/$H315)*100,1),")")</f>
        <v>(100)</v>
      </c>
      <c r="K315" s="302">
        <f t="shared" si="242"/>
        <v>-0.26115570928843912</v>
      </c>
      <c r="L315" s="302">
        <f t="shared" si="243"/>
        <v>-5.9047464140945749E-2</v>
      </c>
      <c r="M315" s="302">
        <f t="shared" si="244"/>
        <v>3.2031734293835323E-3</v>
      </c>
      <c r="N315" s="302">
        <f t="shared" si="245"/>
        <v>-0.31700000000000134</v>
      </c>
    </row>
    <row r="316" spans="1:14" x14ac:dyDescent="0.2">
      <c r="A316" s="293"/>
      <c r="B316" s="294"/>
      <c r="C316" s="293"/>
      <c r="D316" s="294"/>
      <c r="E316" s="293"/>
      <c r="F316" s="294"/>
      <c r="G316" s="293"/>
      <c r="H316" s="294"/>
      <c r="I316" s="293"/>
      <c r="J316" s="293"/>
      <c r="K316" s="294"/>
      <c r="L316" s="294"/>
      <c r="M316" s="294"/>
      <c r="N316" s="294"/>
    </row>
    <row r="320" spans="1:14" x14ac:dyDescent="0.2">
      <c r="A320" s="288"/>
      <c r="B320" s="289" t="s">
        <v>372</v>
      </c>
      <c r="C320" s="288"/>
      <c r="D320" s="289"/>
      <c r="E320" s="288"/>
      <c r="F320" s="289" t="str">
        <f>name!B18</f>
        <v>Real estate</v>
      </c>
      <c r="G320" s="288"/>
      <c r="H320" s="291"/>
      <c r="I320" s="288"/>
      <c r="J320" s="290"/>
      <c r="K320" s="291"/>
      <c r="L320" s="291"/>
      <c r="M320" s="291"/>
      <c r="N320" s="291"/>
    </row>
    <row r="321" spans="1:14" x14ac:dyDescent="0.2">
      <c r="N321" s="287" t="s">
        <v>370</v>
      </c>
    </row>
    <row r="322" spans="1:14" x14ac:dyDescent="0.2">
      <c r="A322" s="182" t="s">
        <v>371</v>
      </c>
      <c r="B322" s="372" t="s">
        <v>369</v>
      </c>
      <c r="C322" s="372"/>
      <c r="D322" s="372" t="s">
        <v>368</v>
      </c>
      <c r="E322" s="372"/>
      <c r="F322" s="372" t="s">
        <v>367</v>
      </c>
      <c r="G322" s="372"/>
      <c r="H322" s="372" t="s">
        <v>33</v>
      </c>
      <c r="I322" s="372"/>
      <c r="J322" s="182"/>
      <c r="K322" s="297" t="s">
        <v>345</v>
      </c>
      <c r="L322" s="297" t="s">
        <v>347</v>
      </c>
      <c r="M322" s="297" t="s">
        <v>343</v>
      </c>
      <c r="N322" s="297" t="s">
        <v>33</v>
      </c>
    </row>
    <row r="323" spans="1:14" x14ac:dyDescent="0.2">
      <c r="A323" s="292">
        <f>$A$8</f>
        <v>2020</v>
      </c>
      <c r="B323" s="287" t="s">
        <v>66</v>
      </c>
      <c r="C323" s="20" t="s">
        <v>366</v>
      </c>
      <c r="D323" s="287" t="s">
        <v>66</v>
      </c>
      <c r="E323" s="20" t="s">
        <v>366</v>
      </c>
      <c r="F323" s="287" t="s">
        <v>66</v>
      </c>
      <c r="G323" s="20" t="s">
        <v>366</v>
      </c>
      <c r="H323" s="287" t="s">
        <v>66</v>
      </c>
      <c r="I323" s="20" t="s">
        <v>366</v>
      </c>
      <c r="J323" s="182"/>
      <c r="K323" s="286" t="str">
        <f>CONCATENATE(A323," - ",A328)</f>
        <v>2020 - 2025</v>
      </c>
      <c r="L323" s="285"/>
      <c r="M323" s="285"/>
    </row>
    <row r="324" spans="1:14" x14ac:dyDescent="0.2">
      <c r="A324" s="282" t="s">
        <v>364</v>
      </c>
      <c r="B324" s="302">
        <f>'Ind T6'!L135</f>
        <v>2.6226982387214903</v>
      </c>
      <c r="C324" s="299" t="str">
        <f>CONCATENATE("(",ROUND((B324/$H326)*100,1),")")</f>
        <v>(34.2)</v>
      </c>
      <c r="D324" s="302">
        <f>'Ind T6'!M135</f>
        <v>0.32528977023456201</v>
      </c>
      <c r="E324" s="299" t="str">
        <f>CONCATENATE("(",ROUND((D324/$H326)*100,1),")")</f>
        <v>(4.2)</v>
      </c>
      <c r="F324" s="302">
        <f>'Ind T6'!N135</f>
        <v>1.1434608164322251</v>
      </c>
      <c r="G324" s="299" t="str">
        <f>CONCATENATE("(",ROUND((F324/$H326)*100,1),")")</f>
        <v>(14.9)</v>
      </c>
      <c r="H324" s="302">
        <f>SUM(B324,D324,F324)</f>
        <v>4.0914488253882775</v>
      </c>
      <c r="I324" s="299" t="str">
        <f>CONCATENATE("(",ROUND((H324/$H326)*100,1),")")</f>
        <v>(53.3)</v>
      </c>
      <c r="K324" s="302">
        <f>B329-B324</f>
        <v>-0.21025109441835044</v>
      </c>
      <c r="L324" s="302">
        <f>D329-D324</f>
        <v>-2.5237050164320707E-2</v>
      </c>
      <c r="M324" s="302">
        <f>F329-F324</f>
        <v>-3.6349681206026219E-2</v>
      </c>
      <c r="N324" s="302">
        <f>SUM(K324:M324)</f>
        <v>-0.27183782578869736</v>
      </c>
    </row>
    <row r="325" spans="1:14" x14ac:dyDescent="0.2">
      <c r="A325" s="282" t="s">
        <v>365</v>
      </c>
      <c r="B325" s="302">
        <f>'Ind T6'!L134</f>
        <v>2.3603294824461205</v>
      </c>
      <c r="C325" s="299" t="str">
        <f>CONCATENATE("(",ROUND((B325/$H326)*100,1),")")</f>
        <v>(30.8)</v>
      </c>
      <c r="D325" s="302">
        <f>'Ind T6'!M134</f>
        <v>1.081924856251429</v>
      </c>
      <c r="E325" s="299" t="str">
        <f>CONCATENATE("(",ROUND((D325/$H326)*100,1),")")</f>
        <v>(14.1)</v>
      </c>
      <c r="F325" s="302">
        <f>'Ind T6'!N134</f>
        <v>0.13929683591416997</v>
      </c>
      <c r="G325" s="299" t="str">
        <f>CONCATENATE("(",ROUND((F325/$H326)*100,1),")")</f>
        <v>(1.8)</v>
      </c>
      <c r="H325" s="302">
        <f t="shared" ref="H325" si="246">SUM(B325,D325,F325)</f>
        <v>3.581551174611719</v>
      </c>
      <c r="I325" s="299" t="str">
        <f>CONCATENATE("(",ROUND((H325/$H326)*100,1),")")</f>
        <v>(46.7)</v>
      </c>
      <c r="K325" s="302">
        <f t="shared" ref="K325:K326" si="247">B330-B325</f>
        <v>-0.11041897636300435</v>
      </c>
      <c r="L325" s="302">
        <f t="shared" ref="L325:L326" si="248">D330-D325</f>
        <v>-0.12939808943894471</v>
      </c>
      <c r="M325" s="302">
        <f t="shared" ref="M325:M326" si="249">F330-F325</f>
        <v>-9.3451084093522652E-3</v>
      </c>
      <c r="N325" s="302">
        <f t="shared" ref="N325:N326" si="250">SUM(K325:M325)</f>
        <v>-0.24916217421130132</v>
      </c>
    </row>
    <row r="326" spans="1:14" x14ac:dyDescent="0.2">
      <c r="A326" s="282" t="s">
        <v>363</v>
      </c>
      <c r="B326" s="302">
        <f>SUM(B324:B325)</f>
        <v>4.9830277211676108</v>
      </c>
      <c r="C326" s="299" t="str">
        <f>CONCATENATE("(",ROUND((B326/$H326)*100,1),")")</f>
        <v>(64.9)</v>
      </c>
      <c r="D326" s="302">
        <f>SUM(D324:D325)</f>
        <v>1.407214626485991</v>
      </c>
      <c r="E326" s="299" t="str">
        <f>CONCATENATE("(",ROUND((D326/$H326)*100,1),")")</f>
        <v>(18.3)</v>
      </c>
      <c r="F326" s="302">
        <f>SUM(F324:F325)</f>
        <v>1.282757652346395</v>
      </c>
      <c r="G326" s="299" t="str">
        <f>CONCATENATE("(",ROUND((F326/$H326)*100,1),")")</f>
        <v>(16.7)</v>
      </c>
      <c r="H326" s="302">
        <f>SUM(H324:H325)</f>
        <v>7.6729999999999965</v>
      </c>
      <c r="I326" s="299" t="str">
        <f>CONCATENATE("(",ROUND((H326/$H326)*100,1),")")</f>
        <v>(100)</v>
      </c>
      <c r="K326" s="302">
        <f t="shared" si="247"/>
        <v>-0.32067007078135479</v>
      </c>
      <c r="L326" s="302">
        <f t="shared" si="248"/>
        <v>-0.15463513960326547</v>
      </c>
      <c r="M326" s="302">
        <f t="shared" si="249"/>
        <v>-4.5694789615378539E-2</v>
      </c>
      <c r="N326" s="302">
        <f t="shared" si="250"/>
        <v>-0.5209999999999988</v>
      </c>
    </row>
    <row r="327" spans="1:14" x14ac:dyDescent="0.2">
      <c r="B327" s="302"/>
      <c r="C327" s="284"/>
      <c r="D327" s="302"/>
      <c r="E327" s="284"/>
      <c r="F327" s="302"/>
      <c r="G327" s="284"/>
      <c r="H327" s="302"/>
      <c r="I327" s="284"/>
    </row>
    <row r="328" spans="1:14" x14ac:dyDescent="0.2">
      <c r="A328" s="292">
        <f>$A$13</f>
        <v>2025</v>
      </c>
      <c r="B328" s="302"/>
      <c r="C328" s="284"/>
      <c r="D328" s="302"/>
      <c r="E328" s="284"/>
      <c r="F328" s="302"/>
      <c r="G328" s="284"/>
      <c r="H328" s="302"/>
      <c r="I328" s="284"/>
      <c r="K328" s="286" t="str">
        <f>CONCATENATE(A328," - ",A333)</f>
        <v>2025 - 2035</v>
      </c>
    </row>
    <row r="329" spans="1:14" x14ac:dyDescent="0.2">
      <c r="A329" s="282" t="s">
        <v>364</v>
      </c>
      <c r="B329" s="302">
        <f>'Ind T6'!Q135</f>
        <v>2.4124471443031399</v>
      </c>
      <c r="C329" s="299" t="str">
        <f>CONCATENATE("(",ROUND((B329/$H331)*100,1),")")</f>
        <v>(33.7)</v>
      </c>
      <c r="D329" s="302">
        <f>'Ind T6'!R135</f>
        <v>0.30005272007024131</v>
      </c>
      <c r="E329" s="299" t="str">
        <f>CONCATENATE("(",ROUND((D329/$H331)*100,1),")")</f>
        <v>(4.2)</v>
      </c>
      <c r="F329" s="302">
        <f>'Ind T6'!S135</f>
        <v>1.1071111352261989</v>
      </c>
      <c r="G329" s="299" t="str">
        <f>CONCATENATE("(",ROUND((F329/$H331)*100,1),")")</f>
        <v>(15.5)</v>
      </c>
      <c r="H329" s="302">
        <f>SUM(B329,D329,F329)</f>
        <v>3.8196109995995799</v>
      </c>
      <c r="I329" s="299" t="str">
        <f>CONCATENATE("(",ROUND((H329/$H331)*100,1),")")</f>
        <v>(53.4)</v>
      </c>
      <c r="K329" s="302">
        <f>B334-B329</f>
        <v>0.14264356626301122</v>
      </c>
      <c r="L329" s="302">
        <f>D334-D329</f>
        <v>2.3549701520150235E-2</v>
      </c>
      <c r="M329" s="302">
        <f>F334-F329</f>
        <v>0.16686861865151137</v>
      </c>
      <c r="N329" s="302">
        <f>SUM(K329:M329)</f>
        <v>0.33306188643467283</v>
      </c>
    </row>
    <row r="330" spans="1:14" x14ac:dyDescent="0.2">
      <c r="A330" s="282" t="s">
        <v>365</v>
      </c>
      <c r="B330" s="302">
        <f>'Ind T6'!Q134</f>
        <v>2.2499105060831162</v>
      </c>
      <c r="C330" s="299" t="str">
        <f>CONCATENATE("(",ROUND((B330/$H331)*100,1),")")</f>
        <v>(31.5)</v>
      </c>
      <c r="D330" s="302">
        <f>'Ind T6'!R134</f>
        <v>0.95252676681248427</v>
      </c>
      <c r="E330" s="299" t="str">
        <f>CONCATENATE("(",ROUND((D330/$H331)*100,1),")")</f>
        <v>(13.3)</v>
      </c>
      <c r="F330" s="302">
        <f>'Ind T6'!S134</f>
        <v>0.1299517275048177</v>
      </c>
      <c r="G330" s="299" t="str">
        <f>CONCATENATE("(",ROUND((F330/$H331)*100,1),")")</f>
        <v>(1.8)</v>
      </c>
      <c r="H330" s="302">
        <f t="shared" ref="H330" si="251">SUM(B330,D330,F330)</f>
        <v>3.3323890004004184</v>
      </c>
      <c r="I330" s="299" t="str">
        <f>CONCATENATE("(",ROUND((H330/$H331)*100,1),")")</f>
        <v>(46.6)</v>
      </c>
      <c r="K330" s="302">
        <f t="shared" ref="K330:K331" si="252">B335-B330</f>
        <v>0.30267464679729583</v>
      </c>
      <c r="L330" s="302">
        <f t="shared" ref="L330:L331" si="253">D335-D330</f>
        <v>-2.8554158644003236E-2</v>
      </c>
      <c r="M330" s="302">
        <f t="shared" ref="M330:M331" si="254">F335-F330</f>
        <v>8.8176254120359565E-3</v>
      </c>
      <c r="N330" s="302">
        <f t="shared" ref="N330:N331" si="255">SUM(K330:M330)</f>
        <v>0.28293811356532855</v>
      </c>
    </row>
    <row r="331" spans="1:14" x14ac:dyDescent="0.2">
      <c r="A331" s="282" t="s">
        <v>363</v>
      </c>
      <c r="B331" s="302">
        <f>SUM(B329:B330)</f>
        <v>4.662357650386256</v>
      </c>
      <c r="C331" s="299" t="str">
        <f>CONCATENATE("(",ROUND((B331/$H331)*100,1),")")</f>
        <v>(65.2)</v>
      </c>
      <c r="D331" s="302">
        <f>SUM(D329:D330)</f>
        <v>1.2525794868827256</v>
      </c>
      <c r="E331" s="299" t="str">
        <f>CONCATENATE("(",ROUND((D331/$H331)*100,1),")")</f>
        <v>(17.5)</v>
      </c>
      <c r="F331" s="302">
        <f>SUM(F329:F330)</f>
        <v>1.2370628627310165</v>
      </c>
      <c r="G331" s="299" t="str">
        <f>CONCATENATE("(",ROUND((F331/$H331)*100,1),")")</f>
        <v>(17.3)</v>
      </c>
      <c r="H331" s="302">
        <f>SUM(H329:H330)</f>
        <v>7.1519999999999984</v>
      </c>
      <c r="I331" s="299" t="str">
        <f>CONCATENATE("(",ROUND((H331/$H331)*100,1),")")</f>
        <v>(100)</v>
      </c>
      <c r="K331" s="302">
        <f t="shared" si="252"/>
        <v>0.44531821306030661</v>
      </c>
      <c r="L331" s="302">
        <f t="shared" si="253"/>
        <v>-5.0044571238530011E-3</v>
      </c>
      <c r="M331" s="302">
        <f t="shared" si="254"/>
        <v>0.17568624406354738</v>
      </c>
      <c r="N331" s="302">
        <f t="shared" si="255"/>
        <v>0.61600000000000099</v>
      </c>
    </row>
    <row r="332" spans="1:14" x14ac:dyDescent="0.2">
      <c r="B332" s="302"/>
      <c r="C332" s="284"/>
      <c r="D332" s="302"/>
      <c r="E332" s="284"/>
      <c r="F332" s="302"/>
      <c r="G332" s="284"/>
      <c r="H332" s="302"/>
      <c r="I332" s="284"/>
    </row>
    <row r="333" spans="1:14" x14ac:dyDescent="0.2">
      <c r="A333" s="292">
        <f>$A$18</f>
        <v>2035</v>
      </c>
      <c r="B333" s="302"/>
      <c r="C333" s="284"/>
      <c r="D333" s="302"/>
      <c r="E333" s="284"/>
      <c r="F333" s="302"/>
      <c r="G333" s="284"/>
      <c r="H333" s="302"/>
      <c r="I333" s="284"/>
      <c r="K333" s="286" t="str">
        <f>CONCATENATE(A323," - ",A333)</f>
        <v>2020 - 2035</v>
      </c>
    </row>
    <row r="334" spans="1:14" x14ac:dyDescent="0.2">
      <c r="A334" s="282" t="s">
        <v>364</v>
      </c>
      <c r="B334" s="302">
        <f>'Ind T6'!V135</f>
        <v>2.5550907105661511</v>
      </c>
      <c r="C334" s="299" t="str">
        <f>CONCATENATE("(",ROUND((B334/$H336)*100,1),")")</f>
        <v>(32.9)</v>
      </c>
      <c r="D334" s="302">
        <f>'Ind T6'!W135</f>
        <v>0.32360242159039154</v>
      </c>
      <c r="E334" s="299" t="str">
        <f>CONCATENATE("(",ROUND((D334/$H336)*100,1),")")</f>
        <v>(4.2)</v>
      </c>
      <c r="F334" s="302">
        <f>'Ind T6'!X135</f>
        <v>1.2739797538777102</v>
      </c>
      <c r="G334" s="299" t="str">
        <f>CONCATENATE("(",ROUND((F334/$H336)*100,1),")")</f>
        <v>(16.4)</v>
      </c>
      <c r="H334" s="302">
        <f>SUM(B334,D334,F334)</f>
        <v>4.152672886034253</v>
      </c>
      <c r="I334" s="299" t="str">
        <f>CONCATENATE("(",ROUND((H334/$H336)*100,1),")")</f>
        <v>(53.5)</v>
      </c>
      <c r="K334" s="302">
        <f>B334-B324</f>
        <v>-6.7607528155339214E-2</v>
      </c>
      <c r="L334" s="302">
        <f>D334-D324</f>
        <v>-1.6873486441704721E-3</v>
      </c>
      <c r="M334" s="302">
        <f>F334-F324</f>
        <v>0.13051893744548515</v>
      </c>
      <c r="N334" s="302">
        <f>SUM(K334:M334)</f>
        <v>6.1224060645975464E-2</v>
      </c>
    </row>
    <row r="335" spans="1:14" x14ac:dyDescent="0.2">
      <c r="A335" s="282" t="s">
        <v>365</v>
      </c>
      <c r="B335" s="302">
        <f>'Ind T6'!V134</f>
        <v>2.552585152880412</v>
      </c>
      <c r="C335" s="299" t="str">
        <f>CONCATENATE("(",ROUND((B335/$H336)*100,1),")")</f>
        <v>(32.9)</v>
      </c>
      <c r="D335" s="302">
        <f>'Ind T6'!W134</f>
        <v>0.92397260816848104</v>
      </c>
      <c r="E335" s="299" t="str">
        <f>CONCATENATE("(",ROUND((D335/$H336)*100,1),")")</f>
        <v>(11.9)</v>
      </c>
      <c r="F335" s="302">
        <f>'Ind T6'!X134</f>
        <v>0.13876935291685366</v>
      </c>
      <c r="G335" s="299" t="str">
        <f>CONCATENATE("(",ROUND((F335/$H336)*100,1),")")</f>
        <v>(1.8)</v>
      </c>
      <c r="H335" s="302">
        <f>SUM(B335,D335,F335)</f>
        <v>3.6153271139657468</v>
      </c>
      <c r="I335" s="299" t="str">
        <f>CONCATENATE("(",ROUND((H335/$H336)*100,1),")")</f>
        <v>(46.5)</v>
      </c>
      <c r="K335" s="302">
        <f t="shared" ref="K335:K336" si="256">B335-B325</f>
        <v>0.19225567043429148</v>
      </c>
      <c r="L335" s="302">
        <f t="shared" ref="L335:L336" si="257">D335-D325</f>
        <v>-0.15795224808294794</v>
      </c>
      <c r="M335" s="302">
        <f t="shared" ref="M335:M336" si="258">F335-F325</f>
        <v>-5.2748299731630865E-4</v>
      </c>
      <c r="N335" s="302">
        <f t="shared" ref="N335:N336" si="259">SUM(K335:M335)</f>
        <v>3.3775939354027229E-2</v>
      </c>
    </row>
    <row r="336" spans="1:14" x14ac:dyDescent="0.2">
      <c r="A336" s="282" t="s">
        <v>363</v>
      </c>
      <c r="B336" s="302">
        <f>SUM(B334:B335)</f>
        <v>5.1076758634465627</v>
      </c>
      <c r="C336" s="299" t="str">
        <f>CONCATENATE("(",ROUND((B336/$H336)*100,1),")")</f>
        <v>(65.8)</v>
      </c>
      <c r="D336" s="302">
        <f>SUM(D334:D335)</f>
        <v>1.2475750297588726</v>
      </c>
      <c r="E336" s="299" t="str">
        <f>CONCATENATE("(",ROUND((D336/$H336)*100,1),")")</f>
        <v>(16.1)</v>
      </c>
      <c r="F336" s="302">
        <f>SUM(F334:F335)</f>
        <v>1.4127491067945639</v>
      </c>
      <c r="G336" s="299" t="str">
        <f>CONCATENATE("(",ROUND((F336/$H336)*100,1),")")</f>
        <v>(18.2)</v>
      </c>
      <c r="H336" s="302">
        <f>SUM(H334:H335)</f>
        <v>7.7679999999999998</v>
      </c>
      <c r="I336" s="299" t="str">
        <f>CONCATENATE("(",ROUND((H336/$H336)*100,1),")")</f>
        <v>(100)</v>
      </c>
      <c r="K336" s="302">
        <f t="shared" si="256"/>
        <v>0.12464814227895182</v>
      </c>
      <c r="L336" s="302">
        <f t="shared" si="257"/>
        <v>-0.15963959672711847</v>
      </c>
      <c r="M336" s="302">
        <f t="shared" si="258"/>
        <v>0.12999145444816884</v>
      </c>
      <c r="N336" s="302">
        <f t="shared" si="259"/>
        <v>9.5000000000002194E-2</v>
      </c>
    </row>
    <row r="337" spans="1:14" x14ac:dyDescent="0.2">
      <c r="A337" s="293"/>
      <c r="B337" s="294"/>
      <c r="C337" s="293"/>
      <c r="D337" s="294"/>
      <c r="E337" s="293"/>
      <c r="F337" s="294"/>
      <c r="G337" s="293"/>
      <c r="H337" s="294"/>
      <c r="I337" s="293"/>
      <c r="J337" s="293"/>
      <c r="K337" s="294"/>
      <c r="L337" s="294"/>
      <c r="M337" s="294"/>
      <c r="N337" s="294"/>
    </row>
    <row r="341" spans="1:14" x14ac:dyDescent="0.2">
      <c r="A341" s="288"/>
      <c r="B341" s="289" t="s">
        <v>372</v>
      </c>
      <c r="C341" s="288"/>
      <c r="D341" s="289"/>
      <c r="E341" s="288"/>
      <c r="F341" s="289" t="str">
        <f>name!B19</f>
        <v>Professional services</v>
      </c>
      <c r="G341" s="288"/>
      <c r="H341" s="291"/>
      <c r="I341" s="288"/>
      <c r="J341" s="290"/>
      <c r="K341" s="291"/>
      <c r="L341" s="291"/>
      <c r="M341" s="291"/>
      <c r="N341" s="291"/>
    </row>
    <row r="342" spans="1:14" x14ac:dyDescent="0.2">
      <c r="N342" s="287" t="s">
        <v>370</v>
      </c>
    </row>
    <row r="343" spans="1:14" x14ac:dyDescent="0.2">
      <c r="A343" s="182" t="s">
        <v>371</v>
      </c>
      <c r="B343" s="372" t="s">
        <v>369</v>
      </c>
      <c r="C343" s="372"/>
      <c r="D343" s="372" t="s">
        <v>368</v>
      </c>
      <c r="E343" s="372"/>
      <c r="F343" s="372" t="s">
        <v>367</v>
      </c>
      <c r="G343" s="372"/>
      <c r="H343" s="372" t="s">
        <v>33</v>
      </c>
      <c r="I343" s="372"/>
      <c r="J343" s="182"/>
      <c r="K343" s="297" t="s">
        <v>345</v>
      </c>
      <c r="L343" s="297" t="s">
        <v>347</v>
      </c>
      <c r="M343" s="297" t="s">
        <v>343</v>
      </c>
      <c r="N343" s="297" t="s">
        <v>33</v>
      </c>
    </row>
    <row r="344" spans="1:14" x14ac:dyDescent="0.2">
      <c r="A344" s="292">
        <f>$A$8</f>
        <v>2020</v>
      </c>
      <c r="B344" s="287" t="s">
        <v>66</v>
      </c>
      <c r="C344" s="20" t="s">
        <v>366</v>
      </c>
      <c r="D344" s="287" t="s">
        <v>66</v>
      </c>
      <c r="E344" s="20" t="s">
        <v>366</v>
      </c>
      <c r="F344" s="287" t="s">
        <v>66</v>
      </c>
      <c r="G344" s="20" t="s">
        <v>366</v>
      </c>
      <c r="H344" s="287" t="s">
        <v>66</v>
      </c>
      <c r="I344" s="20" t="s">
        <v>366</v>
      </c>
      <c r="J344" s="182"/>
      <c r="K344" s="286" t="str">
        <f>CONCATENATE(A344," - ",A349)</f>
        <v>2020 - 2025</v>
      </c>
      <c r="L344" s="285"/>
      <c r="M344" s="285"/>
    </row>
    <row r="345" spans="1:14" x14ac:dyDescent="0.2">
      <c r="A345" s="282" t="s">
        <v>364</v>
      </c>
      <c r="B345" s="302">
        <f>'Ind T6'!L144</f>
        <v>10.802081425683218</v>
      </c>
      <c r="C345" s="299" t="str">
        <f>CONCATENATE("(",ROUND((B345/$H347)*100,1),")")</f>
        <v>(34.6)</v>
      </c>
      <c r="D345" s="302">
        <f>'Ind T6'!M144</f>
        <v>1.2891422978771847</v>
      </c>
      <c r="E345" s="299" t="str">
        <f>CONCATENATE("(",ROUND((D345/$H347)*100,1),")")</f>
        <v>(4.1)</v>
      </c>
      <c r="F345" s="302">
        <f>'Ind T6'!N144</f>
        <v>2.2787423271199447</v>
      </c>
      <c r="G345" s="299" t="str">
        <f>CONCATENATE("(",ROUND((F345/$H347)*100,1),")")</f>
        <v>(7.3)</v>
      </c>
      <c r="H345" s="302">
        <f>SUM(B345,D345,F345)</f>
        <v>14.369966050680347</v>
      </c>
      <c r="I345" s="299" t="str">
        <f>CONCATENATE("(",ROUND((H345/$H347)*100,1),")")</f>
        <v>(46)</v>
      </c>
      <c r="K345" s="302">
        <f>B350-B345</f>
        <v>0.15469520866827224</v>
      </c>
      <c r="L345" s="302">
        <f>D350-D345</f>
        <v>6.6769689987854042E-2</v>
      </c>
      <c r="M345" s="302">
        <f>F350-F345</f>
        <v>0.10525022555493324</v>
      </c>
      <c r="N345" s="302">
        <f>SUM(K345:M345)</f>
        <v>0.32671512421105953</v>
      </c>
    </row>
    <row r="346" spans="1:14" x14ac:dyDescent="0.2">
      <c r="A346" s="282" t="s">
        <v>365</v>
      </c>
      <c r="B346" s="302">
        <f>'Ind T6'!L143</f>
        <v>8.0931179022221418</v>
      </c>
      <c r="C346" s="299" t="str">
        <f>CONCATENATE("(",ROUND((B346/$H347)*100,1),")")</f>
        <v>(25.9)</v>
      </c>
      <c r="D346" s="302">
        <f>'Ind T6'!M143</f>
        <v>5.3631605580917903</v>
      </c>
      <c r="E346" s="299" t="str">
        <f>CONCATENATE("(",ROUND((D346/$H347)*100,1),")")</f>
        <v>(17.2)</v>
      </c>
      <c r="F346" s="302">
        <f>'Ind T6'!N143</f>
        <v>3.4157554890057451</v>
      </c>
      <c r="G346" s="299" t="str">
        <f>CONCATENATE("(",ROUND((F346/$H347)*100,1),")")</f>
        <v>(10.9)</v>
      </c>
      <c r="H346" s="302">
        <f t="shared" ref="H346" si="260">SUM(B346,D346,F346)</f>
        <v>16.872033949319679</v>
      </c>
      <c r="I346" s="299" t="str">
        <f>CONCATENATE("(",ROUND((H346/$H347)*100,1),")")</f>
        <v>(54)</v>
      </c>
      <c r="K346" s="302">
        <f t="shared" ref="K346:K347" si="261">B351-B346</f>
        <v>0.34667075879602116</v>
      </c>
      <c r="L346" s="302">
        <f t="shared" ref="L346:L347" si="262">D351-D346</f>
        <v>0.25196415395778882</v>
      </c>
      <c r="M346" s="302">
        <f t="shared" ref="M346:M347" si="263">F351-F346</f>
        <v>0.24764996303510589</v>
      </c>
      <c r="N346" s="302">
        <f t="shared" ref="N346:N347" si="264">SUM(K346:M346)</f>
        <v>0.84628487578891587</v>
      </c>
    </row>
    <row r="347" spans="1:14" x14ac:dyDescent="0.2">
      <c r="A347" s="282" t="s">
        <v>363</v>
      </c>
      <c r="B347" s="302">
        <f>SUM(B345:B346)</f>
        <v>18.89519932790536</v>
      </c>
      <c r="C347" s="299" t="str">
        <f>CONCATENATE("(",ROUND((B347/$H347)*100,1),")")</f>
        <v>(60.5)</v>
      </c>
      <c r="D347" s="302">
        <f>SUM(D345:D346)</f>
        <v>6.6523028559689745</v>
      </c>
      <c r="E347" s="299" t="str">
        <f>CONCATENATE("(",ROUND((D347/$H347)*100,1),")")</f>
        <v>(21.3)</v>
      </c>
      <c r="F347" s="302">
        <f>SUM(F345:F346)</f>
        <v>5.6944978161256898</v>
      </c>
      <c r="G347" s="299" t="str">
        <f>CONCATENATE("(",ROUND((F347/$H347)*100,1),")")</f>
        <v>(18.2)</v>
      </c>
      <c r="H347" s="302">
        <f>SUM(H345:H346)</f>
        <v>31.242000000000026</v>
      </c>
      <c r="I347" s="299" t="str">
        <f>CONCATENATE("(",ROUND((H347/$H347)*100,1),")")</f>
        <v>(100)</v>
      </c>
      <c r="K347" s="302">
        <f t="shared" si="261"/>
        <v>0.50136596746429518</v>
      </c>
      <c r="L347" s="302">
        <f t="shared" si="262"/>
        <v>0.31873384394564308</v>
      </c>
      <c r="M347" s="302">
        <f t="shared" si="263"/>
        <v>0.35290018859003958</v>
      </c>
      <c r="N347" s="302">
        <f t="shared" si="264"/>
        <v>1.1729999999999778</v>
      </c>
    </row>
    <row r="348" spans="1:14" x14ac:dyDescent="0.2">
      <c r="B348" s="302"/>
      <c r="C348" s="284"/>
      <c r="D348" s="302"/>
      <c r="E348" s="284"/>
      <c r="F348" s="302"/>
      <c r="G348" s="284"/>
      <c r="H348" s="302"/>
      <c r="I348" s="284"/>
    </row>
    <row r="349" spans="1:14" x14ac:dyDescent="0.2">
      <c r="A349" s="292">
        <f>$A$13</f>
        <v>2025</v>
      </c>
      <c r="B349" s="302"/>
      <c r="C349" s="284"/>
      <c r="D349" s="302"/>
      <c r="E349" s="284"/>
      <c r="F349" s="302"/>
      <c r="G349" s="284"/>
      <c r="H349" s="302"/>
      <c r="I349" s="284"/>
      <c r="K349" s="286" t="str">
        <f>CONCATENATE(A349," - ",A354)</f>
        <v>2025 - 2035</v>
      </c>
    </row>
    <row r="350" spans="1:14" x14ac:dyDescent="0.2">
      <c r="A350" s="282" t="s">
        <v>364</v>
      </c>
      <c r="B350" s="302">
        <f>'Ind T6'!Q144</f>
        <v>10.95677663435149</v>
      </c>
      <c r="C350" s="299" t="str">
        <f>CONCATENATE("(",ROUND((B350/$H352)*100,1),")")</f>
        <v>(33.8)</v>
      </c>
      <c r="D350" s="302">
        <f>'Ind T6'!R144</f>
        <v>1.3559119878650387</v>
      </c>
      <c r="E350" s="299" t="str">
        <f>CONCATENATE("(",ROUND((D350/$H352)*100,1),")")</f>
        <v>(4.2)</v>
      </c>
      <c r="F350" s="302">
        <f>'Ind T6'!S144</f>
        <v>2.383992552674878</v>
      </c>
      <c r="G350" s="299" t="str">
        <f>CONCATENATE("(",ROUND((F350/$H352)*100,1),")")</f>
        <v>(7.4)</v>
      </c>
      <c r="H350" s="302">
        <f>SUM(B350,D350,F350)</f>
        <v>14.696681174891406</v>
      </c>
      <c r="I350" s="299" t="str">
        <f>CONCATENATE("(",ROUND((H350/$H352)*100,1),")")</f>
        <v>(45.3)</v>
      </c>
      <c r="K350" s="302">
        <f>B355-B350</f>
        <v>0.28702686467186389</v>
      </c>
      <c r="L350" s="302">
        <f>D355-D350</f>
        <v>0.12678906012285629</v>
      </c>
      <c r="M350" s="302">
        <f>F355-F350</f>
        <v>0.16729008240347554</v>
      </c>
      <c r="N350" s="302">
        <f>SUM(K350:M350)</f>
        <v>0.58110600719819572</v>
      </c>
    </row>
    <row r="351" spans="1:14" x14ac:dyDescent="0.2">
      <c r="A351" s="282" t="s">
        <v>365</v>
      </c>
      <c r="B351" s="302">
        <f>'Ind T6'!Q143</f>
        <v>8.4397886610181629</v>
      </c>
      <c r="C351" s="299" t="str">
        <f>CONCATENATE("(",ROUND((B351/$H352)*100,1),")")</f>
        <v>(26)</v>
      </c>
      <c r="D351" s="302">
        <f>'Ind T6'!R143</f>
        <v>5.6151247120495791</v>
      </c>
      <c r="E351" s="299" t="str">
        <f>CONCATENATE("(",ROUND((D351/$H352)*100,1),")")</f>
        <v>(17.3)</v>
      </c>
      <c r="F351" s="302">
        <f>'Ind T6'!S143</f>
        <v>3.663405452040851</v>
      </c>
      <c r="G351" s="299" t="str">
        <f>CONCATENATE("(",ROUND((F351/$H352)*100,1),")")</f>
        <v>(11.3)</v>
      </c>
      <c r="H351" s="302">
        <f t="shared" ref="H351" si="265">SUM(B351,D351,F351)</f>
        <v>17.718318825108593</v>
      </c>
      <c r="I351" s="299" t="str">
        <f>CONCATENATE("(",ROUND((H351/$H352)*100,1),")")</f>
        <v>(54.7)</v>
      </c>
      <c r="K351" s="302">
        <f t="shared" ref="K351:K352" si="266">B356-B351</f>
        <v>0.52942535459940387</v>
      </c>
      <c r="L351" s="302">
        <f t="shared" ref="L351:L352" si="267">D356-D351</f>
        <v>0.37196905123741697</v>
      </c>
      <c r="M351" s="302">
        <f t="shared" ref="M351:M352" si="268">F356-F351</f>
        <v>0.42149958696498135</v>
      </c>
      <c r="N351" s="302">
        <f t="shared" ref="N351:N352" si="269">SUM(K351:M351)</f>
        <v>1.3228939928018022</v>
      </c>
    </row>
    <row r="352" spans="1:14" x14ac:dyDescent="0.2">
      <c r="A352" s="282" t="s">
        <v>363</v>
      </c>
      <c r="B352" s="302">
        <f>SUM(B350:B351)</f>
        <v>19.396565295369655</v>
      </c>
      <c r="C352" s="299" t="str">
        <f>CONCATENATE("(",ROUND((B352/$H352)*100,1),")")</f>
        <v>(59.8)</v>
      </c>
      <c r="D352" s="302">
        <f>SUM(D350:D351)</f>
        <v>6.9710366999146176</v>
      </c>
      <c r="E352" s="299" t="str">
        <f>CONCATENATE("(",ROUND((D352/$H352)*100,1),")")</f>
        <v>(21.5)</v>
      </c>
      <c r="F352" s="302">
        <f>SUM(F350:F351)</f>
        <v>6.0473980047157294</v>
      </c>
      <c r="G352" s="299" t="str">
        <f>CONCATENATE("(",ROUND((F352/$H352)*100,1),")")</f>
        <v>(18.7)</v>
      </c>
      <c r="H352" s="302">
        <f>SUM(H350:H351)</f>
        <v>32.414999999999999</v>
      </c>
      <c r="I352" s="299" t="str">
        <f>CONCATENATE("(",ROUND((H352/$H352)*100,1),")")</f>
        <v>(100)</v>
      </c>
      <c r="K352" s="302">
        <f t="shared" si="266"/>
        <v>0.81645221927126599</v>
      </c>
      <c r="L352" s="302">
        <f t="shared" si="267"/>
        <v>0.49875811136027348</v>
      </c>
      <c r="M352" s="302">
        <f t="shared" si="268"/>
        <v>0.588789669368456</v>
      </c>
      <c r="N352" s="302">
        <f t="shared" si="269"/>
        <v>1.9039999999999955</v>
      </c>
    </row>
    <row r="353" spans="1:14" x14ac:dyDescent="0.2">
      <c r="B353" s="302"/>
      <c r="C353" s="284"/>
      <c r="D353" s="302"/>
      <c r="E353" s="284"/>
      <c r="F353" s="302"/>
      <c r="G353" s="284"/>
      <c r="H353" s="302"/>
      <c r="I353" s="284"/>
    </row>
    <row r="354" spans="1:14" x14ac:dyDescent="0.2">
      <c r="A354" s="292">
        <f>$A$18</f>
        <v>2035</v>
      </c>
      <c r="B354" s="302"/>
      <c r="C354" s="284"/>
      <c r="D354" s="302"/>
      <c r="E354" s="284"/>
      <c r="F354" s="302"/>
      <c r="G354" s="284"/>
      <c r="H354" s="302"/>
      <c r="I354" s="284"/>
      <c r="K354" s="286" t="str">
        <f>CONCATENATE(A344," - ",A354)</f>
        <v>2020 - 2035</v>
      </c>
    </row>
    <row r="355" spans="1:14" x14ac:dyDescent="0.2">
      <c r="A355" s="282" t="s">
        <v>364</v>
      </c>
      <c r="B355" s="302">
        <f>'Ind T6'!V144</f>
        <v>11.243803499023354</v>
      </c>
      <c r="C355" s="299" t="str">
        <f>CONCATENATE("(",ROUND((B355/$H357)*100,1),")")</f>
        <v>(32.8)</v>
      </c>
      <c r="D355" s="302">
        <f>'Ind T6'!W144</f>
        <v>1.482701047987895</v>
      </c>
      <c r="E355" s="299" t="str">
        <f>CONCATENATE("(",ROUND((D355/$H357)*100,1),")")</f>
        <v>(4.3)</v>
      </c>
      <c r="F355" s="302">
        <f>'Ind T6'!X144</f>
        <v>2.5512826350783535</v>
      </c>
      <c r="G355" s="299" t="str">
        <f>CONCATENATE("(",ROUND((F355/$H357)*100,1),")")</f>
        <v>(7.4)</v>
      </c>
      <c r="H355" s="302">
        <f>SUM(B355,D355,F355)</f>
        <v>15.277787182089602</v>
      </c>
      <c r="I355" s="299" t="str">
        <f>CONCATENATE("(",ROUND((H355/$H357)*100,1),")")</f>
        <v>(44.5)</v>
      </c>
      <c r="K355" s="302">
        <f>B355-B345</f>
        <v>0.44172207334013613</v>
      </c>
      <c r="L355" s="302">
        <f>D355-D345</f>
        <v>0.19355875011071033</v>
      </c>
      <c r="M355" s="302">
        <f>F355-F345</f>
        <v>0.27254030795840878</v>
      </c>
      <c r="N355" s="302">
        <f>SUM(K355:M355)</f>
        <v>0.90782113140925524</v>
      </c>
    </row>
    <row r="356" spans="1:14" x14ac:dyDescent="0.2">
      <c r="A356" s="282" t="s">
        <v>365</v>
      </c>
      <c r="B356" s="302">
        <f>'Ind T6'!V143</f>
        <v>8.9692140156175668</v>
      </c>
      <c r="C356" s="299" t="str">
        <f>CONCATENATE("(",ROUND((B356/$H357)*100,1),")")</f>
        <v>(26.1)</v>
      </c>
      <c r="D356" s="302">
        <f>'Ind T6'!W143</f>
        <v>5.9870937632869961</v>
      </c>
      <c r="E356" s="299" t="str">
        <f>CONCATENATE("(",ROUND((D356/$H357)*100,1),")")</f>
        <v>(17.4)</v>
      </c>
      <c r="F356" s="302">
        <f>'Ind T6'!X143</f>
        <v>4.0849050390058324</v>
      </c>
      <c r="G356" s="299" t="str">
        <f>CONCATENATE("(",ROUND((F356/$H357)*100,1),")")</f>
        <v>(11.9)</v>
      </c>
      <c r="H356" s="302">
        <f t="shared" ref="H356" si="270">SUM(B356,D356,F356)</f>
        <v>19.041212817910395</v>
      </c>
      <c r="I356" s="299" t="str">
        <f>CONCATENATE("(",ROUND((H356/$H357)*100,1),")")</f>
        <v>(55.5)</v>
      </c>
      <c r="K356" s="302">
        <f t="shared" ref="K356:K357" si="271">B356-B346</f>
        <v>0.87609611339542504</v>
      </c>
      <c r="L356" s="302">
        <f t="shared" ref="L356:L357" si="272">D356-D346</f>
        <v>0.62393320519520579</v>
      </c>
      <c r="M356" s="302">
        <f t="shared" ref="M356:M357" si="273">F356-F346</f>
        <v>0.66914955000008725</v>
      </c>
      <c r="N356" s="302">
        <f t="shared" ref="N356:N357" si="274">SUM(K356:M356)</f>
        <v>2.1691788685907181</v>
      </c>
    </row>
    <row r="357" spans="1:14" x14ac:dyDescent="0.2">
      <c r="A357" s="282" t="s">
        <v>363</v>
      </c>
      <c r="B357" s="302">
        <f>SUM(B355:B356)</f>
        <v>20.213017514640921</v>
      </c>
      <c r="C357" s="299" t="str">
        <f>CONCATENATE("(",ROUND((B357/$H357)*100,1),")")</f>
        <v>(58.9)</v>
      </c>
      <c r="D357" s="302">
        <f>SUM(D355:D356)</f>
        <v>7.4697948112748911</v>
      </c>
      <c r="E357" s="299" t="str">
        <f>CONCATENATE("(",ROUND((D357/$H357)*100,1),")")</f>
        <v>(21.8)</v>
      </c>
      <c r="F357" s="302">
        <f>SUM(F355:F356)</f>
        <v>6.6361876740841854</v>
      </c>
      <c r="G357" s="299" t="str">
        <f>CONCATENATE("(",ROUND((F357/$H357)*100,1),")")</f>
        <v>(19.3)</v>
      </c>
      <c r="H357" s="302">
        <f>SUM(H355:H356)</f>
        <v>34.318999999999996</v>
      </c>
      <c r="I357" s="299" t="str">
        <f>CONCATENATE("(",ROUND((H357/$H357)*100,1),")")</f>
        <v>(100)</v>
      </c>
      <c r="K357" s="302">
        <f t="shared" si="271"/>
        <v>1.3178181867355612</v>
      </c>
      <c r="L357" s="302">
        <f t="shared" si="272"/>
        <v>0.81749195530591656</v>
      </c>
      <c r="M357" s="302">
        <f t="shared" si="273"/>
        <v>0.94168985795849558</v>
      </c>
      <c r="N357" s="302">
        <f t="shared" si="274"/>
        <v>3.0769999999999733</v>
      </c>
    </row>
    <row r="358" spans="1:14" x14ac:dyDescent="0.2">
      <c r="A358" s="293"/>
      <c r="B358" s="294"/>
      <c r="C358" s="293"/>
      <c r="D358" s="294"/>
      <c r="E358" s="293"/>
      <c r="F358" s="294"/>
      <c r="G358" s="293"/>
      <c r="H358" s="294"/>
      <c r="I358" s="293"/>
      <c r="J358" s="293"/>
      <c r="K358" s="294"/>
      <c r="L358" s="294"/>
      <c r="M358" s="294"/>
      <c r="N358" s="294"/>
    </row>
    <row r="361" spans="1:14" x14ac:dyDescent="0.2">
      <c r="C361" s="182"/>
      <c r="E361" s="182"/>
      <c r="G361" s="182"/>
      <c r="I361" s="182"/>
    </row>
    <row r="362" spans="1:14" x14ac:dyDescent="0.2">
      <c r="A362" s="288"/>
      <c r="B362" s="289" t="s">
        <v>372</v>
      </c>
      <c r="C362" s="288"/>
      <c r="D362" s="289"/>
      <c r="E362" s="288"/>
      <c r="F362" s="289" t="str">
        <f>name!B20</f>
        <v>Support services</v>
      </c>
      <c r="G362" s="288"/>
      <c r="H362" s="291"/>
      <c r="I362" s="288"/>
      <c r="J362" s="290"/>
      <c r="K362" s="291"/>
      <c r="L362" s="291"/>
      <c r="M362" s="291"/>
      <c r="N362" s="291"/>
    </row>
    <row r="363" spans="1:14" x14ac:dyDescent="0.2">
      <c r="N363" s="287" t="s">
        <v>370</v>
      </c>
    </row>
    <row r="364" spans="1:14" x14ac:dyDescent="0.2">
      <c r="A364" s="182" t="s">
        <v>371</v>
      </c>
      <c r="B364" s="372" t="s">
        <v>369</v>
      </c>
      <c r="C364" s="372"/>
      <c r="D364" s="372" t="s">
        <v>368</v>
      </c>
      <c r="E364" s="372"/>
      <c r="F364" s="372" t="s">
        <v>367</v>
      </c>
      <c r="G364" s="372"/>
      <c r="H364" s="372" t="s">
        <v>33</v>
      </c>
      <c r="I364" s="372"/>
      <c r="J364" s="182"/>
      <c r="K364" s="297" t="s">
        <v>345</v>
      </c>
      <c r="L364" s="297" t="s">
        <v>347</v>
      </c>
      <c r="M364" s="297" t="s">
        <v>343</v>
      </c>
      <c r="N364" s="297" t="s">
        <v>33</v>
      </c>
    </row>
    <row r="365" spans="1:14" x14ac:dyDescent="0.2">
      <c r="A365" s="292">
        <f>$A$8</f>
        <v>2020</v>
      </c>
      <c r="B365" s="287" t="s">
        <v>66</v>
      </c>
      <c r="C365" s="20" t="s">
        <v>366</v>
      </c>
      <c r="D365" s="287" t="s">
        <v>66</v>
      </c>
      <c r="E365" s="20" t="s">
        <v>366</v>
      </c>
      <c r="F365" s="287" t="s">
        <v>66</v>
      </c>
      <c r="G365" s="20" t="s">
        <v>366</v>
      </c>
      <c r="H365" s="287" t="s">
        <v>66</v>
      </c>
      <c r="I365" s="20" t="s">
        <v>366</v>
      </c>
      <c r="J365" s="182"/>
      <c r="K365" s="286" t="str">
        <f>CONCATENATE(A365," - ",A370)</f>
        <v>2020 - 2025</v>
      </c>
      <c r="L365" s="285"/>
      <c r="M365" s="285"/>
    </row>
    <row r="366" spans="1:14" x14ac:dyDescent="0.2">
      <c r="A366" s="282" t="s">
        <v>364</v>
      </c>
      <c r="B366" s="302">
        <f>'Ind T6'!L153</f>
        <v>16.594323342281161</v>
      </c>
      <c r="C366" s="299" t="str">
        <f>CONCATENATE("(",ROUND((B366/$H368)*100,1),")")</f>
        <v>(39.9)</v>
      </c>
      <c r="D366" s="302">
        <f>'Ind T6'!M153</f>
        <v>5.8145723169560863</v>
      </c>
      <c r="E366" s="299" t="str">
        <f>CONCATENATE("(",ROUND((D366/$H368)*100,1),")")</f>
        <v>(14)</v>
      </c>
      <c r="F366" s="302">
        <f>'Ind T6'!N153</f>
        <v>2.2968708768600954</v>
      </c>
      <c r="G366" s="299" t="str">
        <f>CONCATENATE("(",ROUND((F366/$H368)*100,1),")")</f>
        <v>(5.5)</v>
      </c>
      <c r="H366" s="302">
        <f>SUM(B366,D366,F366)</f>
        <v>24.70576653609734</v>
      </c>
      <c r="I366" s="299" t="str">
        <f>CONCATENATE("(",ROUND((H366/$H368)*100,1),")")</f>
        <v>(59.4)</v>
      </c>
      <c r="K366" s="302">
        <f>B371-B366</f>
        <v>1.16465623666382</v>
      </c>
      <c r="L366" s="302">
        <f>D371-D366</f>
        <v>0.39518385269589817</v>
      </c>
      <c r="M366" s="302">
        <f>F371-F366</f>
        <v>0.12275884120920866</v>
      </c>
      <c r="N366" s="302">
        <f>SUM(K366:M366)</f>
        <v>1.6825989305689268</v>
      </c>
    </row>
    <row r="367" spans="1:14" x14ac:dyDescent="0.2">
      <c r="A367" s="282" t="s">
        <v>365</v>
      </c>
      <c r="B367" s="302">
        <f>'Ind T6'!L152</f>
        <v>7.8779928352786435</v>
      </c>
      <c r="C367" s="299" t="str">
        <f>CONCATENATE("(",ROUND((B367/$H368)*100,1),")")</f>
        <v>(18.9)</v>
      </c>
      <c r="D367" s="302">
        <f>'Ind T6'!M152</f>
        <v>6.8093940177147312</v>
      </c>
      <c r="E367" s="299" t="str">
        <f>CONCATENATE("(",ROUND((D367/$H368)*100,1),")")</f>
        <v>(16.4)</v>
      </c>
      <c r="F367" s="302">
        <f>'Ind T6'!N152</f>
        <v>2.1818466109093051</v>
      </c>
      <c r="G367" s="299" t="str">
        <f>CONCATENATE("(",ROUND((F367/$H368)*100,1),")")</f>
        <v>(5.2)</v>
      </c>
      <c r="H367" s="302">
        <f t="shared" ref="H367" si="275">SUM(B367,D367,F367)</f>
        <v>16.869233463902678</v>
      </c>
      <c r="I367" s="299" t="str">
        <f>CONCATENATE("(",ROUND((H367/$H368)*100,1),")")</f>
        <v>(40.6)</v>
      </c>
      <c r="K367" s="302">
        <f t="shared" ref="K367:K368" si="276">B372-B367</f>
        <v>0.70417138437558613</v>
      </c>
      <c r="L367" s="302">
        <f t="shared" ref="L367:L368" si="277">D372-D367</f>
        <v>0.340949401775962</v>
      </c>
      <c r="M367" s="302">
        <f t="shared" ref="M367:M368" si="278">F372-F367</f>
        <v>0.11428028327956996</v>
      </c>
      <c r="N367" s="302">
        <f t="shared" ref="N367:N368" si="279">SUM(K367:M367)</f>
        <v>1.1594010694311181</v>
      </c>
    </row>
    <row r="368" spans="1:14" x14ac:dyDescent="0.2">
      <c r="A368" s="282" t="s">
        <v>363</v>
      </c>
      <c r="B368" s="302">
        <f>SUM(B366:B367)</f>
        <v>24.472316177559804</v>
      </c>
      <c r="C368" s="299" t="str">
        <f>CONCATENATE("(",ROUND((B368/$H368)*100,1),")")</f>
        <v>(58.9)</v>
      </c>
      <c r="D368" s="302">
        <f>SUM(D366:D367)</f>
        <v>12.623966334670818</v>
      </c>
      <c r="E368" s="299" t="str">
        <f>CONCATENATE("(",ROUND((D368/$H368)*100,1),")")</f>
        <v>(30.4)</v>
      </c>
      <c r="F368" s="302">
        <f>SUM(F366:F367)</f>
        <v>4.4787174877694005</v>
      </c>
      <c r="G368" s="299" t="str">
        <f>CONCATENATE("(",ROUND((F368/$H368)*100,1),")")</f>
        <v>(10.8)</v>
      </c>
      <c r="H368" s="302">
        <f>SUM(H366:H367)</f>
        <v>41.575000000000017</v>
      </c>
      <c r="I368" s="299" t="str">
        <f>CONCATENATE("(",ROUND((H368/$H368)*100,1),")")</f>
        <v>(100)</v>
      </c>
      <c r="K368" s="302">
        <f t="shared" si="276"/>
        <v>1.8688276210394079</v>
      </c>
      <c r="L368" s="302">
        <f t="shared" si="277"/>
        <v>0.73613325447185929</v>
      </c>
      <c r="M368" s="302">
        <f t="shared" si="278"/>
        <v>0.23703912448877862</v>
      </c>
      <c r="N368" s="302">
        <f t="shared" si="279"/>
        <v>2.8420000000000458</v>
      </c>
    </row>
    <row r="369" spans="1:14" x14ac:dyDescent="0.2">
      <c r="B369" s="302"/>
      <c r="C369" s="284"/>
      <c r="D369" s="302"/>
      <c r="E369" s="284"/>
      <c r="F369" s="302"/>
      <c r="G369" s="284"/>
      <c r="H369" s="302"/>
      <c r="I369" s="284"/>
    </row>
    <row r="370" spans="1:14" x14ac:dyDescent="0.2">
      <c r="A370" s="292">
        <f>$A$13</f>
        <v>2025</v>
      </c>
      <c r="B370" s="302"/>
      <c r="C370" s="284"/>
      <c r="D370" s="302"/>
      <c r="E370" s="284"/>
      <c r="F370" s="302"/>
      <c r="G370" s="284"/>
      <c r="H370" s="302"/>
      <c r="I370" s="284"/>
      <c r="K370" s="286" t="str">
        <f>CONCATENATE(A370," - ",A375)</f>
        <v>2025 - 2035</v>
      </c>
    </row>
    <row r="371" spans="1:14" x14ac:dyDescent="0.2">
      <c r="A371" s="282" t="s">
        <v>364</v>
      </c>
      <c r="B371" s="302">
        <f>'Ind T6'!Q153</f>
        <v>17.758979578944981</v>
      </c>
      <c r="C371" s="299" t="str">
        <f>CONCATENATE("(",ROUND((B371/$H373)*100,1),")")</f>
        <v>(40)</v>
      </c>
      <c r="D371" s="302">
        <f>'Ind T6'!R153</f>
        <v>6.2097561696519845</v>
      </c>
      <c r="E371" s="299" t="str">
        <f>CONCATENATE("(",ROUND((D371/$H373)*100,1),")")</f>
        <v>(14)</v>
      </c>
      <c r="F371" s="302">
        <f>'Ind T6'!S153</f>
        <v>2.419629718069304</v>
      </c>
      <c r="G371" s="299" t="str">
        <f>CONCATENATE("(",ROUND((F371/$H373)*100,1),")")</f>
        <v>(5.4)</v>
      </c>
      <c r="H371" s="302">
        <f>SUM(B371,D371,F371)</f>
        <v>26.388365466666272</v>
      </c>
      <c r="I371" s="299" t="str">
        <f>CONCATENATE("(",ROUND((H371/$H373)*100,1),")")</f>
        <v>(59.4)</v>
      </c>
      <c r="K371" s="302">
        <f>B376-B371</f>
        <v>1.244059942677918</v>
      </c>
      <c r="L371" s="302">
        <f>D376-D371</f>
        <v>0.37460301968398824</v>
      </c>
      <c r="M371" s="302">
        <f>F376-F371</f>
        <v>0.17748169583705353</v>
      </c>
      <c r="N371" s="302">
        <f>SUM(K371:M371)</f>
        <v>1.7961446581989597</v>
      </c>
    </row>
    <row r="372" spans="1:14" x14ac:dyDescent="0.2">
      <c r="A372" s="282" t="s">
        <v>365</v>
      </c>
      <c r="B372" s="302">
        <f>'Ind T6'!Q152</f>
        <v>8.5821642196542296</v>
      </c>
      <c r="C372" s="299" t="str">
        <f>CONCATENATE("(",ROUND((B372/$H373)*100,1),")")</f>
        <v>(19.3)</v>
      </c>
      <c r="D372" s="302">
        <f>'Ind T6'!R152</f>
        <v>7.1503434194906932</v>
      </c>
      <c r="E372" s="299" t="str">
        <f>CONCATENATE("(",ROUND((D372/$H373)*100,1),")")</f>
        <v>(16.1)</v>
      </c>
      <c r="F372" s="302">
        <f>'Ind T6'!S152</f>
        <v>2.2961268941888751</v>
      </c>
      <c r="G372" s="299" t="str">
        <f>CONCATENATE("(",ROUND((F372/$H373)*100,1),")")</f>
        <v>(5.2)</v>
      </c>
      <c r="H372" s="302">
        <f t="shared" ref="H372" si="280">SUM(B372,D372,F372)</f>
        <v>18.028634533333801</v>
      </c>
      <c r="I372" s="299" t="str">
        <f>CONCATENATE("(",ROUND((H372/$H373)*100,1),")")</f>
        <v>(40.6)</v>
      </c>
      <c r="K372" s="302">
        <f t="shared" ref="K372:K373" si="281">B377-B372</f>
        <v>0.80630228287880712</v>
      </c>
      <c r="L372" s="302">
        <f t="shared" ref="L372:L373" si="282">D377-D372</f>
        <v>0.23945313341276631</v>
      </c>
      <c r="M372" s="302">
        <f t="shared" ref="M372:M373" si="283">F377-F372</f>
        <v>0.18309992550941834</v>
      </c>
      <c r="N372" s="302">
        <f t="shared" ref="N372:N373" si="284">SUM(K372:M372)</f>
        <v>1.2288553418009918</v>
      </c>
    </row>
    <row r="373" spans="1:14" x14ac:dyDescent="0.2">
      <c r="A373" s="282" t="s">
        <v>363</v>
      </c>
      <c r="B373" s="302">
        <f>SUM(B371:B372)</f>
        <v>26.341143798599212</v>
      </c>
      <c r="C373" s="299" t="str">
        <f>CONCATENATE("(",ROUND((B373/$H373)*100,1),")")</f>
        <v>(59.3)</v>
      </c>
      <c r="D373" s="302">
        <f>SUM(D371:D372)</f>
        <v>13.360099589142678</v>
      </c>
      <c r="E373" s="299" t="str">
        <f>CONCATENATE("(",ROUND((D373/$H373)*100,1),")")</f>
        <v>(30.1)</v>
      </c>
      <c r="F373" s="302">
        <f>SUM(F371:F372)</f>
        <v>4.7157566122581791</v>
      </c>
      <c r="G373" s="299" t="str">
        <f>CONCATENATE("(",ROUND((F373/$H373)*100,1),")")</f>
        <v>(10.6)</v>
      </c>
      <c r="H373" s="302">
        <f>SUM(H371:H372)</f>
        <v>44.417000000000073</v>
      </c>
      <c r="I373" s="299" t="str">
        <f>CONCATENATE("(",ROUND((H373/$H373)*100,1),")")</f>
        <v>(100)</v>
      </c>
      <c r="K373" s="302">
        <f t="shared" si="281"/>
        <v>2.0503622255567251</v>
      </c>
      <c r="L373" s="302">
        <f t="shared" si="282"/>
        <v>0.61405615309675454</v>
      </c>
      <c r="M373" s="302">
        <f t="shared" si="283"/>
        <v>0.36058162134647187</v>
      </c>
      <c r="N373" s="302">
        <f t="shared" si="284"/>
        <v>3.0249999999999515</v>
      </c>
    </row>
    <row r="374" spans="1:14" x14ac:dyDescent="0.2">
      <c r="B374" s="302"/>
      <c r="C374" s="284"/>
      <c r="D374" s="302"/>
      <c r="E374" s="284"/>
      <c r="F374" s="302"/>
      <c r="G374" s="284"/>
      <c r="H374" s="302"/>
      <c r="I374" s="284"/>
    </row>
    <row r="375" spans="1:14" x14ac:dyDescent="0.2">
      <c r="A375" s="292">
        <f>$A$18</f>
        <v>2035</v>
      </c>
      <c r="B375" s="302"/>
      <c r="C375" s="284"/>
      <c r="D375" s="302"/>
      <c r="E375" s="284"/>
      <c r="F375" s="302"/>
      <c r="G375" s="284"/>
      <c r="H375" s="302"/>
      <c r="I375" s="284"/>
      <c r="K375" s="286" t="str">
        <f>CONCATENATE(A365," - ",A375)</f>
        <v>2020 - 2035</v>
      </c>
    </row>
    <row r="376" spans="1:14" x14ac:dyDescent="0.2">
      <c r="A376" s="282" t="s">
        <v>364</v>
      </c>
      <c r="B376" s="302">
        <f>'Ind T6'!V153</f>
        <v>19.003039521622899</v>
      </c>
      <c r="C376" s="299" t="str">
        <f>CONCATENATE("(",ROUND((B376/$H378)*100,1),")")</f>
        <v>(40.1)</v>
      </c>
      <c r="D376" s="302">
        <f>'Ind T6'!W153</f>
        <v>6.5843591893359728</v>
      </c>
      <c r="E376" s="299" t="str">
        <f>CONCATENATE("(",ROUND((D376/$H378)*100,1),")")</f>
        <v>(13.9)</v>
      </c>
      <c r="F376" s="302">
        <f>'Ind T6'!X153</f>
        <v>2.5971114139063576</v>
      </c>
      <c r="G376" s="299" t="str">
        <f>CONCATENATE("(",ROUND((F376/$H378)*100,1),")")</f>
        <v>(5.5)</v>
      </c>
      <c r="H376" s="302">
        <f>SUM(B376,D376,F376)</f>
        <v>28.184510124865231</v>
      </c>
      <c r="I376" s="299" t="str">
        <f>CONCATENATE("(",ROUND((H376/$H378)*100,1),")")</f>
        <v>(59.4)</v>
      </c>
      <c r="K376" s="302">
        <f>B376-B366</f>
        <v>2.408716179341738</v>
      </c>
      <c r="L376" s="302">
        <f>D376-D366</f>
        <v>0.76978687237988641</v>
      </c>
      <c r="M376" s="302">
        <f>F376-F366</f>
        <v>0.30024053704626219</v>
      </c>
      <c r="N376" s="302">
        <f>SUM(K376:M376)</f>
        <v>3.4787435887678866</v>
      </c>
    </row>
    <row r="377" spans="1:14" x14ac:dyDescent="0.2">
      <c r="A377" s="282" t="s">
        <v>365</v>
      </c>
      <c r="B377" s="302">
        <f>'Ind T6'!V152</f>
        <v>9.3884665025330367</v>
      </c>
      <c r="C377" s="299" t="str">
        <f>CONCATENATE("(",ROUND((B377/$H378)*100,1),")")</f>
        <v>(19.8)</v>
      </c>
      <c r="D377" s="302">
        <f>'Ind T6'!W152</f>
        <v>7.3897965529034595</v>
      </c>
      <c r="E377" s="299" t="str">
        <f>CONCATENATE("(",ROUND((D377/$H378)*100,1),")")</f>
        <v>(15.6)</v>
      </c>
      <c r="F377" s="302">
        <f>'Ind T6'!X152</f>
        <v>2.4792268196982934</v>
      </c>
      <c r="G377" s="299" t="str">
        <f>CONCATENATE("(",ROUND((F377/$H378)*100,1),")")</f>
        <v>(5.2)</v>
      </c>
      <c r="H377" s="302">
        <f t="shared" ref="H377" si="285">SUM(B377,D377,F377)</f>
        <v>19.257489875134791</v>
      </c>
      <c r="I377" s="299" t="str">
        <f>CONCATENATE("(",ROUND((H377/$H378)*100,1),")")</f>
        <v>(40.6)</v>
      </c>
      <c r="K377" s="302">
        <f t="shared" ref="K377:K378" si="286">B377-B367</f>
        <v>1.5104736672543932</v>
      </c>
      <c r="L377" s="302">
        <f t="shared" ref="L377:L378" si="287">D377-D367</f>
        <v>0.58040253518872831</v>
      </c>
      <c r="M377" s="302">
        <f t="shared" ref="M377:M378" si="288">F377-F367</f>
        <v>0.2973802087889883</v>
      </c>
      <c r="N377" s="302">
        <f t="shared" ref="N377:N378" si="289">SUM(K377:M377)</f>
        <v>2.3882564112321099</v>
      </c>
    </row>
    <row r="378" spans="1:14" x14ac:dyDescent="0.2">
      <c r="A378" s="282" t="s">
        <v>363</v>
      </c>
      <c r="B378" s="302">
        <f>SUM(B376:B377)</f>
        <v>28.391506024155937</v>
      </c>
      <c r="C378" s="299" t="str">
        <f>CONCATENATE("(",ROUND((B378/$H378)*100,1),")")</f>
        <v>(59.8)</v>
      </c>
      <c r="D378" s="302">
        <f>SUM(D376:D377)</f>
        <v>13.974155742239432</v>
      </c>
      <c r="E378" s="299" t="str">
        <f>CONCATENATE("(",ROUND((D378/$H378)*100,1),")")</f>
        <v>(29.5)</v>
      </c>
      <c r="F378" s="302">
        <f>SUM(F376:F377)</f>
        <v>5.076338233604651</v>
      </c>
      <c r="G378" s="299" t="str">
        <f>CONCATENATE("(",ROUND((F378/$H378)*100,1),")")</f>
        <v>(10.7)</v>
      </c>
      <c r="H378" s="302">
        <f>SUM(H376:H377)</f>
        <v>47.442000000000021</v>
      </c>
      <c r="I378" s="299" t="str">
        <f>CONCATENATE("(",ROUND((H378/$H378)*100,1),")")</f>
        <v>(100)</v>
      </c>
      <c r="K378" s="302">
        <f t="shared" si="286"/>
        <v>3.919189846596133</v>
      </c>
      <c r="L378" s="302">
        <f t="shared" si="287"/>
        <v>1.3501894075686138</v>
      </c>
      <c r="M378" s="302">
        <f t="shared" si="288"/>
        <v>0.59762074583525049</v>
      </c>
      <c r="N378" s="302">
        <f t="shared" si="289"/>
        <v>5.8669999999999973</v>
      </c>
    </row>
    <row r="379" spans="1:14" x14ac:dyDescent="0.2">
      <c r="A379" s="293"/>
      <c r="B379" s="294"/>
      <c r="C379" s="293"/>
      <c r="D379" s="294"/>
      <c r="E379" s="293"/>
      <c r="F379" s="294"/>
      <c r="G379" s="293"/>
      <c r="H379" s="294"/>
      <c r="I379" s="293"/>
      <c r="J379" s="293"/>
      <c r="K379" s="294"/>
      <c r="L379" s="294"/>
      <c r="M379" s="294"/>
      <c r="N379" s="294"/>
    </row>
    <row r="383" spans="1:14" x14ac:dyDescent="0.2">
      <c r="A383" s="288"/>
      <c r="B383" s="289" t="s">
        <v>372</v>
      </c>
      <c r="C383" s="288"/>
      <c r="D383" s="289"/>
      <c r="E383" s="288"/>
      <c r="F383" s="289" t="str">
        <f>name!B21</f>
        <v>Public admin. and defence</v>
      </c>
      <c r="G383" s="288"/>
      <c r="H383" s="291"/>
      <c r="I383" s="288"/>
      <c r="J383" s="290"/>
      <c r="K383" s="291"/>
      <c r="L383" s="291"/>
      <c r="M383" s="291"/>
      <c r="N383" s="291"/>
    </row>
    <row r="384" spans="1:14" x14ac:dyDescent="0.2">
      <c r="N384" s="287" t="s">
        <v>370</v>
      </c>
    </row>
    <row r="385" spans="1:14" x14ac:dyDescent="0.2">
      <c r="A385" s="182" t="s">
        <v>371</v>
      </c>
      <c r="B385" s="372" t="s">
        <v>369</v>
      </c>
      <c r="C385" s="372"/>
      <c r="D385" s="372" t="s">
        <v>368</v>
      </c>
      <c r="E385" s="372"/>
      <c r="F385" s="372" t="s">
        <v>367</v>
      </c>
      <c r="G385" s="372"/>
      <c r="H385" s="372" t="s">
        <v>33</v>
      </c>
      <c r="I385" s="372"/>
      <c r="J385" s="182"/>
      <c r="K385" s="297" t="s">
        <v>345</v>
      </c>
      <c r="L385" s="297" t="s">
        <v>347</v>
      </c>
      <c r="M385" s="297" t="s">
        <v>343</v>
      </c>
      <c r="N385" s="297" t="s">
        <v>33</v>
      </c>
    </row>
    <row r="386" spans="1:14" x14ac:dyDescent="0.2">
      <c r="A386" s="292">
        <f>$A$8</f>
        <v>2020</v>
      </c>
      <c r="B386" s="287" t="s">
        <v>66</v>
      </c>
      <c r="C386" s="20" t="s">
        <v>366</v>
      </c>
      <c r="D386" s="287" t="s">
        <v>66</v>
      </c>
      <c r="E386" s="20" t="s">
        <v>366</v>
      </c>
      <c r="F386" s="287" t="s">
        <v>66</v>
      </c>
      <c r="G386" s="20" t="s">
        <v>366</v>
      </c>
      <c r="H386" s="287" t="s">
        <v>66</v>
      </c>
      <c r="I386" s="20" t="s">
        <v>366</v>
      </c>
      <c r="J386" s="182"/>
      <c r="K386" s="286" t="str">
        <f>CONCATENATE(A386," - ",A391)</f>
        <v>2020 - 2025</v>
      </c>
      <c r="L386" s="285"/>
      <c r="M386" s="285"/>
    </row>
    <row r="387" spans="1:14" x14ac:dyDescent="0.2">
      <c r="A387" s="282" t="s">
        <v>364</v>
      </c>
      <c r="B387" s="302">
        <f>'Ind T6'!L162</f>
        <v>6.2068313098353691</v>
      </c>
      <c r="C387" s="299" t="str">
        <f>CONCATENATE("(",ROUND((B387/$H389)*100,1),")")</f>
        <v>(34.4)</v>
      </c>
      <c r="D387" s="302">
        <f>'Ind T6'!M162</f>
        <v>1.009833566019338</v>
      </c>
      <c r="E387" s="299" t="str">
        <f>CONCATENATE("(",ROUND((D387/$H389)*100,1),")")</f>
        <v>(5.6)</v>
      </c>
      <c r="F387" s="302">
        <f>'Ind T6'!N162</f>
        <v>0.15120502593002225</v>
      </c>
      <c r="G387" s="299" t="str">
        <f>CONCATENATE("(",ROUND((F387/$H389)*100,1),")")</f>
        <v>(0.8)</v>
      </c>
      <c r="H387" s="302">
        <f>SUM(B387,D387,F387)</f>
        <v>7.3678699017847302</v>
      </c>
      <c r="I387" s="299" t="str">
        <f>CONCATENATE("(",ROUND((H387/$H389)*100,1),")")</f>
        <v>(40.8)</v>
      </c>
      <c r="K387" s="302">
        <f>B392-B387</f>
        <v>1.0398633136900592E-2</v>
      </c>
      <c r="L387" s="302">
        <f>D392-D387</f>
        <v>7.8096529791400915E-2</v>
      </c>
      <c r="M387" s="302">
        <f>F392-F387</f>
        <v>3.5445690041976119E-3</v>
      </c>
      <c r="N387" s="302">
        <f>SUM(K387:M387)</f>
        <v>9.2039731932499119E-2</v>
      </c>
    </row>
    <row r="388" spans="1:14" x14ac:dyDescent="0.2">
      <c r="A388" s="282" t="s">
        <v>365</v>
      </c>
      <c r="B388" s="302">
        <f>'Ind T6'!L161</f>
        <v>5.363728285780212</v>
      </c>
      <c r="C388" s="299" t="str">
        <f>CONCATENATE("(",ROUND((B388/$H389)*100,1),")")</f>
        <v>(29.7)</v>
      </c>
      <c r="D388" s="302">
        <f>'Ind T6'!M161</f>
        <v>4.8912125797905066</v>
      </c>
      <c r="E388" s="299" t="str">
        <f>CONCATENATE("(",ROUND((D388/$H389)*100,1),")")</f>
        <v>(27.1)</v>
      </c>
      <c r="F388" s="302">
        <f>'Ind T6'!N161</f>
        <v>0.4281892326445626</v>
      </c>
      <c r="G388" s="299" t="str">
        <f>CONCATENATE("(",ROUND((F388/$H389)*100,1),")")</f>
        <v>(2.4)</v>
      </c>
      <c r="H388" s="302">
        <f t="shared" ref="H388" si="290">SUM(B388,D388,F388)</f>
        <v>10.683130098215281</v>
      </c>
      <c r="I388" s="299" t="str">
        <f>CONCATENATE("(",ROUND((H388/$H389)*100,1),")")</f>
        <v>(59.2)</v>
      </c>
      <c r="K388" s="302">
        <f t="shared" ref="K388:K389" si="291">B393-B388</f>
        <v>0.11955859919879241</v>
      </c>
      <c r="L388" s="302">
        <f t="shared" ref="L388:L389" si="292">D393-D388</f>
        <v>0.11931109964184294</v>
      </c>
      <c r="M388" s="302">
        <f t="shared" ref="M388:M389" si="293">F393-F388</f>
        <v>1.0090569226874013E-2</v>
      </c>
      <c r="N388" s="302">
        <f t="shared" ref="N388:N389" si="294">SUM(K388:M388)</f>
        <v>0.24896026806750937</v>
      </c>
    </row>
    <row r="389" spans="1:14" x14ac:dyDescent="0.2">
      <c r="A389" s="282" t="s">
        <v>363</v>
      </c>
      <c r="B389" s="302">
        <f>SUM(B387:B388)</f>
        <v>11.570559595615581</v>
      </c>
      <c r="C389" s="299" t="str">
        <f>CONCATENATE("(",ROUND((B389/$H389)*100,1),")")</f>
        <v>(64.1)</v>
      </c>
      <c r="D389" s="302">
        <f>SUM(D387:D388)</f>
        <v>5.9010461458098451</v>
      </c>
      <c r="E389" s="299" t="str">
        <f>CONCATENATE("(",ROUND((D389/$H389)*100,1),")")</f>
        <v>(32.7)</v>
      </c>
      <c r="F389" s="302">
        <f>SUM(F387:F388)</f>
        <v>0.57939425857458482</v>
      </c>
      <c r="G389" s="299" t="str">
        <f>CONCATENATE("(",ROUND((F389/$H389)*100,1),")")</f>
        <v>(3.2)</v>
      </c>
      <c r="H389" s="302">
        <f>SUM(H387:H388)</f>
        <v>18.051000000000013</v>
      </c>
      <c r="I389" s="299" t="str">
        <f>CONCATENATE("(",ROUND((H389/$H389)*100,1),")")</f>
        <v>(100)</v>
      </c>
      <c r="K389" s="302">
        <f t="shared" si="291"/>
        <v>0.12995723233569301</v>
      </c>
      <c r="L389" s="302">
        <f t="shared" si="292"/>
        <v>0.19740762943324341</v>
      </c>
      <c r="M389" s="302">
        <f t="shared" si="293"/>
        <v>1.3635138231071653E-2</v>
      </c>
      <c r="N389" s="302">
        <f t="shared" si="294"/>
        <v>0.34100000000000807</v>
      </c>
    </row>
    <row r="390" spans="1:14" x14ac:dyDescent="0.2">
      <c r="B390" s="302"/>
      <c r="C390" s="284"/>
      <c r="D390" s="302"/>
      <c r="E390" s="284"/>
      <c r="F390" s="302"/>
      <c r="G390" s="284"/>
      <c r="H390" s="302"/>
      <c r="I390" s="284"/>
    </row>
    <row r="391" spans="1:14" x14ac:dyDescent="0.2">
      <c r="A391" s="292">
        <f>$A$13</f>
        <v>2025</v>
      </c>
      <c r="B391" s="302"/>
      <c r="C391" s="284"/>
      <c r="D391" s="302"/>
      <c r="E391" s="284"/>
      <c r="F391" s="302"/>
      <c r="G391" s="284"/>
      <c r="H391" s="302"/>
      <c r="I391" s="284"/>
      <c r="K391" s="286" t="str">
        <f>CONCATENATE(A391," - ",A396)</f>
        <v>2025 - 2035</v>
      </c>
    </row>
    <row r="392" spans="1:14" x14ac:dyDescent="0.2">
      <c r="A392" s="282" t="s">
        <v>364</v>
      </c>
      <c r="B392" s="302">
        <f>'Ind T6'!Q162</f>
        <v>6.2172299429722697</v>
      </c>
      <c r="C392" s="299" t="str">
        <f>CONCATENATE("(",ROUND((B392/$H394)*100,1),")")</f>
        <v>(33.8)</v>
      </c>
      <c r="D392" s="302">
        <f>'Ind T6'!R162</f>
        <v>1.087930095810739</v>
      </c>
      <c r="E392" s="299" t="str">
        <f>CONCATENATE("(",ROUND((D392/$H394)*100,1),")")</f>
        <v>(5.9)</v>
      </c>
      <c r="F392" s="302">
        <f>'Ind T6'!S162</f>
        <v>0.15474959493421986</v>
      </c>
      <c r="G392" s="299" t="str">
        <f>CONCATENATE("(",ROUND((F392/$H394)*100,1),")")</f>
        <v>(0.8)</v>
      </c>
      <c r="H392" s="302">
        <f>SUM(B392,D392,F392)</f>
        <v>7.4599096337172286</v>
      </c>
      <c r="I392" s="299" t="str">
        <f>CONCATENATE("(",ROUND((H392/$H394)*100,1),")")</f>
        <v>(40.6)</v>
      </c>
      <c r="K392" s="302">
        <f>B397-B392</f>
        <v>1.868724561466184E-2</v>
      </c>
      <c r="L392" s="302">
        <f>D397-D392</f>
        <v>0.16699240802700688</v>
      </c>
      <c r="M392" s="302">
        <f>F397-F392</f>
        <v>8.8822552558366352E-3</v>
      </c>
      <c r="N392" s="302">
        <f>SUM(K392:M392)</f>
        <v>0.19456190889750535</v>
      </c>
    </row>
    <row r="393" spans="1:14" x14ac:dyDescent="0.2">
      <c r="A393" s="282" t="s">
        <v>365</v>
      </c>
      <c r="B393" s="302">
        <f>'Ind T6'!Q161</f>
        <v>5.4832868849790044</v>
      </c>
      <c r="C393" s="299" t="str">
        <f>CONCATENATE("(",ROUND((B393/$H394)*100,1),")")</f>
        <v>(29.8)</v>
      </c>
      <c r="D393" s="302">
        <f>'Ind T6'!R161</f>
        <v>5.0105236794323496</v>
      </c>
      <c r="E393" s="299" t="str">
        <f>CONCATENATE("(",ROUND((D393/$H394)*100,1),")")</f>
        <v>(27.2)</v>
      </c>
      <c r="F393" s="302">
        <f>'Ind T6'!S161</f>
        <v>0.43827980187143661</v>
      </c>
      <c r="G393" s="299" t="str">
        <f>CONCATENATE("(",ROUND((F393/$H394)*100,1),")")</f>
        <v>(2.4)</v>
      </c>
      <c r="H393" s="302">
        <f t="shared" ref="H393" si="295">SUM(B393,D393,F393)</f>
        <v>10.932090366282791</v>
      </c>
      <c r="I393" s="299" t="str">
        <f>CONCATENATE("(",ROUND((H393/$H394)*100,1),")")</f>
        <v>(59.4)</v>
      </c>
      <c r="K393" s="302">
        <f t="shared" ref="K393:K394" si="296">B398-B393</f>
        <v>0.25000265831351154</v>
      </c>
      <c r="L393" s="302">
        <f t="shared" ref="L393:L394" si="297">D398-D393</f>
        <v>0.23063535584196249</v>
      </c>
      <c r="M393" s="302">
        <f t="shared" ref="M393:M394" si="298">F398-F393</f>
        <v>2.3800076947006421E-2</v>
      </c>
      <c r="N393" s="302">
        <f t="shared" ref="N393:N394" si="299">SUM(K393:M393)</f>
        <v>0.50443809110248039</v>
      </c>
    </row>
    <row r="394" spans="1:14" x14ac:dyDescent="0.2">
      <c r="A394" s="282" t="s">
        <v>363</v>
      </c>
      <c r="B394" s="302">
        <f>SUM(B392:B393)</f>
        <v>11.700516827951274</v>
      </c>
      <c r="C394" s="299" t="str">
        <f>CONCATENATE("(",ROUND((B394/$H394)*100,1),")")</f>
        <v>(63.6)</v>
      </c>
      <c r="D394" s="302">
        <f>SUM(D392:D393)</f>
        <v>6.0984537752430885</v>
      </c>
      <c r="E394" s="299" t="str">
        <f>CONCATENATE("(",ROUND((D394/$H394)*100,1),")")</f>
        <v>(33.2)</v>
      </c>
      <c r="F394" s="302">
        <f>SUM(F392:F393)</f>
        <v>0.59302939680565647</v>
      </c>
      <c r="G394" s="299" t="str">
        <f>CONCATENATE("(",ROUND((F394/$H394)*100,1),")")</f>
        <v>(3.2)</v>
      </c>
      <c r="H394" s="302">
        <f>SUM(H392:H393)</f>
        <v>18.392000000000021</v>
      </c>
      <c r="I394" s="299" t="str">
        <f>CONCATENATE("(",ROUND((H394/$H394)*100,1),")")</f>
        <v>(100)</v>
      </c>
      <c r="K394" s="302">
        <f t="shared" si="296"/>
        <v>0.26868990392817338</v>
      </c>
      <c r="L394" s="302">
        <f t="shared" si="297"/>
        <v>0.39762776386896981</v>
      </c>
      <c r="M394" s="302">
        <f t="shared" si="298"/>
        <v>3.2682332202843001E-2</v>
      </c>
      <c r="N394" s="302">
        <f t="shared" si="299"/>
        <v>0.69899999999998619</v>
      </c>
    </row>
    <row r="395" spans="1:14" x14ac:dyDescent="0.2">
      <c r="B395" s="302"/>
      <c r="C395" s="284"/>
      <c r="D395" s="302"/>
      <c r="E395" s="284"/>
      <c r="F395" s="302"/>
      <c r="G395" s="284"/>
      <c r="H395" s="302"/>
      <c r="I395" s="284"/>
    </row>
    <row r="396" spans="1:14" x14ac:dyDescent="0.2">
      <c r="A396" s="292">
        <f>$A$18</f>
        <v>2035</v>
      </c>
      <c r="B396" s="302"/>
      <c r="C396" s="284"/>
      <c r="D396" s="302"/>
      <c r="E396" s="284"/>
      <c r="F396" s="302"/>
      <c r="G396" s="284"/>
      <c r="H396" s="302"/>
      <c r="I396" s="284"/>
      <c r="K396" s="286" t="str">
        <f>CONCATENATE(A386," - ",A396)</f>
        <v>2020 - 2035</v>
      </c>
    </row>
    <row r="397" spans="1:14" x14ac:dyDescent="0.2">
      <c r="A397" s="282" t="s">
        <v>364</v>
      </c>
      <c r="B397" s="302">
        <f>'Ind T6'!V162</f>
        <v>6.2359171885869316</v>
      </c>
      <c r="C397" s="299" t="str">
        <f>CONCATENATE("(",ROUND((B397/$H399)*100,1),")")</f>
        <v>(32.7)</v>
      </c>
      <c r="D397" s="302">
        <f>'Ind T6'!W162</f>
        <v>1.2549225038377458</v>
      </c>
      <c r="E397" s="299" t="str">
        <f>CONCATENATE("(",ROUND((D397/$H399)*100,1),")")</f>
        <v>(6.6)</v>
      </c>
      <c r="F397" s="302">
        <f>'Ind T6'!X162</f>
        <v>0.16363185019005649</v>
      </c>
      <c r="G397" s="299" t="str">
        <f>CONCATENATE("(",ROUND((F397/$H399)*100,1),")")</f>
        <v>(0.9)</v>
      </c>
      <c r="H397" s="302">
        <f>SUM(B397,D397,F397)</f>
        <v>7.6544715426147336</v>
      </c>
      <c r="I397" s="299" t="str">
        <f>CONCATENATE("(",ROUND((H397/$H399)*100,1),")")</f>
        <v>(40.1)</v>
      </c>
      <c r="K397" s="302">
        <f>B397-B387</f>
        <v>2.9085878751562433E-2</v>
      </c>
      <c r="L397" s="302">
        <f>D397-D387</f>
        <v>0.24508893781840779</v>
      </c>
      <c r="M397" s="302">
        <f>F397-F387</f>
        <v>1.2426824260034247E-2</v>
      </c>
      <c r="N397" s="302">
        <f>SUM(K397:M397)</f>
        <v>0.2866016408300045</v>
      </c>
    </row>
    <row r="398" spans="1:14" x14ac:dyDescent="0.2">
      <c r="A398" s="282" t="s">
        <v>365</v>
      </c>
      <c r="B398" s="302">
        <f>'Ind T6'!V161</f>
        <v>5.7332895432925159</v>
      </c>
      <c r="C398" s="299" t="str">
        <f>CONCATENATE("(",ROUND((B398/$H399)*100,1),")")</f>
        <v>(30)</v>
      </c>
      <c r="D398" s="302">
        <f>'Ind T6'!W161</f>
        <v>5.241159035274312</v>
      </c>
      <c r="E398" s="299" t="str">
        <f>CONCATENATE("(",ROUND((D398/$H399)*100,1),")")</f>
        <v>(27.5)</v>
      </c>
      <c r="F398" s="302">
        <f>'Ind T6'!X161</f>
        <v>0.46207987881844304</v>
      </c>
      <c r="G398" s="299" t="str">
        <f>CONCATENATE("(",ROUND((F398/$H399)*100,1),")")</f>
        <v>(2.4)</v>
      </c>
      <c r="H398" s="302">
        <f t="shared" ref="H398" si="300">SUM(B398,D398,F398)</f>
        <v>11.436528457385272</v>
      </c>
      <c r="I398" s="299" t="str">
        <f>CONCATENATE("(",ROUND((H398/$H399)*100,1),")")</f>
        <v>(59.9)</v>
      </c>
      <c r="K398" s="302">
        <f t="shared" ref="K398:K399" si="301">B398-B388</f>
        <v>0.36956125751230395</v>
      </c>
      <c r="L398" s="302">
        <f t="shared" ref="L398:L399" si="302">D398-D388</f>
        <v>0.34994645548380543</v>
      </c>
      <c r="M398" s="302">
        <f t="shared" ref="M398:M399" si="303">F398-F388</f>
        <v>3.3890646173880434E-2</v>
      </c>
      <c r="N398" s="302">
        <f t="shared" ref="N398:N399" si="304">SUM(K398:M398)</f>
        <v>0.75339835916998976</v>
      </c>
    </row>
    <row r="399" spans="1:14" x14ac:dyDescent="0.2">
      <c r="A399" s="282" t="s">
        <v>363</v>
      </c>
      <c r="B399" s="302">
        <f>SUM(B397:B398)</f>
        <v>11.969206731879448</v>
      </c>
      <c r="C399" s="299" t="str">
        <f>CONCATENATE("(",ROUND((B399/$H399)*100,1),")")</f>
        <v>(62.7)</v>
      </c>
      <c r="D399" s="302">
        <f>SUM(D397:D398)</f>
        <v>6.4960815391120583</v>
      </c>
      <c r="E399" s="299" t="str">
        <f>CONCATENATE("(",ROUND((D399/$H399)*100,1),")")</f>
        <v>(34)</v>
      </c>
      <c r="F399" s="302">
        <f>SUM(F397:F398)</f>
        <v>0.62571172900849947</v>
      </c>
      <c r="G399" s="299" t="str">
        <f>CONCATENATE("(",ROUND((F399/$H399)*100,1),")")</f>
        <v>(3.3)</v>
      </c>
      <c r="H399" s="302">
        <f>SUM(H397:H398)</f>
        <v>19.091000000000005</v>
      </c>
      <c r="I399" s="299" t="str">
        <f>CONCATENATE("(",ROUND((H399/$H399)*100,1),")")</f>
        <v>(100)</v>
      </c>
      <c r="K399" s="302">
        <f t="shared" si="301"/>
        <v>0.39864713626386639</v>
      </c>
      <c r="L399" s="302">
        <f t="shared" si="302"/>
        <v>0.59503539330221322</v>
      </c>
      <c r="M399" s="302">
        <f t="shared" si="303"/>
        <v>4.6317470433914654E-2</v>
      </c>
      <c r="N399" s="302">
        <f t="shared" si="304"/>
        <v>1.0399999999999943</v>
      </c>
    </row>
    <row r="400" spans="1:14" x14ac:dyDescent="0.2">
      <c r="A400" s="293"/>
      <c r="B400" s="294"/>
      <c r="C400" s="293"/>
      <c r="D400" s="294"/>
      <c r="E400" s="293"/>
      <c r="F400" s="294"/>
      <c r="G400" s="293"/>
      <c r="H400" s="294"/>
      <c r="I400" s="293"/>
      <c r="J400" s="293"/>
      <c r="K400" s="294"/>
      <c r="L400" s="294"/>
      <c r="M400" s="294"/>
      <c r="N400" s="294"/>
    </row>
    <row r="404" spans="1:14" x14ac:dyDescent="0.2">
      <c r="A404" s="288"/>
      <c r="B404" s="289" t="s">
        <v>372</v>
      </c>
      <c r="C404" s="288"/>
      <c r="D404" s="289"/>
      <c r="E404" s="288"/>
      <c r="F404" s="289" t="str">
        <f>name!B22</f>
        <v>Education</v>
      </c>
      <c r="G404" s="288"/>
      <c r="H404" s="291"/>
      <c r="I404" s="288"/>
      <c r="J404" s="290"/>
      <c r="K404" s="291"/>
      <c r="L404" s="291"/>
      <c r="M404" s="291"/>
      <c r="N404" s="291"/>
    </row>
    <row r="405" spans="1:14" x14ac:dyDescent="0.2">
      <c r="N405" s="287" t="s">
        <v>370</v>
      </c>
    </row>
    <row r="406" spans="1:14" x14ac:dyDescent="0.2">
      <c r="A406" s="182" t="s">
        <v>371</v>
      </c>
      <c r="B406" s="372" t="s">
        <v>369</v>
      </c>
      <c r="C406" s="372"/>
      <c r="D406" s="372" t="s">
        <v>368</v>
      </c>
      <c r="E406" s="372"/>
      <c r="F406" s="372" t="s">
        <v>367</v>
      </c>
      <c r="G406" s="372"/>
      <c r="H406" s="372" t="s">
        <v>33</v>
      </c>
      <c r="I406" s="372"/>
      <c r="J406" s="182"/>
      <c r="K406" s="297" t="s">
        <v>345</v>
      </c>
      <c r="L406" s="297" t="s">
        <v>347</v>
      </c>
      <c r="M406" s="297" t="s">
        <v>343</v>
      </c>
      <c r="N406" s="297" t="s">
        <v>33</v>
      </c>
    </row>
    <row r="407" spans="1:14" x14ac:dyDescent="0.2">
      <c r="A407" s="292">
        <f>$A$8</f>
        <v>2020</v>
      </c>
      <c r="B407" s="287" t="s">
        <v>66</v>
      </c>
      <c r="C407" s="20" t="s">
        <v>366</v>
      </c>
      <c r="D407" s="287" t="s">
        <v>66</v>
      </c>
      <c r="E407" s="20" t="s">
        <v>366</v>
      </c>
      <c r="F407" s="287" t="s">
        <v>66</v>
      </c>
      <c r="G407" s="20" t="s">
        <v>366</v>
      </c>
      <c r="H407" s="287" t="s">
        <v>66</v>
      </c>
      <c r="I407" s="20" t="s">
        <v>366</v>
      </c>
      <c r="J407" s="182"/>
      <c r="K407" s="286" t="str">
        <f>CONCATENATE(A407," - ",A412)</f>
        <v>2020 - 2025</v>
      </c>
      <c r="L407" s="285"/>
      <c r="M407" s="285"/>
    </row>
    <row r="408" spans="1:14" x14ac:dyDescent="0.2">
      <c r="A408" s="282" t="s">
        <v>364</v>
      </c>
      <c r="B408" s="302">
        <f>'Ind T6'!L171</f>
        <v>7.4714976835696367</v>
      </c>
      <c r="C408" s="299" t="str">
        <f>CONCATENATE("(",ROUND((B408/$H410)*100,1),")")</f>
        <v>(17.3)</v>
      </c>
      <c r="D408" s="302">
        <f>'Ind T6'!M171</f>
        <v>3.1593832045375341</v>
      </c>
      <c r="E408" s="299" t="str">
        <f>CONCATENATE("(",ROUND((D408/$H410)*100,1),")")</f>
        <v>(7.3)</v>
      </c>
      <c r="F408" s="302">
        <f>'Ind T6'!N171</f>
        <v>1.5316354615069607</v>
      </c>
      <c r="G408" s="299" t="str">
        <f>CONCATENATE("(",ROUND((F408/$H410)*100,1),")")</f>
        <v>(3.6)</v>
      </c>
      <c r="H408" s="302">
        <f>SUM(B408,D408,F408)</f>
        <v>12.162516349614132</v>
      </c>
      <c r="I408" s="299" t="str">
        <f>CONCATENATE("(",ROUND((H408/$H410)*100,1),")")</f>
        <v>(28.2)</v>
      </c>
      <c r="K408" s="302">
        <f>B413-B408</f>
        <v>-0.25471177653135335</v>
      </c>
      <c r="L408" s="302">
        <f>D413-D408</f>
        <v>-2.5849092668607909E-2</v>
      </c>
      <c r="M408" s="302">
        <f>F413-F408</f>
        <v>-3.7036804914543087E-3</v>
      </c>
      <c r="N408" s="302">
        <f>SUM(K408:M408)</f>
        <v>-0.28426454969141557</v>
      </c>
    </row>
    <row r="409" spans="1:14" x14ac:dyDescent="0.2">
      <c r="A409" s="282" t="s">
        <v>365</v>
      </c>
      <c r="B409" s="302">
        <f>'Ind T6'!L170</f>
        <v>12.037857898994394</v>
      </c>
      <c r="C409" s="299" t="str">
        <f>CONCATENATE("(",ROUND((B409/$H410)*100,1),")")</f>
        <v>(27.9)</v>
      </c>
      <c r="D409" s="302">
        <f>'Ind T6'!M170</f>
        <v>16.059171114979748</v>
      </c>
      <c r="E409" s="299" t="str">
        <f>CONCATENATE("(",ROUND((D409/$H410)*100,1),")")</f>
        <v>(37.3)</v>
      </c>
      <c r="F409" s="302">
        <f>'Ind T6'!N170</f>
        <v>2.8254546364117745</v>
      </c>
      <c r="G409" s="299" t="str">
        <f>CONCATENATE("(",ROUND((F409/$H410)*100,1),")")</f>
        <v>(6.6)</v>
      </c>
      <c r="H409" s="302">
        <f t="shared" ref="H409" si="305">SUM(B409,D409,F409)</f>
        <v>30.922483650385917</v>
      </c>
      <c r="I409" s="299" t="str">
        <f>CONCATENATE("(",ROUND((H409/$H410)*100,1),")")</f>
        <v>(71.8)</v>
      </c>
      <c r="K409" s="302">
        <f t="shared" ref="K409:K410" si="306">B414-B409</f>
        <v>5.1869735230329894E-3</v>
      </c>
      <c r="L409" s="302">
        <f t="shared" ref="L409:L410" si="307">D414-D409</f>
        <v>-0.68060760380253704</v>
      </c>
      <c r="M409" s="302">
        <f t="shared" ref="M409:M410" si="308">F414-F409</f>
        <v>-2.9314820029098243E-2</v>
      </c>
      <c r="N409" s="302">
        <f t="shared" ref="N409:N410" si="309">SUM(K409:M409)</f>
        <v>-0.7047354503086023</v>
      </c>
    </row>
    <row r="410" spans="1:14" x14ac:dyDescent="0.2">
      <c r="A410" s="282" t="s">
        <v>363</v>
      </c>
      <c r="B410" s="302">
        <f>SUM(B408:B409)</f>
        <v>19.50935558256403</v>
      </c>
      <c r="C410" s="299" t="str">
        <f>CONCATENATE("(",ROUND((B410/$H410)*100,1),")")</f>
        <v>(45.3)</v>
      </c>
      <c r="D410" s="302">
        <f>SUM(D408:D409)</f>
        <v>19.218554319517281</v>
      </c>
      <c r="E410" s="299" t="str">
        <f>CONCATENATE("(",ROUND((D410/$H410)*100,1),")")</f>
        <v>(44.6)</v>
      </c>
      <c r="F410" s="302">
        <f>SUM(F408:F409)</f>
        <v>4.3570900979187357</v>
      </c>
      <c r="G410" s="299" t="str">
        <f>CONCATENATE("(",ROUND((F410/$H410)*100,1),")")</f>
        <v>(10.1)</v>
      </c>
      <c r="H410" s="302">
        <f>SUM(H408:H409)</f>
        <v>43.085000000000051</v>
      </c>
      <c r="I410" s="299" t="str">
        <f>CONCATENATE("(",ROUND((H410/$H410)*100,1),")")</f>
        <v>(100)</v>
      </c>
      <c r="K410" s="302">
        <f t="shared" si="306"/>
        <v>-0.24952480300832036</v>
      </c>
      <c r="L410" s="302">
        <f t="shared" si="307"/>
        <v>-0.70645669647114318</v>
      </c>
      <c r="M410" s="302">
        <f t="shared" si="308"/>
        <v>-3.3018500520553218E-2</v>
      </c>
      <c r="N410" s="302">
        <f t="shared" si="309"/>
        <v>-0.98900000000001675</v>
      </c>
    </row>
    <row r="411" spans="1:14" x14ac:dyDescent="0.2">
      <c r="B411" s="302"/>
      <c r="C411" s="284"/>
      <c r="D411" s="302"/>
      <c r="E411" s="284"/>
      <c r="F411" s="302"/>
      <c r="G411" s="284"/>
      <c r="H411" s="302"/>
      <c r="I411" s="284"/>
    </row>
    <row r="412" spans="1:14" x14ac:dyDescent="0.2">
      <c r="A412" s="292">
        <f>$A$13</f>
        <v>2025</v>
      </c>
      <c r="B412" s="302"/>
      <c r="C412" s="284"/>
      <c r="D412" s="302"/>
      <c r="E412" s="284"/>
      <c r="F412" s="302"/>
      <c r="G412" s="284"/>
      <c r="H412" s="302"/>
      <c r="I412" s="284"/>
      <c r="K412" s="286" t="str">
        <f>CONCATENATE(A412," - ",A417)</f>
        <v>2025 - 2035</v>
      </c>
    </row>
    <row r="413" spans="1:14" x14ac:dyDescent="0.2">
      <c r="A413" s="282" t="s">
        <v>364</v>
      </c>
      <c r="B413" s="302">
        <f>'Ind T6'!Q171</f>
        <v>7.2167859070382834</v>
      </c>
      <c r="C413" s="299" t="str">
        <f>CONCATENATE("(",ROUND((B413/$H415)*100,1),")")</f>
        <v>(17.1)</v>
      </c>
      <c r="D413" s="302">
        <f>'Ind T6'!R171</f>
        <v>3.1335341118689262</v>
      </c>
      <c r="E413" s="299" t="str">
        <f>CONCATENATE("(",ROUND((D413/$H415)*100,1),")")</f>
        <v>(7.4)</v>
      </c>
      <c r="F413" s="302">
        <f>'Ind T6'!S171</f>
        <v>1.5279317810155064</v>
      </c>
      <c r="G413" s="299" t="str">
        <f>CONCATENATE("(",ROUND((F413/$H415)*100,1),")")</f>
        <v>(3.6)</v>
      </c>
      <c r="H413" s="302">
        <f>SUM(B413,D413,F413)</f>
        <v>11.878251799922717</v>
      </c>
      <c r="I413" s="299" t="str">
        <f>CONCATENATE("(",ROUND((H413/$H415)*100,1),")")</f>
        <v>(28.2)</v>
      </c>
      <c r="K413" s="302">
        <f>B418-B413</f>
        <v>-8.0824356024381316E-2</v>
      </c>
      <c r="L413" s="302">
        <f>D418-D413</f>
        <v>0.11403846525372474</v>
      </c>
      <c r="M413" s="302">
        <f>F418-F413</f>
        <v>6.9677704262700813E-2</v>
      </c>
      <c r="N413" s="302">
        <f>SUM(K413:M413)</f>
        <v>0.10289181349204424</v>
      </c>
    </row>
    <row r="414" spans="1:14" x14ac:dyDescent="0.2">
      <c r="A414" s="282" t="s">
        <v>365</v>
      </c>
      <c r="B414" s="302">
        <f>'Ind T6'!Q170</f>
        <v>12.043044872517427</v>
      </c>
      <c r="C414" s="299" t="str">
        <f>CONCATENATE("(",ROUND((B414/$H415)*100,1),")")</f>
        <v>(28.6)</v>
      </c>
      <c r="D414" s="302">
        <f>'Ind T6'!R170</f>
        <v>15.378563511177211</v>
      </c>
      <c r="E414" s="299" t="str">
        <f>CONCATENATE("(",ROUND((D414/$H415)*100,1),")")</f>
        <v>(36.5)</v>
      </c>
      <c r="F414" s="302">
        <f>'Ind T6'!S170</f>
        <v>2.7961398163826763</v>
      </c>
      <c r="G414" s="299" t="str">
        <f>CONCATENATE("(",ROUND((F414/$H415)*100,1),")")</f>
        <v>(6.6)</v>
      </c>
      <c r="H414" s="302">
        <f t="shared" ref="H414" si="310">SUM(B414,D414,F414)</f>
        <v>30.217748200077317</v>
      </c>
      <c r="I414" s="299" t="str">
        <f>CONCATENATE("(",ROUND((H414/$H415)*100,1),")")</f>
        <v>(71.8)</v>
      </c>
      <c r="K414" s="302">
        <f t="shared" ref="K414:K415" si="311">B419-B414</f>
        <v>0.74030440637706185</v>
      </c>
      <c r="L414" s="302">
        <f t="shared" ref="L414:L415" si="312">D419-D414</f>
        <v>-0.45634265108445682</v>
      </c>
      <c r="M414" s="302">
        <f t="shared" ref="M414:M415" si="313">F419-F414</f>
        <v>4.4146431215383419E-2</v>
      </c>
      <c r="N414" s="302">
        <f t="shared" ref="N414:N415" si="314">SUM(K414:M414)</f>
        <v>0.32810818650798845</v>
      </c>
    </row>
    <row r="415" spans="1:14" x14ac:dyDescent="0.2">
      <c r="A415" s="282" t="s">
        <v>363</v>
      </c>
      <c r="B415" s="302">
        <f>SUM(B413:B414)</f>
        <v>19.25983077955571</v>
      </c>
      <c r="C415" s="299" t="str">
        <f>CONCATENATE("(",ROUND((B415/$H415)*100,1),")")</f>
        <v>(45.8)</v>
      </c>
      <c r="D415" s="302">
        <f>SUM(D413:D414)</f>
        <v>18.512097623046138</v>
      </c>
      <c r="E415" s="299" t="str">
        <f>CONCATENATE("(",ROUND((D415/$H415)*100,1),")")</f>
        <v>(44)</v>
      </c>
      <c r="F415" s="302">
        <f>SUM(F413:F414)</f>
        <v>4.3240715973981825</v>
      </c>
      <c r="G415" s="299" t="str">
        <f>CONCATENATE("(",ROUND((F415/$H415)*100,1),")")</f>
        <v>(10.3)</v>
      </c>
      <c r="H415" s="302">
        <f>SUM(H413:H414)</f>
        <v>42.096000000000032</v>
      </c>
      <c r="I415" s="299" t="str">
        <f>CONCATENATE("(",ROUND((H415/$H415)*100,1),")")</f>
        <v>(100)</v>
      </c>
      <c r="K415" s="302">
        <f t="shared" si="311"/>
        <v>0.65948005035268054</v>
      </c>
      <c r="L415" s="302">
        <f t="shared" si="312"/>
        <v>-0.3423041858307343</v>
      </c>
      <c r="M415" s="302">
        <f t="shared" si="313"/>
        <v>0.1138241354780849</v>
      </c>
      <c r="N415" s="302">
        <f t="shared" si="314"/>
        <v>0.43100000000003114</v>
      </c>
    </row>
    <row r="416" spans="1:14" x14ac:dyDescent="0.2">
      <c r="B416" s="302"/>
      <c r="C416" s="284"/>
      <c r="D416" s="302"/>
      <c r="E416" s="284"/>
      <c r="F416" s="302"/>
      <c r="G416" s="284"/>
      <c r="H416" s="302"/>
      <c r="I416" s="284"/>
    </row>
    <row r="417" spans="1:14" x14ac:dyDescent="0.2">
      <c r="A417" s="292">
        <f>$A$18</f>
        <v>2035</v>
      </c>
      <c r="B417" s="302"/>
      <c r="C417" s="284"/>
      <c r="D417" s="302"/>
      <c r="E417" s="284"/>
      <c r="F417" s="302"/>
      <c r="G417" s="284"/>
      <c r="H417" s="302"/>
      <c r="I417" s="284"/>
      <c r="K417" s="286" t="str">
        <f>CONCATENATE(A407," - ",A417)</f>
        <v>2020 - 2035</v>
      </c>
    </row>
    <row r="418" spans="1:14" x14ac:dyDescent="0.2">
      <c r="A418" s="282" t="s">
        <v>364</v>
      </c>
      <c r="B418" s="302">
        <f>'Ind T6'!V171</f>
        <v>7.1359615510139021</v>
      </c>
      <c r="C418" s="299" t="str">
        <f>CONCATENATE("(",ROUND((B418/$H420)*100,1),")")</f>
        <v>(16.8)</v>
      </c>
      <c r="D418" s="302">
        <f>'Ind T6'!W171</f>
        <v>3.2475725771226509</v>
      </c>
      <c r="E418" s="299" t="str">
        <f>CONCATENATE("(",ROUND((D418/$H420)*100,1),")")</f>
        <v>(7.6)</v>
      </c>
      <c r="F418" s="302">
        <f>'Ind T6'!X171</f>
        <v>1.5976094852782072</v>
      </c>
      <c r="G418" s="299" t="str">
        <f>CONCATENATE("(",ROUND((F418/$H420)*100,1),")")</f>
        <v>(3.8)</v>
      </c>
      <c r="H418" s="302">
        <f>SUM(B418,D418,F418)</f>
        <v>11.98114361341476</v>
      </c>
      <c r="I418" s="299" t="str">
        <f>CONCATENATE("(",ROUND((H418/$H420)*100,1),")")</f>
        <v>(28.2)</v>
      </c>
      <c r="K418" s="302">
        <f>B418-B408</f>
        <v>-0.33553613255573467</v>
      </c>
      <c r="L418" s="302">
        <f>D418-D408</f>
        <v>8.8189372585116832E-2</v>
      </c>
      <c r="M418" s="302">
        <f>F418-F408</f>
        <v>6.5974023771246504E-2</v>
      </c>
      <c r="N418" s="302">
        <f>SUM(K418:M418)</f>
        <v>-0.18137273619937133</v>
      </c>
    </row>
    <row r="419" spans="1:14" x14ac:dyDescent="0.2">
      <c r="A419" s="282" t="s">
        <v>365</v>
      </c>
      <c r="B419" s="302">
        <f>'Ind T6'!V170</f>
        <v>12.783349278894489</v>
      </c>
      <c r="C419" s="299" t="str">
        <f>CONCATENATE("(",ROUND((B419/$H420)*100,1),")")</f>
        <v>(30.1)</v>
      </c>
      <c r="D419" s="302">
        <f>'Ind T6'!W170</f>
        <v>14.922220860092754</v>
      </c>
      <c r="E419" s="299" t="str">
        <f>CONCATENATE("(",ROUND((D419/$H420)*100,1),")")</f>
        <v>(35.1)</v>
      </c>
      <c r="F419" s="302">
        <f>'Ind T6'!X170</f>
        <v>2.8402862475980597</v>
      </c>
      <c r="G419" s="299" t="str">
        <f>CONCATENATE("(",ROUND((F419/$H420)*100,1),")")</f>
        <v>(6.7)</v>
      </c>
      <c r="H419" s="302">
        <f t="shared" ref="H419" si="315">SUM(B419,D419,F419)</f>
        <v>30.545856386585299</v>
      </c>
      <c r="I419" s="299" t="str">
        <f>CONCATENATE("(",ROUND((H419/$H420)*100,1),")")</f>
        <v>(71.8)</v>
      </c>
      <c r="K419" s="302">
        <f t="shared" ref="K419:K420" si="316">B419-B409</f>
        <v>0.74549137990009484</v>
      </c>
      <c r="L419" s="302">
        <f t="shared" ref="L419:L420" si="317">D419-D409</f>
        <v>-1.1369502548869939</v>
      </c>
      <c r="M419" s="302">
        <f t="shared" ref="M419:M420" si="318">F419-F409</f>
        <v>1.4831611186285176E-2</v>
      </c>
      <c r="N419" s="302">
        <f t="shared" ref="N419:N420" si="319">SUM(K419:M419)</f>
        <v>-0.37662726380061384</v>
      </c>
    </row>
    <row r="420" spans="1:14" x14ac:dyDescent="0.2">
      <c r="A420" s="282" t="s">
        <v>363</v>
      </c>
      <c r="B420" s="302">
        <f>SUM(B418:B419)</f>
        <v>19.91931082990839</v>
      </c>
      <c r="C420" s="299" t="str">
        <f>CONCATENATE("(",ROUND((B420/$H420)*100,1),")")</f>
        <v>(46.8)</v>
      </c>
      <c r="D420" s="302">
        <f>SUM(D418:D419)</f>
        <v>18.169793437215404</v>
      </c>
      <c r="E420" s="299" t="str">
        <f>CONCATENATE("(",ROUND((D420/$H420)*100,1),")")</f>
        <v>(42.7)</v>
      </c>
      <c r="F420" s="302">
        <f>SUM(F418:F419)</f>
        <v>4.4378957328762674</v>
      </c>
      <c r="G420" s="299" t="str">
        <f>CONCATENATE("(",ROUND((F420/$H420)*100,1),")")</f>
        <v>(10.4)</v>
      </c>
      <c r="H420" s="302">
        <f>SUM(H418:H419)</f>
        <v>42.527000000000058</v>
      </c>
      <c r="I420" s="299" t="str">
        <f>CONCATENATE("(",ROUND((H420/$H420)*100,1),")")</f>
        <v>(100)</v>
      </c>
      <c r="K420" s="302">
        <f t="shared" si="316"/>
        <v>0.40995524734436017</v>
      </c>
      <c r="L420" s="302">
        <f t="shared" si="317"/>
        <v>-1.0487608823018775</v>
      </c>
      <c r="M420" s="302">
        <f t="shared" si="318"/>
        <v>8.080563495753168E-2</v>
      </c>
      <c r="N420" s="302">
        <f t="shared" si="319"/>
        <v>-0.55799999999998562</v>
      </c>
    </row>
    <row r="421" spans="1:14" x14ac:dyDescent="0.2">
      <c r="A421" s="293"/>
      <c r="B421" s="294"/>
      <c r="C421" s="293"/>
      <c r="D421" s="294"/>
      <c r="E421" s="293"/>
      <c r="F421" s="294"/>
      <c r="G421" s="293"/>
      <c r="H421" s="294"/>
      <c r="I421" s="293"/>
      <c r="J421" s="293"/>
      <c r="K421" s="294"/>
      <c r="L421" s="294"/>
      <c r="M421" s="294"/>
      <c r="N421" s="294"/>
    </row>
    <row r="424" spans="1:14" x14ac:dyDescent="0.2">
      <c r="C424" s="182"/>
      <c r="E424" s="182"/>
      <c r="G424" s="182"/>
      <c r="I424" s="182"/>
    </row>
    <row r="425" spans="1:14" x14ac:dyDescent="0.2">
      <c r="A425" s="288"/>
      <c r="B425" s="289" t="s">
        <v>372</v>
      </c>
      <c r="C425" s="288"/>
      <c r="D425" s="289"/>
      <c r="E425" s="288"/>
      <c r="F425" s="289" t="str">
        <f>name!B23</f>
        <v>Health and social work</v>
      </c>
      <c r="G425" s="288"/>
      <c r="H425" s="291"/>
      <c r="I425" s="288"/>
      <c r="J425" s="290"/>
      <c r="K425" s="291"/>
      <c r="L425" s="291"/>
      <c r="M425" s="291"/>
      <c r="N425" s="291"/>
    </row>
    <row r="426" spans="1:14" x14ac:dyDescent="0.2">
      <c r="N426" s="287" t="s">
        <v>370</v>
      </c>
    </row>
    <row r="427" spans="1:14" x14ac:dyDescent="0.2">
      <c r="A427" s="182" t="s">
        <v>371</v>
      </c>
      <c r="B427" s="372" t="s">
        <v>369</v>
      </c>
      <c r="C427" s="372"/>
      <c r="D427" s="372" t="s">
        <v>368</v>
      </c>
      <c r="E427" s="372"/>
      <c r="F427" s="372" t="s">
        <v>367</v>
      </c>
      <c r="G427" s="372"/>
      <c r="H427" s="372" t="s">
        <v>33</v>
      </c>
      <c r="I427" s="372"/>
      <c r="J427" s="182"/>
      <c r="K427" s="297" t="s">
        <v>345</v>
      </c>
      <c r="L427" s="297" t="s">
        <v>347</v>
      </c>
      <c r="M427" s="297" t="s">
        <v>343</v>
      </c>
      <c r="N427" s="297" t="s">
        <v>33</v>
      </c>
    </row>
    <row r="428" spans="1:14" x14ac:dyDescent="0.2">
      <c r="A428" s="292">
        <f>$A$8</f>
        <v>2020</v>
      </c>
      <c r="B428" s="287" t="s">
        <v>66</v>
      </c>
      <c r="C428" s="20" t="s">
        <v>366</v>
      </c>
      <c r="D428" s="287" t="s">
        <v>66</v>
      </c>
      <c r="E428" s="20" t="s">
        <v>366</v>
      </c>
      <c r="F428" s="287" t="s">
        <v>66</v>
      </c>
      <c r="G428" s="20" t="s">
        <v>366</v>
      </c>
      <c r="H428" s="287" t="s">
        <v>66</v>
      </c>
      <c r="I428" s="20" t="s">
        <v>366</v>
      </c>
      <c r="J428" s="182"/>
      <c r="K428" s="286" t="str">
        <f>CONCATENATE(A428," - ",A433)</f>
        <v>2020 - 2025</v>
      </c>
      <c r="L428" s="285"/>
      <c r="M428" s="285"/>
    </row>
    <row r="429" spans="1:14" x14ac:dyDescent="0.2">
      <c r="A429" s="282" t="s">
        <v>364</v>
      </c>
      <c r="B429" s="302">
        <f>'Ind T6'!L180</f>
        <v>9.336820615716821</v>
      </c>
      <c r="C429" s="299" t="str">
        <f>CONCATENATE("(",ROUND((B429/$H431)*100,1),")")</f>
        <v>(14.3)</v>
      </c>
      <c r="D429" s="302">
        <f>'Ind T6'!M180</f>
        <v>3.2240818831141338</v>
      </c>
      <c r="E429" s="299" t="str">
        <f>CONCATENATE("(",ROUND((D429/$H431)*100,1),")")</f>
        <v>(4.9)</v>
      </c>
      <c r="F429" s="302">
        <f>'Ind T6'!N180</f>
        <v>0.98556113344576601</v>
      </c>
      <c r="G429" s="299" t="str">
        <f>CONCATENATE("(",ROUND((F429/$H431)*100,1),")")</f>
        <v>(1.5)</v>
      </c>
      <c r="H429" s="302">
        <f>SUM(B429,D429,F429)</f>
        <v>13.546463632276721</v>
      </c>
      <c r="I429" s="299" t="str">
        <f>CONCATENATE("(",ROUND((H429/$H431)*100,1),")")</f>
        <v>(20.7)</v>
      </c>
      <c r="K429" s="302">
        <f>B434-B429</f>
        <v>0.51518837933483752</v>
      </c>
      <c r="L429" s="302">
        <f>D434-D429</f>
        <v>0.26172310727049553</v>
      </c>
      <c r="M429" s="302">
        <f>F434-F429</f>
        <v>1.2249647053814705E-3</v>
      </c>
      <c r="N429" s="302">
        <f>SUM(K429:M429)</f>
        <v>0.77813645131071452</v>
      </c>
    </row>
    <row r="430" spans="1:14" x14ac:dyDescent="0.2">
      <c r="A430" s="282" t="s">
        <v>365</v>
      </c>
      <c r="B430" s="302">
        <f>'Ind T6'!L179</f>
        <v>25.937417447576856</v>
      </c>
      <c r="C430" s="299" t="str">
        <f>CONCATENATE("(",ROUND((B430/$H431)*100,1),")")</f>
        <v>(39.7)</v>
      </c>
      <c r="D430" s="302">
        <f>'Ind T6'!M179</f>
        <v>22.58222556875717</v>
      </c>
      <c r="E430" s="299" t="str">
        <f>CONCATENATE("(",ROUND((D430/$H431)*100,1),")")</f>
        <v>(34.5)</v>
      </c>
      <c r="F430" s="302">
        <f>'Ind T6'!N179</f>
        <v>3.3438933513893709</v>
      </c>
      <c r="G430" s="299" t="str">
        <f>CONCATENATE("(",ROUND((F430/$H431)*100,1),")")</f>
        <v>(5.1)</v>
      </c>
      <c r="H430" s="302">
        <f t="shared" ref="H430" si="320">SUM(B430,D430,F430)</f>
        <v>51.863536367723398</v>
      </c>
      <c r="I430" s="299" t="str">
        <f>CONCATENATE("(",ROUND((H430/$H431)*100,1),")")</f>
        <v>(79.3)</v>
      </c>
      <c r="K430" s="302">
        <f t="shared" ref="K430:K431" si="321">B435-B430</f>
        <v>2.1590612838459933</v>
      </c>
      <c r="L430" s="302">
        <f t="shared" ref="L430:L431" si="322">D435-D430</f>
        <v>0.5087556191265179</v>
      </c>
      <c r="M430" s="302">
        <f t="shared" ref="M430:M431" si="323">F435-F430</f>
        <v>0.3920466457167664</v>
      </c>
      <c r="N430" s="302">
        <f t="shared" ref="N430:N431" si="324">SUM(K430:M430)</f>
        <v>3.0598635486892776</v>
      </c>
    </row>
    <row r="431" spans="1:14" x14ac:dyDescent="0.2">
      <c r="A431" s="282" t="s">
        <v>363</v>
      </c>
      <c r="B431" s="302">
        <f>SUM(B429:B430)</f>
        <v>35.27423806329368</v>
      </c>
      <c r="C431" s="299" t="str">
        <f>CONCATENATE("(",ROUND((B431/$H431)*100,1),")")</f>
        <v>(53.9)</v>
      </c>
      <c r="D431" s="302">
        <f>SUM(D429:D430)</f>
        <v>25.806307451871305</v>
      </c>
      <c r="E431" s="299" t="str">
        <f>CONCATENATE("(",ROUND((D431/$H431)*100,1),")")</f>
        <v>(39.5)</v>
      </c>
      <c r="F431" s="302">
        <f>SUM(F429:F430)</f>
        <v>4.3294544848351366</v>
      </c>
      <c r="G431" s="299" t="str">
        <f>CONCATENATE("(",ROUND((F431/$H431)*100,1),")")</f>
        <v>(6.6)</v>
      </c>
      <c r="H431" s="302">
        <f>SUM(H429:H430)</f>
        <v>65.410000000000124</v>
      </c>
      <c r="I431" s="299" t="str">
        <f>CONCATENATE("(",ROUND((H431/$H431)*100,1),")")</f>
        <v>(100)</v>
      </c>
      <c r="K431" s="302">
        <f t="shared" si="321"/>
        <v>2.6742496631808308</v>
      </c>
      <c r="L431" s="302">
        <f t="shared" si="322"/>
        <v>0.77047872639701254</v>
      </c>
      <c r="M431" s="302">
        <f t="shared" si="323"/>
        <v>0.39327161042214787</v>
      </c>
      <c r="N431" s="302">
        <f t="shared" si="324"/>
        <v>3.8379999999999912</v>
      </c>
    </row>
    <row r="432" spans="1:14" x14ac:dyDescent="0.2">
      <c r="B432" s="302"/>
      <c r="C432" s="284"/>
      <c r="D432" s="302"/>
      <c r="E432" s="284"/>
      <c r="F432" s="302"/>
      <c r="G432" s="284"/>
      <c r="H432" s="302"/>
      <c r="I432" s="284"/>
    </row>
    <row r="433" spans="1:14" x14ac:dyDescent="0.2">
      <c r="A433" s="292">
        <f>$A$13</f>
        <v>2025</v>
      </c>
      <c r="B433" s="302"/>
      <c r="C433" s="284"/>
      <c r="D433" s="302"/>
      <c r="E433" s="284"/>
      <c r="F433" s="302"/>
      <c r="G433" s="284"/>
      <c r="H433" s="302"/>
      <c r="I433" s="284"/>
      <c r="K433" s="286" t="str">
        <f>CONCATENATE(A433," - ",A438)</f>
        <v>2025 - 2035</v>
      </c>
    </row>
    <row r="434" spans="1:14" x14ac:dyDescent="0.2">
      <c r="A434" s="282" t="s">
        <v>364</v>
      </c>
      <c r="B434" s="302">
        <f>'Ind T6'!Q180</f>
        <v>9.8520089950516585</v>
      </c>
      <c r="C434" s="299" t="str">
        <f>CONCATENATE("(",ROUND((B434/$H436)*100,1),")")</f>
        <v>(14.2)</v>
      </c>
      <c r="D434" s="302">
        <f>'Ind T6'!R180</f>
        <v>3.4858049903846293</v>
      </c>
      <c r="E434" s="299" t="str">
        <f>CONCATENATE("(",ROUND((D434/$H436)*100,1),")")</f>
        <v>(5)</v>
      </c>
      <c r="F434" s="302">
        <f>'Ind T6'!S180</f>
        <v>0.98678609815114748</v>
      </c>
      <c r="G434" s="299" t="str">
        <f>CONCATENATE("(",ROUND((F434/$H436)*100,1),")")</f>
        <v>(1.4)</v>
      </c>
      <c r="H434" s="302">
        <f>SUM(B434,D434,F434)</f>
        <v>14.324600083587436</v>
      </c>
      <c r="I434" s="299" t="str">
        <f>CONCATENATE("(",ROUND((H434/$H436)*100,1),")")</f>
        <v>(20.7)</v>
      </c>
      <c r="K434" s="302">
        <f>B439-B434</f>
        <v>0.54448587611461718</v>
      </c>
      <c r="L434" s="302">
        <f>D439-D434</f>
        <v>0.3132760573810649</v>
      </c>
      <c r="M434" s="302">
        <f>F439-F434</f>
        <v>-4.9441000345239794E-2</v>
      </c>
      <c r="N434" s="302">
        <f>SUM(K434:M434)</f>
        <v>0.80832093315044229</v>
      </c>
    </row>
    <row r="435" spans="1:14" x14ac:dyDescent="0.2">
      <c r="A435" s="282" t="s">
        <v>365</v>
      </c>
      <c r="B435" s="302">
        <f>'Ind T6'!Q179</f>
        <v>28.096478731422849</v>
      </c>
      <c r="C435" s="299" t="str">
        <f>CONCATENATE("(",ROUND((B435/$H436)*100,1),")")</f>
        <v>(40.6)</v>
      </c>
      <c r="D435" s="302">
        <f>'Ind T6'!R179</f>
        <v>23.090981187883688</v>
      </c>
      <c r="E435" s="299" t="str">
        <f>CONCATENATE("(",ROUND((D435/$H436)*100,1),")")</f>
        <v>(33.3)</v>
      </c>
      <c r="F435" s="302">
        <f>'Ind T6'!S179</f>
        <v>3.7359399971061373</v>
      </c>
      <c r="G435" s="299" t="str">
        <f>CONCATENATE("(",ROUND((F435/$H436)*100,1),")")</f>
        <v>(5.4)</v>
      </c>
      <c r="H435" s="302">
        <f t="shared" ref="H435" si="325">SUM(B435,D435,F435)</f>
        <v>54.92339991641267</v>
      </c>
      <c r="I435" s="299" t="str">
        <f>CONCATENATE("(",ROUND((H435/$H436)*100,1),")")</f>
        <v>(79.3)</v>
      </c>
      <c r="K435" s="302">
        <f t="shared" ref="K435:K436" si="326">B440-B435</f>
        <v>2.9801342970636213</v>
      </c>
      <c r="L435" s="302">
        <f t="shared" ref="L435:L436" si="327">D440-D435</f>
        <v>-0.53059893045445961</v>
      </c>
      <c r="M435" s="302">
        <f t="shared" ref="M435:M436" si="328">F440-F435</f>
        <v>0.51114370024027611</v>
      </c>
      <c r="N435" s="302">
        <f t="shared" ref="N435:N436" si="329">SUM(K435:M435)</f>
        <v>2.9606790668494378</v>
      </c>
    </row>
    <row r="436" spans="1:14" x14ac:dyDescent="0.2">
      <c r="A436" s="282" t="s">
        <v>363</v>
      </c>
      <c r="B436" s="302">
        <f>SUM(B434:B435)</f>
        <v>37.948487726474511</v>
      </c>
      <c r="C436" s="299" t="str">
        <f>CONCATENATE("(",ROUND((B436/$H436)*100,1),")")</f>
        <v>(54.8)</v>
      </c>
      <c r="D436" s="302">
        <f>SUM(D434:D435)</f>
        <v>26.576786178268318</v>
      </c>
      <c r="E436" s="299" t="str">
        <f>CONCATENATE("(",ROUND((D436/$H436)*100,1),")")</f>
        <v>(38.4)</v>
      </c>
      <c r="F436" s="302">
        <f>SUM(F434:F435)</f>
        <v>4.7227260952572845</v>
      </c>
      <c r="G436" s="299" t="str">
        <f>CONCATENATE("(",ROUND((F436/$H436)*100,1),")")</f>
        <v>(6.8)</v>
      </c>
      <c r="H436" s="302">
        <f>SUM(H434:H435)</f>
        <v>69.248000000000104</v>
      </c>
      <c r="I436" s="299" t="str">
        <f>CONCATENATE("(",ROUND((H436/$H436)*100,1),")")</f>
        <v>(100)</v>
      </c>
      <c r="K436" s="302">
        <f t="shared" si="326"/>
        <v>3.5246201731782349</v>
      </c>
      <c r="L436" s="302">
        <f t="shared" si="327"/>
        <v>-0.21732287307339604</v>
      </c>
      <c r="M436" s="302">
        <f t="shared" si="328"/>
        <v>0.46170269989503687</v>
      </c>
      <c r="N436" s="302">
        <f t="shared" si="329"/>
        <v>3.7689999999998758</v>
      </c>
    </row>
    <row r="437" spans="1:14" x14ac:dyDescent="0.2">
      <c r="B437" s="302"/>
      <c r="C437" s="284"/>
      <c r="D437" s="302"/>
      <c r="E437" s="284"/>
      <c r="F437" s="302"/>
      <c r="G437" s="284"/>
      <c r="H437" s="302"/>
      <c r="I437" s="284"/>
    </row>
    <row r="438" spans="1:14" x14ac:dyDescent="0.2">
      <c r="A438" s="292">
        <f>$A$18</f>
        <v>2035</v>
      </c>
      <c r="B438" s="302"/>
      <c r="C438" s="284"/>
      <c r="D438" s="302"/>
      <c r="E438" s="284"/>
      <c r="F438" s="302"/>
      <c r="G438" s="284"/>
      <c r="H438" s="302"/>
      <c r="I438" s="284"/>
      <c r="K438" s="286" t="str">
        <f>CONCATENATE(A428," - ",A438)</f>
        <v>2020 - 2035</v>
      </c>
    </row>
    <row r="439" spans="1:14" x14ac:dyDescent="0.2">
      <c r="A439" s="282" t="s">
        <v>364</v>
      </c>
      <c r="B439" s="302">
        <f>'Ind T6'!V180</f>
        <v>10.396494871166276</v>
      </c>
      <c r="C439" s="299" t="str">
        <f>CONCATENATE("(",ROUND((B439/$H441)*100,1),")")</f>
        <v>(14.2)</v>
      </c>
      <c r="D439" s="302">
        <f>'Ind T6'!W180</f>
        <v>3.7990810477656942</v>
      </c>
      <c r="E439" s="299" t="str">
        <f>CONCATENATE("(",ROUND((D439/$H441)*100,1),")")</f>
        <v>(5.2)</v>
      </c>
      <c r="F439" s="302">
        <f>'Ind T6'!X180</f>
        <v>0.93734509780590769</v>
      </c>
      <c r="G439" s="299" t="str">
        <f>CONCATENATE("(",ROUND((F439/$H441)*100,1),")")</f>
        <v>(1.3)</v>
      </c>
      <c r="H439" s="302">
        <f>SUM(B439,D439,F439)</f>
        <v>15.132921016737878</v>
      </c>
      <c r="I439" s="299" t="str">
        <f>CONCATENATE("(",ROUND((H439/$H441)*100,1),")")</f>
        <v>(20.7)</v>
      </c>
      <c r="K439" s="302">
        <f>B439-B429</f>
        <v>1.0596742554494547</v>
      </c>
      <c r="L439" s="302">
        <f>D439-D429</f>
        <v>0.57499916465156042</v>
      </c>
      <c r="M439" s="302">
        <f>F439-F429</f>
        <v>-4.8216035639858323E-2</v>
      </c>
      <c r="N439" s="302">
        <f>SUM(K439:M439)</f>
        <v>1.5864573844611569</v>
      </c>
    </row>
    <row r="440" spans="1:14" x14ac:dyDescent="0.2">
      <c r="A440" s="282" t="s">
        <v>365</v>
      </c>
      <c r="B440" s="302">
        <f>'Ind T6'!V179</f>
        <v>31.07661302848647</v>
      </c>
      <c r="C440" s="299" t="str">
        <f>CONCATENATE("(",ROUND((B440/$H441)*100,1),")")</f>
        <v>(42.6)</v>
      </c>
      <c r="D440" s="302">
        <f>'Ind T6'!W179</f>
        <v>22.560382257429229</v>
      </c>
      <c r="E440" s="299" t="str">
        <f>CONCATENATE("(",ROUND((D440/$H441)*100,1),")")</f>
        <v>(30.9)</v>
      </c>
      <c r="F440" s="302">
        <f>'Ind T6'!X179</f>
        <v>4.2470836973464134</v>
      </c>
      <c r="G440" s="299" t="str">
        <f>CONCATENATE("(",ROUND((F440/$H441)*100,1),")")</f>
        <v>(5.8)</v>
      </c>
      <c r="H440" s="302">
        <f t="shared" ref="H440" si="330">SUM(B440,D440,F440)</f>
        <v>57.884078983262114</v>
      </c>
      <c r="I440" s="299" t="str">
        <f>CONCATENATE("(",ROUND((H440/$H441)*100,1),")")</f>
        <v>(79.3)</v>
      </c>
      <c r="K440" s="302">
        <f t="shared" ref="K440:K441" si="331">B440-B430</f>
        <v>5.1391955809096146</v>
      </c>
      <c r="L440" s="302">
        <f t="shared" ref="L440:L441" si="332">D440-D430</f>
        <v>-2.1843311327941706E-2</v>
      </c>
      <c r="M440" s="302">
        <f t="shared" ref="M440:M441" si="333">F440-F430</f>
        <v>0.90319034595704251</v>
      </c>
      <c r="N440" s="302">
        <f t="shared" ref="N440:N441" si="334">SUM(K440:M440)</f>
        <v>6.0205426155387158</v>
      </c>
    </row>
    <row r="441" spans="1:14" x14ac:dyDescent="0.2">
      <c r="A441" s="282" t="s">
        <v>363</v>
      </c>
      <c r="B441" s="302">
        <f>SUM(B439:B440)</f>
        <v>41.473107899652746</v>
      </c>
      <c r="C441" s="299" t="str">
        <f>CONCATENATE("(",ROUND((B441/$H441)*100,1),")")</f>
        <v>(56.8)</v>
      </c>
      <c r="D441" s="302">
        <f>SUM(D439:D440)</f>
        <v>26.359463305194922</v>
      </c>
      <c r="E441" s="299" t="str">
        <f>CONCATENATE("(",ROUND((D441/$H441)*100,1),")")</f>
        <v>(36.1)</v>
      </c>
      <c r="F441" s="302">
        <f>SUM(F439:F440)</f>
        <v>5.1844287951523214</v>
      </c>
      <c r="G441" s="299" t="str">
        <f>CONCATENATE("(",ROUND((F441/$H441)*100,1),")")</f>
        <v>(7.1)</v>
      </c>
      <c r="H441" s="302">
        <f>SUM(H439:H440)</f>
        <v>73.016999999999996</v>
      </c>
      <c r="I441" s="299" t="str">
        <f>CONCATENATE("(",ROUND((H441/$H441)*100,1),")")</f>
        <v>(100)</v>
      </c>
      <c r="K441" s="302">
        <f t="shared" si="331"/>
        <v>6.1988698363590657</v>
      </c>
      <c r="L441" s="302">
        <f t="shared" si="332"/>
        <v>0.5531558533236165</v>
      </c>
      <c r="M441" s="302">
        <f t="shared" si="333"/>
        <v>0.85497431031718474</v>
      </c>
      <c r="N441" s="302">
        <f t="shared" si="334"/>
        <v>7.606999999999867</v>
      </c>
    </row>
    <row r="442" spans="1:14" x14ac:dyDescent="0.2">
      <c r="A442" s="293"/>
      <c r="B442" s="294"/>
      <c r="C442" s="293"/>
      <c r="D442" s="294"/>
      <c r="E442" s="293"/>
      <c r="F442" s="294"/>
      <c r="G442" s="293"/>
      <c r="H442" s="294"/>
      <c r="I442" s="293"/>
      <c r="J442" s="293"/>
      <c r="K442" s="294"/>
      <c r="L442" s="294"/>
      <c r="M442" s="294"/>
      <c r="N442" s="294"/>
    </row>
    <row r="446" spans="1:14" x14ac:dyDescent="0.2">
      <c r="A446" s="288"/>
      <c r="B446" s="289" t="s">
        <v>372</v>
      </c>
      <c r="C446" s="288"/>
      <c r="D446" s="289"/>
      <c r="E446" s="288"/>
      <c r="F446" s="289" t="str">
        <f>name!B24</f>
        <v>Arts and entertainment</v>
      </c>
      <c r="G446" s="288"/>
      <c r="H446" s="291"/>
      <c r="I446" s="288"/>
      <c r="J446" s="290"/>
      <c r="K446" s="291"/>
      <c r="L446" s="291"/>
      <c r="M446" s="291"/>
      <c r="N446" s="291"/>
    </row>
    <row r="447" spans="1:14" x14ac:dyDescent="0.2">
      <c r="N447" s="287" t="s">
        <v>370</v>
      </c>
    </row>
    <row r="448" spans="1:14" x14ac:dyDescent="0.2">
      <c r="A448" s="182" t="s">
        <v>371</v>
      </c>
      <c r="B448" s="372" t="s">
        <v>369</v>
      </c>
      <c r="C448" s="372"/>
      <c r="D448" s="372" t="s">
        <v>368</v>
      </c>
      <c r="E448" s="372"/>
      <c r="F448" s="372" t="s">
        <v>367</v>
      </c>
      <c r="G448" s="372"/>
      <c r="H448" s="372" t="s">
        <v>33</v>
      </c>
      <c r="I448" s="372"/>
      <c r="J448" s="182"/>
      <c r="K448" s="297" t="s">
        <v>345</v>
      </c>
      <c r="L448" s="297" t="s">
        <v>347</v>
      </c>
      <c r="M448" s="297" t="s">
        <v>343</v>
      </c>
      <c r="N448" s="297" t="s">
        <v>33</v>
      </c>
    </row>
    <row r="449" spans="1:14" x14ac:dyDescent="0.2">
      <c r="A449" s="292">
        <f>$A$8</f>
        <v>2020</v>
      </c>
      <c r="B449" s="287" t="s">
        <v>66</v>
      </c>
      <c r="C449" s="20" t="s">
        <v>366</v>
      </c>
      <c r="D449" s="287" t="s">
        <v>66</v>
      </c>
      <c r="E449" s="20" t="s">
        <v>366</v>
      </c>
      <c r="F449" s="287" t="s">
        <v>343</v>
      </c>
      <c r="G449" s="20" t="s">
        <v>366</v>
      </c>
      <c r="H449" s="287" t="s">
        <v>66</v>
      </c>
      <c r="I449" s="20" t="s">
        <v>366</v>
      </c>
      <c r="J449" s="182"/>
      <c r="K449" s="286" t="str">
        <f>CONCATENATE(A449," - ",A454)</f>
        <v>2020 - 2025</v>
      </c>
      <c r="L449" s="285"/>
      <c r="M449" s="285"/>
    </row>
    <row r="450" spans="1:14" x14ac:dyDescent="0.2">
      <c r="A450" s="282" t="s">
        <v>364</v>
      </c>
      <c r="B450" s="302">
        <f>'Ind T6'!L189</f>
        <v>2.3107906493657793</v>
      </c>
      <c r="C450" s="299" t="str">
        <f>CONCATENATE("(",ROUND((B450/$H452)*100,1),")")</f>
        <v>(20.1)</v>
      </c>
      <c r="D450" s="302">
        <f>'Ind T6'!M189</f>
        <v>1.7105065394692212</v>
      </c>
      <c r="E450" s="299" t="str">
        <f>CONCATENATE("(",ROUND((D450/$H452)*100,1),")")</f>
        <v>(14.9)</v>
      </c>
      <c r="F450" s="302">
        <f>'Ind T6'!N189</f>
        <v>1.4550320900188984</v>
      </c>
      <c r="G450" s="299" t="str">
        <f>CONCATENATE("(",ROUND((F450/$H452)*100,1),")")</f>
        <v>(12.7)</v>
      </c>
      <c r="H450" s="302">
        <f>SUM(B450,D450,F450)</f>
        <v>5.4763292788538989</v>
      </c>
      <c r="I450" s="299" t="str">
        <f>CONCATENATE("(",ROUND((H450/$H452)*100,1),")")</f>
        <v>(47.7)</v>
      </c>
      <c r="K450" s="302">
        <f>B455-B450</f>
        <v>-0.10006339559148358</v>
      </c>
      <c r="L450" s="302">
        <f>D455-D450</f>
        <v>-4.0733764935267924E-2</v>
      </c>
      <c r="M450" s="302">
        <f>F455-F450</f>
        <v>-0.15953593851067405</v>
      </c>
      <c r="N450" s="302">
        <f>SUM(K450:M450)</f>
        <v>-0.30033309903742555</v>
      </c>
    </row>
    <row r="451" spans="1:14" x14ac:dyDescent="0.2">
      <c r="A451" s="282" t="s">
        <v>365</v>
      </c>
      <c r="B451" s="302">
        <f>'Ind T6'!L188</f>
        <v>1.8030756041917013</v>
      </c>
      <c r="C451" s="299" t="str">
        <f>CONCATENATE("(",ROUND((B451/$H452)*100,1),")")</f>
        <v>(15.7)</v>
      </c>
      <c r="D451" s="302">
        <f>'Ind T6'!M188</f>
        <v>2.9840385854661928</v>
      </c>
      <c r="E451" s="299" t="str">
        <f>CONCATENATE("(",ROUND((D451/$H452)*100,1),")")</f>
        <v>(26)</v>
      </c>
      <c r="F451" s="302">
        <f>'Ind T6'!N188</f>
        <v>1.2185565314881943</v>
      </c>
      <c r="G451" s="299" t="str">
        <f>CONCATENATE("(",ROUND((F451/$H452)*100,1),")")</f>
        <v>(10.6)</v>
      </c>
      <c r="H451" s="302">
        <f t="shared" ref="H451" si="335">SUM(B451,D451,F451)</f>
        <v>6.005670721146088</v>
      </c>
      <c r="I451" s="299" t="str">
        <f>CONCATENATE("(",ROUND((H451/$H452)*100,1),")")</f>
        <v>(52.3)</v>
      </c>
      <c r="K451" s="302">
        <f t="shared" ref="K451:K452" si="336">B456-B451</f>
        <v>-0.18520252135143855</v>
      </c>
      <c r="L451" s="302">
        <f t="shared" ref="L451:L452" si="337">D456-D451</f>
        <v>-0.20920160535289156</v>
      </c>
      <c r="M451" s="302">
        <f t="shared" ref="M451:M452" si="338">F456-F451</f>
        <v>-0.23226277425821595</v>
      </c>
      <c r="N451" s="302">
        <f t="shared" ref="N451:N452" si="339">SUM(K451:M451)</f>
        <v>-0.62666690096254607</v>
      </c>
    </row>
    <row r="452" spans="1:14" x14ac:dyDescent="0.2">
      <c r="A452" s="282" t="s">
        <v>363</v>
      </c>
      <c r="B452" s="302">
        <f>SUM(B450:B451)</f>
        <v>4.1138662535574806</v>
      </c>
      <c r="C452" s="299" t="str">
        <f>CONCATENATE("(",ROUND((B452/$H452)*100,1),")")</f>
        <v>(35.8)</v>
      </c>
      <c r="D452" s="302">
        <f>SUM(D450:D451)</f>
        <v>4.6945451249354138</v>
      </c>
      <c r="E452" s="299" t="str">
        <f>CONCATENATE("(",ROUND((D452/$H452)*100,1),")")</f>
        <v>(40.9)</v>
      </c>
      <c r="F452" s="302">
        <f>SUM(F450:F451)</f>
        <v>2.6735886215070925</v>
      </c>
      <c r="G452" s="299" t="str">
        <f>CONCATENATE("(",ROUND((F452/$H452)*100,1),")")</f>
        <v>(23.3)</v>
      </c>
      <c r="H452" s="302">
        <f>SUM(H450:H451)</f>
        <v>11.481999999999987</v>
      </c>
      <c r="I452" s="299" t="str">
        <f>CONCATENATE("(",ROUND((H452/$H452)*100,1),")")</f>
        <v>(100)</v>
      </c>
      <c r="K452" s="302">
        <f t="shared" si="336"/>
        <v>-0.28526591694292236</v>
      </c>
      <c r="L452" s="302">
        <f t="shared" si="337"/>
        <v>-0.24993537028815904</v>
      </c>
      <c r="M452" s="302">
        <f t="shared" si="338"/>
        <v>-0.39179871276888978</v>
      </c>
      <c r="N452" s="302">
        <f t="shared" si="339"/>
        <v>-0.92699999999997118</v>
      </c>
    </row>
    <row r="453" spans="1:14" x14ac:dyDescent="0.2">
      <c r="B453" s="302"/>
      <c r="C453" s="284"/>
      <c r="D453" s="302"/>
      <c r="E453" s="284"/>
      <c r="F453" s="302"/>
      <c r="G453" s="284"/>
      <c r="H453" s="302"/>
      <c r="I453" s="284"/>
    </row>
    <row r="454" spans="1:14" x14ac:dyDescent="0.2">
      <c r="A454" s="292">
        <f>$A$13</f>
        <v>2025</v>
      </c>
      <c r="B454" s="302"/>
      <c r="C454" s="284"/>
      <c r="D454" s="302"/>
      <c r="E454" s="284"/>
      <c r="F454" s="302"/>
      <c r="G454" s="284"/>
      <c r="H454" s="302"/>
      <c r="I454" s="284"/>
      <c r="K454" s="286" t="str">
        <f>CONCATENATE(A454," - ",A459)</f>
        <v>2025 - 2035</v>
      </c>
    </row>
    <row r="455" spans="1:14" x14ac:dyDescent="0.2">
      <c r="A455" s="282" t="s">
        <v>364</v>
      </c>
      <c r="B455" s="302">
        <f>'Ind T6'!Q189</f>
        <v>2.2107272537742957</v>
      </c>
      <c r="C455" s="299" t="str">
        <f>CONCATENATE("(",ROUND((B455/$H457)*100,1),")")</f>
        <v>(20.9)</v>
      </c>
      <c r="D455" s="302">
        <f>'Ind T6'!R189</f>
        <v>1.6697727745339532</v>
      </c>
      <c r="E455" s="299" t="str">
        <f>CONCATENATE("(",ROUND((D455/$H457)*100,1),")")</f>
        <v>(15.8)</v>
      </c>
      <c r="F455" s="302">
        <f>'Ind T6'!S189</f>
        <v>1.2954961515082244</v>
      </c>
      <c r="G455" s="299" t="str">
        <f>CONCATENATE("(",ROUND((F455/$H457)*100,1),")")</f>
        <v>(12.3)</v>
      </c>
      <c r="H455" s="302">
        <f>SUM(B455,D455,F455)</f>
        <v>5.1759961798164733</v>
      </c>
      <c r="I455" s="299" t="str">
        <f>CONCATENATE("(",ROUND((H455/$H457)*100,1),")")</f>
        <v>(49)</v>
      </c>
      <c r="K455" s="302">
        <f>B460-B455</f>
        <v>3.0403317828358478E-2</v>
      </c>
      <c r="L455" s="302">
        <f>D460-D455</f>
        <v>9.0413862817028567E-2</v>
      </c>
      <c r="M455" s="302">
        <f>F460-F455</f>
        <v>7.5965897088475343E-2</v>
      </c>
      <c r="N455" s="302">
        <f>SUM(K455:M455)</f>
        <v>0.19678307773386239</v>
      </c>
    </row>
    <row r="456" spans="1:14" x14ac:dyDescent="0.2">
      <c r="A456" s="282" t="s">
        <v>365</v>
      </c>
      <c r="B456" s="302">
        <f>'Ind T6'!Q188</f>
        <v>1.6178730828402628</v>
      </c>
      <c r="C456" s="299" t="str">
        <f>CONCATENATE("(",ROUND((B456/$H457)*100,1),")")</f>
        <v>(15.3)</v>
      </c>
      <c r="D456" s="302">
        <f>'Ind T6'!R188</f>
        <v>2.7748369801133013</v>
      </c>
      <c r="E456" s="299" t="str">
        <f>CONCATENATE("(",ROUND((D456/$H457)*100,1),")")</f>
        <v>(26.3)</v>
      </c>
      <c r="F456" s="302">
        <f>'Ind T6'!S188</f>
        <v>0.98629375722997836</v>
      </c>
      <c r="G456" s="299" t="str">
        <f>CONCATENATE("(",ROUND((F456/$H457)*100,1),")")</f>
        <v>(9.3)</v>
      </c>
      <c r="H456" s="302">
        <f t="shared" ref="H456" si="340">SUM(B456,D456,F456)</f>
        <v>5.3790038201835424</v>
      </c>
      <c r="I456" s="299" t="str">
        <f>CONCATENATE("(",ROUND((H456/$H457)*100,1),")")</f>
        <v>(51)</v>
      </c>
      <c r="K456" s="302">
        <f t="shared" ref="K456:K457" si="341">B461-B456</f>
        <v>-7.7609536712765159E-2</v>
      </c>
      <c r="L456" s="302">
        <f t="shared" ref="L456:L457" si="342">D461-D456</f>
        <v>2.1013002171381689E-2</v>
      </c>
      <c r="M456" s="302">
        <f t="shared" ref="M456:M457" si="343">F461-F456</f>
        <v>6.7813456807503947E-2</v>
      </c>
      <c r="N456" s="302">
        <f t="shared" ref="N456:N457" si="344">SUM(K456:M456)</f>
        <v>1.1216922266120477E-2</v>
      </c>
    </row>
    <row r="457" spans="1:14" x14ac:dyDescent="0.2">
      <c r="A457" s="282" t="s">
        <v>363</v>
      </c>
      <c r="B457" s="302">
        <f>SUM(B455:B456)</f>
        <v>3.8286003366145582</v>
      </c>
      <c r="C457" s="299" t="str">
        <f>CONCATENATE("(",ROUND((B457/$H457)*100,1),")")</f>
        <v>(36.3)</v>
      </c>
      <c r="D457" s="302">
        <f>SUM(D455:D456)</f>
        <v>4.4446097546472547</v>
      </c>
      <c r="E457" s="299" t="str">
        <f>CONCATENATE("(",ROUND((D457/$H457)*100,1),")")</f>
        <v>(42.1)</v>
      </c>
      <c r="F457" s="302">
        <f>SUM(F455:F456)</f>
        <v>2.2817899087382028</v>
      </c>
      <c r="G457" s="299" t="str">
        <f>CONCATENATE("(",ROUND((F457/$H457)*100,1),")")</f>
        <v>(21.6)</v>
      </c>
      <c r="H457" s="302">
        <f>SUM(H455:H456)</f>
        <v>10.555000000000016</v>
      </c>
      <c r="I457" s="299" t="str">
        <f>CONCATENATE("(",ROUND((H457/$H457)*100,1),")")</f>
        <v>(100)</v>
      </c>
      <c r="K457" s="302">
        <f t="shared" si="341"/>
        <v>-4.7206218884406681E-2</v>
      </c>
      <c r="L457" s="302">
        <f t="shared" si="342"/>
        <v>0.11142686498840959</v>
      </c>
      <c r="M457" s="302">
        <f t="shared" si="343"/>
        <v>0.14377935389597951</v>
      </c>
      <c r="N457" s="302">
        <f t="shared" si="344"/>
        <v>0.20799999999998242</v>
      </c>
    </row>
    <row r="458" spans="1:14" x14ac:dyDescent="0.2">
      <c r="B458" s="302"/>
      <c r="C458" s="284"/>
      <c r="D458" s="302"/>
      <c r="E458" s="284"/>
      <c r="F458" s="302"/>
      <c r="G458" s="284"/>
      <c r="H458" s="302"/>
      <c r="I458" s="284"/>
    </row>
    <row r="459" spans="1:14" x14ac:dyDescent="0.2">
      <c r="A459" s="292">
        <f>$A$18</f>
        <v>2035</v>
      </c>
      <c r="B459" s="302"/>
      <c r="C459" s="284"/>
      <c r="D459" s="302"/>
      <c r="E459" s="284"/>
      <c r="F459" s="302"/>
      <c r="G459" s="284"/>
      <c r="H459" s="302"/>
      <c r="I459" s="284"/>
      <c r="K459" s="286" t="str">
        <f>CONCATENATE(A449," - ",A459)</f>
        <v>2020 - 2035</v>
      </c>
    </row>
    <row r="460" spans="1:14" x14ac:dyDescent="0.2">
      <c r="A460" s="282" t="s">
        <v>364</v>
      </c>
      <c r="B460" s="302">
        <f>'Ind T6'!V189</f>
        <v>2.2411305716026542</v>
      </c>
      <c r="C460" s="299" t="str">
        <f>CONCATENATE("(",ROUND((B460/$H462)*100,1),")")</f>
        <v>(20.8)</v>
      </c>
      <c r="D460" s="302">
        <f>'Ind T6'!W189</f>
        <v>1.7601866373509818</v>
      </c>
      <c r="E460" s="299" t="str">
        <f>CONCATENATE("(",ROUND((D460/$H462)*100,1),")")</f>
        <v>(16.4)</v>
      </c>
      <c r="F460" s="302">
        <f>'Ind T6'!X189</f>
        <v>1.3714620485966997</v>
      </c>
      <c r="G460" s="299" t="str">
        <f>CONCATENATE("(",ROUND((F460/$H462)*100,1),")")</f>
        <v>(12.7)</v>
      </c>
      <c r="H460" s="302">
        <f>SUM(B460,D460,F460)</f>
        <v>5.3727792575503361</v>
      </c>
      <c r="I460" s="299" t="str">
        <f>CONCATENATE("(",ROUND((H460/$H462)*100,1),")")</f>
        <v>(49.9)</v>
      </c>
      <c r="K460" s="302">
        <f>B460-B450</f>
        <v>-6.9660077763125106E-2</v>
      </c>
      <c r="L460" s="302">
        <f>D460-D450</f>
        <v>4.9680097881760643E-2</v>
      </c>
      <c r="M460" s="302">
        <f>F460-F450</f>
        <v>-8.3570041422198704E-2</v>
      </c>
      <c r="N460" s="302">
        <f>SUM(K460:M460)</f>
        <v>-0.10355002130356317</v>
      </c>
    </row>
    <row r="461" spans="1:14" x14ac:dyDescent="0.2">
      <c r="A461" s="282" t="s">
        <v>365</v>
      </c>
      <c r="B461" s="302">
        <f>'Ind T6'!V188</f>
        <v>1.5402635461274976</v>
      </c>
      <c r="C461" s="299" t="str">
        <f>CONCATENATE("(",ROUND((B461/$H462)*100,1),")")</f>
        <v>(14.3)</v>
      </c>
      <c r="D461" s="302">
        <f>'Ind T6'!W188</f>
        <v>2.795849982284683</v>
      </c>
      <c r="E461" s="299" t="str">
        <f>CONCATENATE("(",ROUND((D461/$H462)*100,1),")")</f>
        <v>(26)</v>
      </c>
      <c r="F461" s="302">
        <f>'Ind T6'!X188</f>
        <v>1.0541072140374823</v>
      </c>
      <c r="G461" s="299" t="str">
        <f>CONCATENATE("(",ROUND((F461/$H462)*100,1),")")</f>
        <v>(9.8)</v>
      </c>
      <c r="H461" s="302">
        <f t="shared" ref="H461" si="345">SUM(B461,D461,F461)</f>
        <v>5.3902207424496629</v>
      </c>
      <c r="I461" s="299" t="str">
        <f>CONCATENATE("(",ROUND((H461/$H462)*100,1),")")</f>
        <v>(50.1)</v>
      </c>
      <c r="K461" s="302">
        <f t="shared" ref="K461:K462" si="346">B461-B451</f>
        <v>-0.26281205806420371</v>
      </c>
      <c r="L461" s="302">
        <f t="shared" ref="L461:L462" si="347">D461-D451</f>
        <v>-0.18818860318150987</v>
      </c>
      <c r="M461" s="302">
        <f t="shared" ref="M461:M462" si="348">F461-F451</f>
        <v>-0.16444931745071201</v>
      </c>
      <c r="N461" s="302">
        <f t="shared" ref="N461:N462" si="349">SUM(K461:M461)</f>
        <v>-0.61544997869642559</v>
      </c>
    </row>
    <row r="462" spans="1:14" x14ac:dyDescent="0.2">
      <c r="A462" s="282" t="s">
        <v>363</v>
      </c>
      <c r="B462" s="302">
        <f>SUM(B460:B461)</f>
        <v>3.7813941177301515</v>
      </c>
      <c r="C462" s="299" t="str">
        <f>CONCATENATE("(",ROUND((B462/$H462)*100,1),")")</f>
        <v>(35.1)</v>
      </c>
      <c r="D462" s="302">
        <f>SUM(D460:D461)</f>
        <v>4.5560366196356643</v>
      </c>
      <c r="E462" s="299" t="str">
        <f>CONCATENATE("(",ROUND((D462/$H462)*100,1),")")</f>
        <v>(42.3)</v>
      </c>
      <c r="F462" s="302">
        <f>SUM(F460:F461)</f>
        <v>2.4255692626341823</v>
      </c>
      <c r="G462" s="299" t="str">
        <f>CONCATENATE("(",ROUND((F462/$H462)*100,1),")")</f>
        <v>(22.5)</v>
      </c>
      <c r="H462" s="302">
        <f>SUM(H460:H461)</f>
        <v>10.762999999999998</v>
      </c>
      <c r="I462" s="299" t="str">
        <f>CONCATENATE("(",ROUND((H462/$H462)*100,1),")")</f>
        <v>(100)</v>
      </c>
      <c r="K462" s="302">
        <f t="shared" si="346"/>
        <v>-0.33247213582732904</v>
      </c>
      <c r="L462" s="302">
        <f t="shared" si="347"/>
        <v>-0.13850850529974945</v>
      </c>
      <c r="M462" s="302">
        <f t="shared" si="348"/>
        <v>-0.24801935887291027</v>
      </c>
      <c r="N462" s="302">
        <f t="shared" si="349"/>
        <v>-0.71899999999998876</v>
      </c>
    </row>
    <row r="463" spans="1:14" x14ac:dyDescent="0.2">
      <c r="A463" s="293"/>
      <c r="B463" s="294"/>
      <c r="C463" s="293"/>
      <c r="D463" s="294"/>
      <c r="E463" s="293"/>
      <c r="F463" s="294"/>
      <c r="G463" s="293"/>
      <c r="H463" s="294"/>
      <c r="I463" s="293"/>
      <c r="J463" s="293"/>
      <c r="K463" s="294"/>
      <c r="L463" s="294"/>
      <c r="M463" s="294"/>
      <c r="N463" s="294"/>
    </row>
    <row r="466" spans="1:14" x14ac:dyDescent="0.2">
      <c r="C466" s="182"/>
      <c r="E466" s="182"/>
      <c r="G466" s="182"/>
      <c r="I466" s="182"/>
    </row>
    <row r="467" spans="1:14" x14ac:dyDescent="0.2">
      <c r="A467" s="288"/>
      <c r="B467" s="289" t="s">
        <v>372</v>
      </c>
      <c r="C467" s="288"/>
      <c r="D467" s="289"/>
      <c r="E467" s="288"/>
      <c r="F467" s="289" t="str">
        <f>name!B25</f>
        <v>Other services</v>
      </c>
      <c r="G467" s="288"/>
      <c r="H467" s="291"/>
      <c r="I467" s="288"/>
      <c r="J467" s="290"/>
      <c r="K467" s="291"/>
      <c r="L467" s="291"/>
      <c r="M467" s="291"/>
      <c r="N467" s="291"/>
    </row>
    <row r="468" spans="1:14" x14ac:dyDescent="0.2">
      <c r="N468" s="287" t="s">
        <v>370</v>
      </c>
    </row>
    <row r="469" spans="1:14" x14ac:dyDescent="0.2">
      <c r="A469" s="182" t="s">
        <v>371</v>
      </c>
      <c r="B469" s="372" t="s">
        <v>369</v>
      </c>
      <c r="C469" s="372"/>
      <c r="D469" s="372" t="s">
        <v>368</v>
      </c>
      <c r="E469" s="372"/>
      <c r="F469" s="372" t="s">
        <v>367</v>
      </c>
      <c r="G469" s="372"/>
      <c r="H469" s="372" t="s">
        <v>33</v>
      </c>
      <c r="I469" s="372"/>
      <c r="J469" s="182"/>
      <c r="K469" s="297" t="s">
        <v>345</v>
      </c>
      <c r="L469" s="297" t="s">
        <v>347</v>
      </c>
      <c r="M469" s="297" t="s">
        <v>343</v>
      </c>
      <c r="N469" s="297" t="s">
        <v>33</v>
      </c>
    </row>
    <row r="470" spans="1:14" x14ac:dyDescent="0.2">
      <c r="A470" s="292">
        <f>$A$8</f>
        <v>2020</v>
      </c>
      <c r="B470" s="287" t="s">
        <v>66</v>
      </c>
      <c r="C470" s="20" t="s">
        <v>366</v>
      </c>
      <c r="D470" s="287" t="s">
        <v>66</v>
      </c>
      <c r="E470" s="20" t="s">
        <v>366</v>
      </c>
      <c r="F470" s="287" t="s">
        <v>66</v>
      </c>
      <c r="G470" s="20" t="s">
        <v>366</v>
      </c>
      <c r="H470" s="287" t="s">
        <v>66</v>
      </c>
      <c r="I470" s="20" t="s">
        <v>366</v>
      </c>
      <c r="J470" s="182"/>
      <c r="K470" s="286" t="str">
        <f>CONCATENATE(A470," - ",A475)</f>
        <v>2020 - 2025</v>
      </c>
      <c r="L470" s="285"/>
      <c r="M470" s="285"/>
    </row>
    <row r="471" spans="1:14" x14ac:dyDescent="0.2">
      <c r="A471" s="282" t="s">
        <v>364</v>
      </c>
      <c r="B471" s="302">
        <f>'Ind T6'!L198</f>
        <v>2.9360852497028884</v>
      </c>
      <c r="C471" s="299" t="str">
        <f>CONCATENATE("(",ROUND((B471/$H473)*100,1),")")</f>
        <v>(18.2)</v>
      </c>
      <c r="D471" s="302">
        <f>'Ind T6'!M198</f>
        <v>1.109588908256711</v>
      </c>
      <c r="E471" s="299" t="str">
        <f>CONCATENATE("(",ROUND((D471/$H473)*100,1),")")</f>
        <v>(6.9)</v>
      </c>
      <c r="F471" s="302">
        <f>'Ind T6'!N198</f>
        <v>1.59932717773224</v>
      </c>
      <c r="G471" s="299" t="str">
        <f>CONCATENATE("(",ROUND((F471/$H473)*100,1),")")</f>
        <v>(9.9)</v>
      </c>
      <c r="H471" s="302">
        <f>SUM(B471,D471,F471)</f>
        <v>5.6450013356918394</v>
      </c>
      <c r="I471" s="299" t="str">
        <f>CONCATENATE("(",ROUND((H471/$H473)*100,1),")")</f>
        <v>(35)</v>
      </c>
      <c r="K471" s="302">
        <f>B476-B471</f>
        <v>-0.15079357858117204</v>
      </c>
      <c r="L471" s="302">
        <f>D476-D471</f>
        <v>-9.3970323195736505E-2</v>
      </c>
      <c r="M471" s="302">
        <f>F476-F471</f>
        <v>-8.4130337708295588E-2</v>
      </c>
      <c r="N471" s="302">
        <f>SUM(K471:M471)</f>
        <v>-0.32889423948520413</v>
      </c>
    </row>
    <row r="472" spans="1:14" x14ac:dyDescent="0.2">
      <c r="A472" s="282" t="s">
        <v>365</v>
      </c>
      <c r="B472" s="302">
        <f>'Ind T6'!L197</f>
        <v>2.4770581881466085</v>
      </c>
      <c r="C472" s="299" t="str">
        <f>CONCATENATE("(",ROUND((B472/$H473)*100,1),")")</f>
        <v>(15.3)</v>
      </c>
      <c r="D472" s="302">
        <f>'Ind T6'!M197</f>
        <v>2.4843257259550078</v>
      </c>
      <c r="E472" s="299" t="str">
        <f>CONCATENATE("(",ROUND((D472/$H473)*100,1),")")</f>
        <v>(15.4)</v>
      </c>
      <c r="F472" s="302">
        <f>'Ind T6'!N197</f>
        <v>5.5416147502065289</v>
      </c>
      <c r="G472" s="299" t="str">
        <f>CONCATENATE("(",ROUND((F472/$H473)*100,1),")")</f>
        <v>(34.3)</v>
      </c>
      <c r="H472" s="302">
        <f t="shared" ref="H472" si="350">SUM(B472,D472,F472)</f>
        <v>10.502998664308144</v>
      </c>
      <c r="I472" s="299" t="str">
        <f>CONCATENATE("(",ROUND((H472/$H473)*100,1),")")</f>
        <v>(65)</v>
      </c>
      <c r="K472" s="302">
        <f t="shared" ref="K472:K473" si="351">B477-B472</f>
        <v>-0.27296922818341285</v>
      </c>
      <c r="L472" s="302">
        <f t="shared" ref="L472:L473" si="352">D477-D472</f>
        <v>-0.2345087793193521</v>
      </c>
      <c r="M472" s="302">
        <f t="shared" ref="M472:M473" si="353">F477-F472</f>
        <v>-0.43562775301201473</v>
      </c>
      <c r="N472" s="302">
        <f t="shared" ref="N472:N473" si="354">SUM(K472:M472)</f>
        <v>-0.94310576051477968</v>
      </c>
    </row>
    <row r="473" spans="1:14" x14ac:dyDescent="0.2">
      <c r="A473" s="282" t="s">
        <v>363</v>
      </c>
      <c r="B473" s="302">
        <f>SUM(B471:B472)</f>
        <v>5.4131434378494969</v>
      </c>
      <c r="C473" s="299" t="str">
        <f>CONCATENATE("(",ROUND((B473/$H473)*100,1),")")</f>
        <v>(33.5)</v>
      </c>
      <c r="D473" s="302">
        <f>SUM(D471:D472)</f>
        <v>3.5939146342117185</v>
      </c>
      <c r="E473" s="299" t="str">
        <f>CONCATENATE("(",ROUND((D473/$H473)*100,1),")")</f>
        <v>(22.3)</v>
      </c>
      <c r="F473" s="302">
        <f>SUM(F471:F472)</f>
        <v>7.1409419279387691</v>
      </c>
      <c r="G473" s="299" t="str">
        <f>CONCATENATE("(",ROUND((F473/$H473)*100,1),")")</f>
        <v>(44.2)</v>
      </c>
      <c r="H473" s="302">
        <f>SUM(H471:H472)</f>
        <v>16.147999999999982</v>
      </c>
      <c r="I473" s="299" t="str">
        <f>CONCATENATE("(",ROUND((H473/$H473)*100,1),")")</f>
        <v>(100)</v>
      </c>
      <c r="K473" s="302">
        <f t="shared" si="351"/>
        <v>-0.42376280676458489</v>
      </c>
      <c r="L473" s="302">
        <f t="shared" si="352"/>
        <v>-0.32847910251508861</v>
      </c>
      <c r="M473" s="302">
        <f t="shared" si="353"/>
        <v>-0.51975809072031076</v>
      </c>
      <c r="N473" s="302">
        <f t="shared" si="354"/>
        <v>-1.2719999999999843</v>
      </c>
    </row>
    <row r="474" spans="1:14" x14ac:dyDescent="0.2">
      <c r="B474" s="302"/>
      <c r="C474" s="284"/>
      <c r="D474" s="302"/>
      <c r="E474" s="284"/>
      <c r="F474" s="302"/>
      <c r="G474" s="284"/>
      <c r="H474" s="302"/>
      <c r="I474" s="284"/>
    </row>
    <row r="475" spans="1:14" x14ac:dyDescent="0.2">
      <c r="A475" s="292">
        <f>$A$13</f>
        <v>2025</v>
      </c>
      <c r="B475" s="302"/>
      <c r="C475" s="284"/>
      <c r="D475" s="302"/>
      <c r="E475" s="284"/>
      <c r="F475" s="302"/>
      <c r="G475" s="284"/>
      <c r="H475" s="302"/>
      <c r="I475" s="284"/>
      <c r="K475" s="286" t="str">
        <f>CONCATENATE(A475," - ",A480)</f>
        <v>2025 - 2035</v>
      </c>
    </row>
    <row r="476" spans="1:14" x14ac:dyDescent="0.2">
      <c r="A476" s="282" t="s">
        <v>364</v>
      </c>
      <c r="B476" s="302">
        <f>'Ind T6'!Q198</f>
        <v>2.7852916711217164</v>
      </c>
      <c r="C476" s="299" t="str">
        <f>CONCATENATE("(",ROUND((B476/$H478)*100,1),")")</f>
        <v>(18.7)</v>
      </c>
      <c r="D476" s="302">
        <f>'Ind T6'!R198</f>
        <v>1.0156185850609745</v>
      </c>
      <c r="E476" s="299" t="str">
        <f>CONCATENATE("(",ROUND((D476/$H478)*100,1),")")</f>
        <v>(6.8)</v>
      </c>
      <c r="F476" s="302">
        <f>'Ind T6'!S198</f>
        <v>1.5151968400239444</v>
      </c>
      <c r="G476" s="299" t="str">
        <f>CONCATENATE("(",ROUND((F476/$H478)*100,1),")")</f>
        <v>(10.2)</v>
      </c>
      <c r="H476" s="302">
        <f>SUM(B476,D476,F476)</f>
        <v>5.3161070962066352</v>
      </c>
      <c r="I476" s="299" t="str">
        <f>CONCATENATE("(",ROUND((H476/$H478)*100,1),")")</f>
        <v>(35.7)</v>
      </c>
      <c r="K476" s="302">
        <f>B481-B476</f>
        <v>7.570934217204961E-2</v>
      </c>
      <c r="L476" s="302">
        <f>D481-D476</f>
        <v>-1.7010041920504593E-2</v>
      </c>
      <c r="M476" s="302">
        <f>F481-F476</f>
        <v>3.471975521540771E-2</v>
      </c>
      <c r="N476" s="302">
        <f>SUM(K476:M476)</f>
        <v>9.3419055466952727E-2</v>
      </c>
    </row>
    <row r="477" spans="1:14" x14ac:dyDescent="0.2">
      <c r="A477" s="282" t="s">
        <v>365</v>
      </c>
      <c r="B477" s="302">
        <f>'Ind T6'!Q197</f>
        <v>2.2040889599631956</v>
      </c>
      <c r="C477" s="299" t="str">
        <f>CONCATENATE("(",ROUND((B477/$H478)*100,1),")")</f>
        <v>(14.8)</v>
      </c>
      <c r="D477" s="302">
        <f>'Ind T6'!R197</f>
        <v>2.2498169466356557</v>
      </c>
      <c r="E477" s="299" t="str">
        <f>CONCATENATE("(",ROUND((D477/$H478)*100,1),")")</f>
        <v>(15.1)</v>
      </c>
      <c r="F477" s="302">
        <f>'Ind T6'!S197</f>
        <v>5.1059869971945142</v>
      </c>
      <c r="G477" s="299" t="str">
        <f>CONCATENATE("(",ROUND((F477/$H478)*100,1),")")</f>
        <v>(34.3)</v>
      </c>
      <c r="H477" s="302">
        <f t="shared" ref="H477" si="355">SUM(B477,D477,F477)</f>
        <v>9.5598929037933651</v>
      </c>
      <c r="I477" s="299" t="str">
        <f>CONCATENATE("(",ROUND((H477/$H478)*100,1),")")</f>
        <v>(64.3)</v>
      </c>
      <c r="K477" s="302">
        <f t="shared" ref="K477:K478" si="356">B482-B477</f>
        <v>-0.1411590355450012</v>
      </c>
      <c r="L477" s="302">
        <f t="shared" ref="L477:L478" si="357">D482-D477</f>
        <v>-0.11482949631863404</v>
      </c>
      <c r="M477" s="302">
        <f t="shared" ref="M477:M478" si="358">F482-F477</f>
        <v>-0.17843052360333367</v>
      </c>
      <c r="N477" s="302">
        <f t="shared" ref="N477:N478" si="359">SUM(K477:M477)</f>
        <v>-0.43441905546696891</v>
      </c>
    </row>
    <row r="478" spans="1:14" x14ac:dyDescent="0.2">
      <c r="A478" s="282" t="s">
        <v>363</v>
      </c>
      <c r="B478" s="302">
        <f>SUM(B476:B477)</f>
        <v>4.989380631084912</v>
      </c>
      <c r="C478" s="299" t="str">
        <f>CONCATENATE("(",ROUND((B478/$H478)*100,1),")")</f>
        <v>(33.5)</v>
      </c>
      <c r="D478" s="302">
        <f>SUM(D476:D477)</f>
        <v>3.2654355316966299</v>
      </c>
      <c r="E478" s="299" t="str">
        <f>CONCATENATE("(",ROUND((D478/$H478)*100,1),")")</f>
        <v>(22)</v>
      </c>
      <c r="F478" s="302">
        <f>SUM(F476:F477)</f>
        <v>6.6211838372184584</v>
      </c>
      <c r="G478" s="299" t="str">
        <f>CONCATENATE("(",ROUND((F478/$H478)*100,1),")")</f>
        <v>(44.5)</v>
      </c>
      <c r="H478" s="302">
        <f>SUM(H476:H477)</f>
        <v>14.876000000000001</v>
      </c>
      <c r="I478" s="299" t="str">
        <f>CONCATENATE("(",ROUND((H478/$H478)*100,1),")")</f>
        <v>(100)</v>
      </c>
      <c r="K478" s="302">
        <f t="shared" si="356"/>
        <v>-6.5449693372952034E-2</v>
      </c>
      <c r="L478" s="302">
        <f t="shared" si="357"/>
        <v>-0.13183953823913841</v>
      </c>
      <c r="M478" s="302">
        <f t="shared" si="358"/>
        <v>-0.14371076838792618</v>
      </c>
      <c r="N478" s="302">
        <f t="shared" si="359"/>
        <v>-0.34100000000001662</v>
      </c>
    </row>
    <row r="479" spans="1:14" x14ac:dyDescent="0.2">
      <c r="B479" s="302"/>
      <c r="C479" s="284"/>
      <c r="D479" s="302"/>
      <c r="E479" s="284"/>
      <c r="F479" s="302"/>
      <c r="G479" s="284"/>
      <c r="H479" s="302"/>
      <c r="I479" s="284"/>
    </row>
    <row r="480" spans="1:14" x14ac:dyDescent="0.2">
      <c r="A480" s="292">
        <f>$A$18</f>
        <v>2035</v>
      </c>
      <c r="B480" s="302"/>
      <c r="C480" s="284"/>
      <c r="D480" s="302"/>
      <c r="E480" s="284"/>
      <c r="F480" s="302"/>
      <c r="G480" s="284"/>
      <c r="H480" s="302"/>
      <c r="I480" s="284"/>
      <c r="K480" s="286" t="str">
        <f>CONCATENATE(A470," - ",A480)</f>
        <v>2020 - 2035</v>
      </c>
    </row>
    <row r="481" spans="1:14" x14ac:dyDescent="0.2">
      <c r="A481" s="282" t="s">
        <v>364</v>
      </c>
      <c r="B481" s="302">
        <f>'Ind T6'!V198</f>
        <v>2.861001013293766</v>
      </c>
      <c r="C481" s="299" t="str">
        <f>CONCATENATE("(",ROUND((B481/$H483)*100,1),")")</f>
        <v>(19.7)</v>
      </c>
      <c r="D481" s="302">
        <f>'Ind T6'!W198</f>
        <v>0.99860854314046987</v>
      </c>
      <c r="E481" s="299" t="str">
        <f>CONCATENATE("(",ROUND((D481/$H483)*100,1),")")</f>
        <v>(6.9)</v>
      </c>
      <c r="F481" s="302">
        <f>'Ind T6'!X198</f>
        <v>1.5499165952393521</v>
      </c>
      <c r="G481" s="299" t="str">
        <f>CONCATENATE("(",ROUND((F481/$H483)*100,1),")")</f>
        <v>(10.7)</v>
      </c>
      <c r="H481" s="302">
        <f>SUM(B481,D481,F481)</f>
        <v>5.409526151673588</v>
      </c>
      <c r="I481" s="299" t="str">
        <f>CONCATENATE("(",ROUND((H481/$H483)*100,1),")")</f>
        <v>(37.2)</v>
      </c>
      <c r="K481" s="302">
        <f>B481-B471</f>
        <v>-7.5084236409122429E-2</v>
      </c>
      <c r="L481" s="302">
        <f>D481-D471</f>
        <v>-0.1109803651162411</v>
      </c>
      <c r="M481" s="302">
        <f>F481-F471</f>
        <v>-4.9410582492887878E-2</v>
      </c>
      <c r="N481" s="302">
        <f>SUM(K481:M481)</f>
        <v>-0.2354751840182514</v>
      </c>
    </row>
    <row r="482" spans="1:14" x14ac:dyDescent="0.2">
      <c r="A482" s="282" t="s">
        <v>365</v>
      </c>
      <c r="B482" s="302">
        <f>'Ind T6'!V197</f>
        <v>2.0629299244181944</v>
      </c>
      <c r="C482" s="299" t="str">
        <f>CONCATENATE("(",ROUND((B482/$H483)*100,1),")")</f>
        <v>(14.2)</v>
      </c>
      <c r="D482" s="302">
        <f>'Ind T6'!W197</f>
        <v>2.1349874503170216</v>
      </c>
      <c r="E482" s="299" t="str">
        <f>CONCATENATE("(",ROUND((D482/$H483)*100,1),")")</f>
        <v>(14.7)</v>
      </c>
      <c r="F482" s="302">
        <f>'Ind T6'!X197</f>
        <v>4.9275564735911805</v>
      </c>
      <c r="G482" s="299" t="str">
        <f>CONCATENATE("(",ROUND((F482/$H483)*100,1),")")</f>
        <v>(33.9)</v>
      </c>
      <c r="H482" s="302">
        <f t="shared" ref="H482" si="360">SUM(B482,D482,F482)</f>
        <v>9.1254738483263971</v>
      </c>
      <c r="I482" s="299" t="str">
        <f>CONCATENATE("(",ROUND((H482/$H483)*100,1),")")</f>
        <v>(62.8)</v>
      </c>
      <c r="K482" s="302">
        <f t="shared" ref="K482:K483" si="361">B482-B472</f>
        <v>-0.41412826372841405</v>
      </c>
      <c r="L482" s="302">
        <f t="shared" ref="L482:L483" si="362">D482-D472</f>
        <v>-0.34933827563798614</v>
      </c>
      <c r="M482" s="302">
        <f t="shared" ref="M482:M483" si="363">F482-F472</f>
        <v>-0.6140582766153484</v>
      </c>
      <c r="N482" s="302">
        <f t="shared" ref="N482:N483" si="364">SUM(K482:M482)</f>
        <v>-1.3775248159817486</v>
      </c>
    </row>
    <row r="483" spans="1:14" x14ac:dyDescent="0.2">
      <c r="A483" s="282" t="s">
        <v>363</v>
      </c>
      <c r="B483" s="302">
        <f>SUM(B481:B482)</f>
        <v>4.92393093771196</v>
      </c>
      <c r="C483" s="299" t="str">
        <f>CONCATENATE("(",ROUND((B483/$H483)*100,1),")")</f>
        <v>(33.9)</v>
      </c>
      <c r="D483" s="302">
        <f>SUM(D481:D482)</f>
        <v>3.1335959934574915</v>
      </c>
      <c r="E483" s="299" t="str">
        <f>CONCATENATE("(",ROUND((D483/$H483)*100,1),")")</f>
        <v>(21.6)</v>
      </c>
      <c r="F483" s="302">
        <f>SUM(F481:F482)</f>
        <v>6.4774730688305322</v>
      </c>
      <c r="G483" s="299" t="str">
        <f>CONCATENATE("(",ROUND((F483/$H483)*100,1),")")</f>
        <v>(44.6)</v>
      </c>
      <c r="H483" s="302">
        <f>SUM(H481:H482)</f>
        <v>14.534999999999986</v>
      </c>
      <c r="I483" s="299" t="str">
        <f>CONCATENATE("(",ROUND((H483/$H483)*100,1),")")</f>
        <v>(100)</v>
      </c>
      <c r="K483" s="302">
        <f t="shared" si="361"/>
        <v>-0.48921250013753692</v>
      </c>
      <c r="L483" s="302">
        <f t="shared" si="362"/>
        <v>-0.46031864075422702</v>
      </c>
      <c r="M483" s="302">
        <f t="shared" si="363"/>
        <v>-0.66346885910823694</v>
      </c>
      <c r="N483" s="302">
        <f t="shared" si="364"/>
        <v>-1.6130000000000009</v>
      </c>
    </row>
    <row r="484" spans="1:14" x14ac:dyDescent="0.2">
      <c r="A484" s="293"/>
      <c r="B484" s="294"/>
      <c r="C484" s="293"/>
      <c r="D484" s="294"/>
      <c r="E484" s="293"/>
      <c r="F484" s="294"/>
      <c r="G484" s="293"/>
      <c r="H484" s="294"/>
      <c r="I484" s="293"/>
      <c r="J484" s="293"/>
      <c r="K484" s="294"/>
      <c r="L484" s="294"/>
      <c r="M484" s="294"/>
      <c r="N484" s="294"/>
    </row>
    <row r="488" spans="1:14" x14ac:dyDescent="0.2">
      <c r="A488" s="182"/>
      <c r="B488" s="285"/>
      <c r="C488" s="182"/>
      <c r="D488" s="285"/>
      <c r="E488" s="182"/>
      <c r="F488" s="285"/>
      <c r="G488" s="182"/>
      <c r="I488" s="182"/>
    </row>
    <row r="489" spans="1:14" x14ac:dyDescent="0.2">
      <c r="N489" s="287"/>
    </row>
    <row r="490" spans="1:14" x14ac:dyDescent="0.2">
      <c r="A490" s="182"/>
      <c r="B490" s="372"/>
      <c r="C490" s="372"/>
      <c r="D490" s="372"/>
      <c r="E490" s="372"/>
      <c r="F490" s="372"/>
      <c r="G490" s="372"/>
      <c r="H490" s="372"/>
      <c r="I490" s="372"/>
      <c r="J490" s="182"/>
      <c r="K490" s="287"/>
      <c r="L490" s="287"/>
      <c r="M490" s="287"/>
      <c r="N490" s="287"/>
    </row>
    <row r="491" spans="1:14" x14ac:dyDescent="0.2">
      <c r="A491" s="292"/>
      <c r="B491" s="287"/>
      <c r="C491" s="20"/>
      <c r="D491" s="287"/>
      <c r="E491" s="20"/>
      <c r="F491" s="287"/>
      <c r="G491" s="20"/>
      <c r="H491" s="287"/>
      <c r="I491" s="20"/>
      <c r="J491" s="182"/>
      <c r="K491" s="286"/>
      <c r="L491" s="285"/>
      <c r="M491" s="285"/>
    </row>
    <row r="492" spans="1:14" x14ac:dyDescent="0.2">
      <c r="B492" s="249"/>
      <c r="C492" s="284"/>
      <c r="D492" s="249"/>
      <c r="E492" s="284"/>
      <c r="F492" s="249"/>
      <c r="G492" s="284"/>
      <c r="H492" s="249"/>
      <c r="I492" s="284"/>
      <c r="K492" s="249"/>
      <c r="L492" s="249"/>
      <c r="M492" s="249"/>
      <c r="N492" s="249"/>
    </row>
    <row r="493" spans="1:14" x14ac:dyDescent="0.2">
      <c r="B493" s="249"/>
      <c r="C493" s="284"/>
      <c r="D493" s="249"/>
      <c r="E493" s="284"/>
      <c r="F493" s="249"/>
      <c r="G493" s="284"/>
      <c r="H493" s="249"/>
      <c r="I493" s="284"/>
      <c r="K493" s="249"/>
      <c r="L493" s="249"/>
      <c r="M493" s="249"/>
      <c r="N493" s="249"/>
    </row>
    <row r="494" spans="1:14" x14ac:dyDescent="0.2">
      <c r="B494" s="249"/>
      <c r="C494" s="284"/>
      <c r="D494" s="249"/>
      <c r="E494" s="284"/>
      <c r="F494" s="249"/>
      <c r="G494" s="284"/>
      <c r="H494" s="249"/>
      <c r="I494" s="284"/>
      <c r="K494" s="249"/>
      <c r="L494" s="249"/>
      <c r="M494" s="249"/>
      <c r="N494" s="249"/>
    </row>
    <row r="495" spans="1:14" x14ac:dyDescent="0.2">
      <c r="B495" s="249"/>
      <c r="C495" s="284"/>
      <c r="D495" s="249"/>
      <c r="E495" s="284"/>
      <c r="F495" s="249"/>
      <c r="G495" s="284"/>
      <c r="H495" s="249"/>
      <c r="I495" s="284"/>
    </row>
    <row r="496" spans="1:14" x14ac:dyDescent="0.2">
      <c r="A496" s="292"/>
      <c r="B496" s="249"/>
      <c r="C496" s="284"/>
      <c r="D496" s="249"/>
      <c r="E496" s="284"/>
      <c r="F496" s="249"/>
      <c r="G496" s="284"/>
      <c r="H496" s="249"/>
      <c r="I496" s="284"/>
      <c r="K496" s="285"/>
    </row>
    <row r="497" spans="1:14" x14ac:dyDescent="0.2">
      <c r="B497" s="249"/>
      <c r="C497" s="284"/>
      <c r="D497" s="249"/>
      <c r="E497" s="284"/>
      <c r="F497" s="249"/>
      <c r="G497" s="284"/>
      <c r="H497" s="249"/>
      <c r="I497" s="284"/>
      <c r="K497" s="249"/>
      <c r="L497" s="249"/>
      <c r="M497" s="249"/>
      <c r="N497" s="249"/>
    </row>
    <row r="498" spans="1:14" x14ac:dyDescent="0.2">
      <c r="B498" s="249"/>
      <c r="C498" s="284"/>
      <c r="D498" s="249"/>
      <c r="E498" s="284"/>
      <c r="F498" s="249"/>
      <c r="G498" s="284"/>
      <c r="H498" s="249"/>
      <c r="I498" s="284"/>
      <c r="K498" s="249"/>
      <c r="L498" s="249"/>
      <c r="M498" s="249"/>
      <c r="N498" s="249"/>
    </row>
    <row r="499" spans="1:14" x14ac:dyDescent="0.2">
      <c r="B499" s="249"/>
      <c r="C499" s="284"/>
      <c r="D499" s="249"/>
      <c r="E499" s="284"/>
      <c r="F499" s="249"/>
      <c r="G499" s="284"/>
      <c r="H499" s="249"/>
      <c r="I499" s="284"/>
      <c r="K499" s="249"/>
      <c r="L499" s="249"/>
      <c r="M499" s="249"/>
      <c r="N499" s="249"/>
    </row>
    <row r="500" spans="1:14" x14ac:dyDescent="0.2">
      <c r="B500" s="249"/>
      <c r="C500" s="284"/>
      <c r="D500" s="249"/>
      <c r="E500" s="284"/>
      <c r="F500" s="249"/>
      <c r="G500" s="284"/>
      <c r="H500" s="249"/>
      <c r="I500" s="284"/>
    </row>
    <row r="501" spans="1:14" x14ac:dyDescent="0.2">
      <c r="A501" s="292"/>
      <c r="B501" s="249"/>
      <c r="C501" s="284"/>
      <c r="D501" s="249"/>
      <c r="E501" s="284"/>
      <c r="F501" s="249"/>
      <c r="G501" s="284"/>
      <c r="H501" s="249"/>
      <c r="I501" s="284"/>
      <c r="K501" s="285"/>
    </row>
    <row r="502" spans="1:14" x14ac:dyDescent="0.2">
      <c r="B502" s="249"/>
      <c r="C502" s="284"/>
      <c r="D502" s="249"/>
      <c r="E502" s="284"/>
      <c r="F502" s="249"/>
      <c r="G502" s="284"/>
      <c r="H502" s="249"/>
      <c r="I502" s="284"/>
      <c r="K502" s="249"/>
      <c r="L502" s="249"/>
      <c r="M502" s="249"/>
      <c r="N502" s="249"/>
    </row>
    <row r="503" spans="1:14" x14ac:dyDescent="0.2">
      <c r="B503" s="249"/>
      <c r="C503" s="284"/>
      <c r="D503" s="249"/>
      <c r="E503" s="284"/>
      <c r="F503" s="249"/>
      <c r="G503" s="284"/>
      <c r="H503" s="249"/>
      <c r="I503" s="284"/>
      <c r="K503" s="249"/>
      <c r="L503" s="249"/>
      <c r="M503" s="249"/>
      <c r="N503" s="249"/>
    </row>
    <row r="504" spans="1:14" x14ac:dyDescent="0.2">
      <c r="B504" s="249"/>
      <c r="C504" s="284"/>
      <c r="D504" s="249"/>
      <c r="E504" s="284"/>
      <c r="F504" s="249"/>
      <c r="G504" s="284"/>
      <c r="H504" s="249"/>
      <c r="I504" s="284"/>
      <c r="K504" s="249"/>
      <c r="L504" s="249"/>
      <c r="M504" s="249"/>
      <c r="N504" s="249"/>
    </row>
    <row r="509" spans="1:14" x14ac:dyDescent="0.2">
      <c r="A509" s="182"/>
      <c r="B509" s="285"/>
      <c r="C509" s="182"/>
      <c r="D509" s="285"/>
      <c r="E509" s="182"/>
      <c r="F509" s="285"/>
      <c r="G509" s="182"/>
      <c r="I509" s="182"/>
    </row>
    <row r="510" spans="1:14" x14ac:dyDescent="0.2">
      <c r="N510" s="287"/>
    </row>
    <row r="511" spans="1:14" x14ac:dyDescent="0.2">
      <c r="A511" s="182"/>
      <c r="B511" s="372"/>
      <c r="C511" s="372"/>
      <c r="D511" s="372"/>
      <c r="E511" s="372"/>
      <c r="F511" s="372"/>
      <c r="G511" s="372"/>
      <c r="H511" s="372"/>
      <c r="I511" s="372"/>
      <c r="J511" s="182"/>
      <c r="K511" s="287"/>
      <c r="L511" s="287"/>
      <c r="M511" s="287"/>
      <c r="N511" s="287"/>
    </row>
    <row r="512" spans="1:14" x14ac:dyDescent="0.2">
      <c r="A512" s="292"/>
      <c r="B512" s="287"/>
      <c r="C512" s="20"/>
      <c r="D512" s="287"/>
      <c r="E512" s="20"/>
      <c r="F512" s="287"/>
      <c r="G512" s="20"/>
      <c r="H512" s="287"/>
      <c r="I512" s="20"/>
      <c r="J512" s="182"/>
      <c r="K512" s="286"/>
      <c r="L512" s="285"/>
      <c r="M512" s="285"/>
    </row>
    <row r="513" spans="1:14" x14ac:dyDescent="0.2">
      <c r="B513" s="249"/>
      <c r="C513" s="284"/>
      <c r="D513" s="249"/>
      <c r="E513" s="284"/>
      <c r="F513" s="249"/>
      <c r="G513" s="284"/>
      <c r="H513" s="249"/>
      <c r="I513" s="284"/>
      <c r="K513" s="249"/>
      <c r="L513" s="249"/>
      <c r="M513" s="249"/>
      <c r="N513" s="249"/>
    </row>
    <row r="514" spans="1:14" x14ac:dyDescent="0.2">
      <c r="B514" s="249"/>
      <c r="C514" s="284"/>
      <c r="D514" s="249"/>
      <c r="E514" s="284"/>
      <c r="F514" s="249"/>
      <c r="G514" s="284"/>
      <c r="H514" s="249"/>
      <c r="I514" s="284"/>
      <c r="K514" s="249"/>
      <c r="L514" s="249"/>
      <c r="M514" s="249"/>
      <c r="N514" s="249"/>
    </row>
    <row r="515" spans="1:14" x14ac:dyDescent="0.2">
      <c r="B515" s="249"/>
      <c r="C515" s="284"/>
      <c r="D515" s="249"/>
      <c r="E515" s="284"/>
      <c r="F515" s="249"/>
      <c r="G515" s="284"/>
      <c r="H515" s="249"/>
      <c r="I515" s="284"/>
      <c r="K515" s="249"/>
      <c r="L515" s="249"/>
      <c r="M515" s="249"/>
      <c r="N515" s="249"/>
    </row>
    <row r="516" spans="1:14" x14ac:dyDescent="0.2">
      <c r="B516" s="249"/>
      <c r="C516" s="284"/>
      <c r="D516" s="249"/>
      <c r="E516" s="284"/>
      <c r="F516" s="249"/>
      <c r="G516" s="284"/>
      <c r="H516" s="249"/>
      <c r="I516" s="284"/>
    </row>
    <row r="517" spans="1:14" x14ac:dyDescent="0.2">
      <c r="A517" s="292"/>
      <c r="B517" s="249"/>
      <c r="C517" s="284"/>
      <c r="D517" s="249"/>
      <c r="E517" s="284"/>
      <c r="F517" s="249"/>
      <c r="G517" s="284"/>
      <c r="H517" s="249"/>
      <c r="I517" s="284"/>
      <c r="K517" s="285"/>
    </row>
    <row r="518" spans="1:14" x14ac:dyDescent="0.2">
      <c r="B518" s="249"/>
      <c r="C518" s="284"/>
      <c r="D518" s="249"/>
      <c r="E518" s="284"/>
      <c r="F518" s="249"/>
      <c r="G518" s="284"/>
      <c r="H518" s="249"/>
      <c r="I518" s="284"/>
      <c r="K518" s="249"/>
      <c r="L518" s="249"/>
      <c r="M518" s="249"/>
      <c r="N518" s="249"/>
    </row>
    <row r="519" spans="1:14" x14ac:dyDescent="0.2">
      <c r="B519" s="249"/>
      <c r="C519" s="284"/>
      <c r="D519" s="249"/>
      <c r="E519" s="284"/>
      <c r="F519" s="249"/>
      <c r="G519" s="284"/>
      <c r="H519" s="249"/>
      <c r="I519" s="284"/>
      <c r="K519" s="249"/>
      <c r="L519" s="249"/>
      <c r="M519" s="249"/>
      <c r="N519" s="249"/>
    </row>
    <row r="520" spans="1:14" x14ac:dyDescent="0.2">
      <c r="B520" s="249"/>
      <c r="C520" s="284"/>
      <c r="D520" s="249"/>
      <c r="E520" s="284"/>
      <c r="F520" s="249"/>
      <c r="G520" s="284"/>
      <c r="H520" s="249"/>
      <c r="I520" s="284"/>
      <c r="K520" s="249"/>
      <c r="L520" s="249"/>
      <c r="M520" s="249"/>
      <c r="N520" s="249"/>
    </row>
    <row r="521" spans="1:14" x14ac:dyDescent="0.2">
      <c r="B521" s="249"/>
      <c r="C521" s="284"/>
      <c r="D521" s="249"/>
      <c r="E521" s="284"/>
      <c r="F521" s="249"/>
      <c r="G521" s="284"/>
      <c r="H521" s="249"/>
      <c r="I521" s="284"/>
    </row>
    <row r="522" spans="1:14" x14ac:dyDescent="0.2">
      <c r="A522" s="292"/>
      <c r="B522" s="249"/>
      <c r="C522" s="284"/>
      <c r="D522" s="249"/>
      <c r="E522" s="284"/>
      <c r="F522" s="249"/>
      <c r="G522" s="284"/>
      <c r="H522" s="249"/>
      <c r="I522" s="284"/>
      <c r="K522" s="285"/>
    </row>
    <row r="523" spans="1:14" x14ac:dyDescent="0.2">
      <c r="B523" s="249"/>
      <c r="C523" s="284"/>
      <c r="D523" s="249"/>
      <c r="E523" s="284"/>
      <c r="F523" s="249"/>
      <c r="G523" s="284"/>
      <c r="H523" s="249"/>
      <c r="I523" s="284"/>
      <c r="K523" s="249"/>
      <c r="L523" s="249"/>
      <c r="M523" s="249"/>
      <c r="N523" s="249"/>
    </row>
    <row r="524" spans="1:14" x14ac:dyDescent="0.2">
      <c r="B524" s="249"/>
      <c r="C524" s="284"/>
      <c r="D524" s="249"/>
      <c r="E524" s="284"/>
      <c r="F524" s="249"/>
      <c r="G524" s="284"/>
      <c r="H524" s="249"/>
      <c r="I524" s="284"/>
      <c r="K524" s="249"/>
      <c r="L524" s="249"/>
      <c r="M524" s="249"/>
      <c r="N524" s="249"/>
    </row>
    <row r="525" spans="1:14" x14ac:dyDescent="0.2">
      <c r="B525" s="249"/>
      <c r="C525" s="284"/>
      <c r="D525" s="249"/>
      <c r="E525" s="284"/>
      <c r="F525" s="249"/>
      <c r="G525" s="284"/>
      <c r="H525" s="249"/>
      <c r="I525" s="284"/>
      <c r="K525" s="249"/>
      <c r="L525" s="249"/>
      <c r="M525" s="249"/>
      <c r="N525" s="249"/>
    </row>
    <row r="530" spans="1:14" x14ac:dyDescent="0.2">
      <c r="A530" s="182"/>
      <c r="B530" s="285"/>
      <c r="C530" s="182"/>
      <c r="D530" s="285"/>
      <c r="E530" s="182"/>
      <c r="F530" s="285"/>
      <c r="G530" s="182"/>
      <c r="H530" s="285"/>
      <c r="I530" s="182"/>
    </row>
    <row r="531" spans="1:14" x14ac:dyDescent="0.2">
      <c r="N531" s="287"/>
    </row>
    <row r="532" spans="1:14" x14ac:dyDescent="0.2">
      <c r="A532" s="182"/>
      <c r="B532" s="285"/>
      <c r="C532" s="182"/>
      <c r="D532" s="285"/>
      <c r="E532" s="182"/>
      <c r="F532" s="285"/>
      <c r="G532" s="182"/>
      <c r="H532" s="285"/>
      <c r="I532" s="182"/>
      <c r="J532" s="182"/>
      <c r="K532" s="287"/>
      <c r="L532" s="287"/>
      <c r="M532" s="287"/>
      <c r="N532" s="287"/>
    </row>
    <row r="533" spans="1:14" x14ac:dyDescent="0.2">
      <c r="A533" s="292"/>
      <c r="B533" s="287"/>
      <c r="C533" s="20"/>
      <c r="D533" s="287"/>
      <c r="E533" s="20"/>
      <c r="F533" s="287"/>
      <c r="G533" s="20"/>
      <c r="H533" s="287"/>
      <c r="I533" s="20"/>
      <c r="J533" s="182"/>
      <c r="K533" s="286"/>
      <c r="L533" s="285"/>
      <c r="M533" s="285"/>
    </row>
    <row r="534" spans="1:14" x14ac:dyDescent="0.2">
      <c r="C534" s="284"/>
      <c r="E534" s="284"/>
      <c r="G534" s="284"/>
      <c r="I534" s="284"/>
    </row>
    <row r="535" spans="1:14" x14ac:dyDescent="0.2">
      <c r="C535" s="284"/>
      <c r="E535" s="284"/>
      <c r="G535" s="284"/>
      <c r="I535" s="284"/>
    </row>
    <row r="536" spans="1:14" x14ac:dyDescent="0.2">
      <c r="C536" s="284"/>
      <c r="E536" s="284"/>
      <c r="G536" s="284"/>
      <c r="I536" s="284"/>
    </row>
    <row r="537" spans="1:14" x14ac:dyDescent="0.2">
      <c r="C537" s="284"/>
      <c r="E537" s="284"/>
      <c r="G537" s="284"/>
      <c r="I537" s="284"/>
    </row>
    <row r="538" spans="1:14" x14ac:dyDescent="0.2">
      <c r="A538" s="292"/>
      <c r="C538" s="284"/>
      <c r="E538" s="284"/>
      <c r="G538" s="284"/>
      <c r="I538" s="284"/>
      <c r="K538" s="285"/>
    </row>
    <row r="539" spans="1:14" x14ac:dyDescent="0.2">
      <c r="C539" s="284"/>
      <c r="E539" s="284"/>
      <c r="G539" s="284"/>
      <c r="I539" s="284"/>
    </row>
    <row r="540" spans="1:14" x14ac:dyDescent="0.2">
      <c r="C540" s="284"/>
      <c r="E540" s="284"/>
      <c r="G540" s="284"/>
      <c r="I540" s="284"/>
    </row>
    <row r="541" spans="1:14" x14ac:dyDescent="0.2">
      <c r="C541" s="284"/>
      <c r="E541" s="284"/>
      <c r="G541" s="284"/>
      <c r="I541" s="284"/>
    </row>
    <row r="542" spans="1:14" x14ac:dyDescent="0.2">
      <c r="C542" s="284"/>
      <c r="E542" s="284"/>
      <c r="G542" s="284"/>
      <c r="I542" s="284"/>
    </row>
    <row r="543" spans="1:14" x14ac:dyDescent="0.2">
      <c r="A543" s="292"/>
      <c r="C543" s="284"/>
      <c r="E543" s="284"/>
      <c r="G543" s="284"/>
      <c r="I543" s="284"/>
      <c r="K543" s="285"/>
    </row>
    <row r="544" spans="1:14" x14ac:dyDescent="0.2">
      <c r="C544" s="284"/>
      <c r="E544" s="284"/>
      <c r="G544" s="284"/>
      <c r="I544" s="284"/>
    </row>
    <row r="545" spans="1:9" x14ac:dyDescent="0.2">
      <c r="C545" s="284"/>
      <c r="E545" s="284"/>
      <c r="G545" s="284"/>
      <c r="I545" s="284"/>
    </row>
    <row r="546" spans="1:9" x14ac:dyDescent="0.2">
      <c r="C546" s="284"/>
      <c r="E546" s="284"/>
      <c r="G546" s="284"/>
      <c r="I546" s="284"/>
    </row>
    <row r="557" spans="1:9" x14ac:dyDescent="0.2">
      <c r="C557" s="182"/>
      <c r="E557" s="182"/>
      <c r="G557" s="182"/>
      <c r="I557" s="182"/>
    </row>
    <row r="558" spans="1:9" x14ac:dyDescent="0.2">
      <c r="A558" s="182"/>
      <c r="B558" s="285"/>
      <c r="C558" s="182"/>
      <c r="D558" s="285"/>
      <c r="E558" s="182"/>
      <c r="F558" s="285"/>
      <c r="G558" s="182"/>
      <c r="H558" s="285"/>
      <c r="I558" s="182"/>
    </row>
    <row r="559" spans="1:9" x14ac:dyDescent="0.2">
      <c r="A559" s="182"/>
      <c r="B559" s="285"/>
      <c r="C559" s="182"/>
      <c r="D559" s="285"/>
      <c r="E559" s="182"/>
      <c r="F559" s="285"/>
      <c r="G559" s="182"/>
      <c r="H559" s="285"/>
      <c r="I559" s="182"/>
    </row>
    <row r="560" spans="1:9" x14ac:dyDescent="0.2">
      <c r="A560" s="182"/>
      <c r="B560" s="285"/>
      <c r="C560" s="182"/>
      <c r="D560" s="285"/>
      <c r="E560" s="182"/>
      <c r="F560" s="285"/>
      <c r="G560" s="182"/>
      <c r="H560" s="285"/>
      <c r="I560" s="182"/>
    </row>
    <row r="561" spans="1:9" x14ac:dyDescent="0.2">
      <c r="A561" s="182"/>
      <c r="B561" s="285"/>
      <c r="C561" s="182"/>
      <c r="D561" s="285"/>
      <c r="E561" s="182"/>
      <c r="F561" s="285"/>
      <c r="G561" s="182"/>
      <c r="H561" s="285"/>
      <c r="I561" s="182"/>
    </row>
    <row r="562" spans="1:9" x14ac:dyDescent="0.2">
      <c r="A562" s="182"/>
      <c r="B562" s="285"/>
      <c r="C562" s="182"/>
      <c r="D562" s="285"/>
      <c r="E562" s="182"/>
      <c r="F562" s="285"/>
      <c r="G562" s="182"/>
      <c r="H562" s="285"/>
      <c r="I562" s="182"/>
    </row>
    <row r="563" spans="1:9" x14ac:dyDescent="0.2">
      <c r="A563" s="182"/>
      <c r="B563" s="285"/>
      <c r="C563" s="182"/>
      <c r="D563" s="285"/>
      <c r="E563" s="182"/>
      <c r="F563" s="285"/>
      <c r="G563" s="182"/>
      <c r="H563" s="285"/>
      <c r="I563" s="182"/>
    </row>
    <row r="564" spans="1:9" x14ac:dyDescent="0.2">
      <c r="A564" s="182"/>
      <c r="B564" s="285"/>
      <c r="C564" s="182"/>
      <c r="D564" s="285"/>
      <c r="E564" s="182"/>
      <c r="F564" s="285"/>
      <c r="G564" s="182"/>
      <c r="H564" s="285"/>
      <c r="I564" s="182"/>
    </row>
    <row r="565" spans="1:9" x14ac:dyDescent="0.2">
      <c r="A565" s="182"/>
      <c r="B565" s="285"/>
      <c r="C565" s="182"/>
      <c r="D565" s="285"/>
      <c r="E565" s="182"/>
      <c r="F565" s="285"/>
      <c r="G565" s="182"/>
      <c r="H565" s="285"/>
      <c r="I565" s="182"/>
    </row>
    <row r="566" spans="1:9" x14ac:dyDescent="0.2">
      <c r="A566" s="182"/>
      <c r="B566" s="285"/>
      <c r="C566" s="182"/>
      <c r="D566" s="285"/>
      <c r="E566" s="182"/>
      <c r="F566" s="285"/>
      <c r="G566" s="182"/>
      <c r="H566" s="285"/>
      <c r="I566" s="182"/>
    </row>
    <row r="567" spans="1:9" x14ac:dyDescent="0.2">
      <c r="A567" s="182"/>
      <c r="B567" s="285"/>
      <c r="C567" s="182"/>
      <c r="D567" s="285"/>
      <c r="E567" s="182"/>
      <c r="F567" s="285"/>
      <c r="G567" s="182"/>
      <c r="H567" s="285"/>
      <c r="I567" s="182"/>
    </row>
    <row r="568" spans="1:9" x14ac:dyDescent="0.2">
      <c r="A568" s="182"/>
      <c r="B568" s="285"/>
      <c r="C568" s="182"/>
      <c r="D568" s="285"/>
      <c r="E568" s="182"/>
      <c r="F568" s="285"/>
      <c r="G568" s="182"/>
      <c r="H568" s="285"/>
      <c r="I568" s="182"/>
    </row>
    <row r="569" spans="1:9" x14ac:dyDescent="0.2">
      <c r="A569" s="182"/>
      <c r="B569" s="285"/>
      <c r="C569" s="182"/>
      <c r="D569" s="285"/>
      <c r="E569" s="182"/>
      <c r="F569" s="285"/>
      <c r="G569" s="182"/>
      <c r="H569" s="285"/>
      <c r="I569" s="182"/>
    </row>
    <row r="570" spans="1:9" x14ac:dyDescent="0.2">
      <c r="A570" s="182"/>
      <c r="B570" s="285"/>
      <c r="C570" s="182"/>
      <c r="D570" s="285"/>
      <c r="E570" s="182"/>
      <c r="F570" s="285"/>
      <c r="G570" s="182"/>
      <c r="H570" s="285"/>
      <c r="I570" s="182"/>
    </row>
    <row r="571" spans="1:9" x14ac:dyDescent="0.2">
      <c r="A571" s="182"/>
      <c r="B571" s="285"/>
      <c r="C571" s="182"/>
      <c r="D571" s="285"/>
      <c r="E571" s="182"/>
      <c r="F571" s="285"/>
      <c r="G571" s="182"/>
      <c r="H571" s="285"/>
      <c r="I571" s="182"/>
    </row>
    <row r="572" spans="1:9" x14ac:dyDescent="0.2">
      <c r="A572" s="182"/>
      <c r="B572" s="285"/>
      <c r="C572" s="182"/>
      <c r="D572" s="285"/>
      <c r="E572" s="182"/>
      <c r="F572" s="285"/>
      <c r="G572" s="182"/>
      <c r="H572" s="285"/>
      <c r="I572" s="182"/>
    </row>
    <row r="573" spans="1:9" x14ac:dyDescent="0.2">
      <c r="A573" s="182"/>
      <c r="B573" s="285"/>
      <c r="C573" s="182"/>
      <c r="D573" s="285"/>
      <c r="E573" s="182"/>
      <c r="F573" s="285"/>
      <c r="G573" s="182"/>
      <c r="H573" s="285"/>
      <c r="I573" s="182"/>
    </row>
    <row r="574" spans="1:9" x14ac:dyDescent="0.2">
      <c r="A574" s="182"/>
      <c r="B574" s="285"/>
      <c r="C574" s="182"/>
      <c r="D574" s="285"/>
      <c r="E574" s="182"/>
      <c r="F574" s="285"/>
      <c r="G574" s="182"/>
      <c r="H574" s="285"/>
      <c r="I574" s="182"/>
    </row>
    <row r="575" spans="1:9" x14ac:dyDescent="0.2">
      <c r="A575" s="182"/>
      <c r="B575" s="285"/>
      <c r="C575" s="182"/>
      <c r="D575" s="285"/>
      <c r="E575" s="182"/>
      <c r="F575" s="285"/>
      <c r="G575" s="182"/>
      <c r="H575" s="285"/>
      <c r="I575" s="182"/>
    </row>
    <row r="576" spans="1:9" x14ac:dyDescent="0.2">
      <c r="A576" s="182"/>
      <c r="B576" s="285"/>
      <c r="C576" s="182"/>
      <c r="D576" s="285"/>
      <c r="E576" s="182"/>
      <c r="F576" s="285"/>
      <c r="G576" s="182"/>
      <c r="H576" s="285"/>
      <c r="I576" s="182"/>
    </row>
    <row r="577" spans="1:8" x14ac:dyDescent="0.2">
      <c r="A577" s="182"/>
      <c r="B577" s="285"/>
      <c r="D577" s="285"/>
      <c r="F577" s="285"/>
      <c r="H577" s="285"/>
    </row>
  </sheetData>
  <mergeCells count="100">
    <mergeCell ref="B469:C469"/>
    <mergeCell ref="D469:E469"/>
    <mergeCell ref="F469:G469"/>
    <mergeCell ref="H469:I469"/>
    <mergeCell ref="B427:C427"/>
    <mergeCell ref="D427:E427"/>
    <mergeCell ref="F427:G427"/>
    <mergeCell ref="H427:I427"/>
    <mergeCell ref="B448:C448"/>
    <mergeCell ref="D448:E448"/>
    <mergeCell ref="F448:G448"/>
    <mergeCell ref="H448:I448"/>
    <mergeCell ref="B385:C385"/>
    <mergeCell ref="D385:E385"/>
    <mergeCell ref="F385:G385"/>
    <mergeCell ref="H385:I385"/>
    <mergeCell ref="B406:C406"/>
    <mergeCell ref="D406:E406"/>
    <mergeCell ref="F406:G406"/>
    <mergeCell ref="H406:I406"/>
    <mergeCell ref="B343:C343"/>
    <mergeCell ref="D343:E343"/>
    <mergeCell ref="F343:G343"/>
    <mergeCell ref="H343:I343"/>
    <mergeCell ref="B364:C364"/>
    <mergeCell ref="D364:E364"/>
    <mergeCell ref="F364:G364"/>
    <mergeCell ref="H364:I364"/>
    <mergeCell ref="B301:C301"/>
    <mergeCell ref="D301:E301"/>
    <mergeCell ref="F301:G301"/>
    <mergeCell ref="H301:I301"/>
    <mergeCell ref="B322:C322"/>
    <mergeCell ref="D322:E322"/>
    <mergeCell ref="F322:G322"/>
    <mergeCell ref="H322:I322"/>
    <mergeCell ref="B259:C259"/>
    <mergeCell ref="D259:E259"/>
    <mergeCell ref="F259:G259"/>
    <mergeCell ref="H259:I259"/>
    <mergeCell ref="B280:C280"/>
    <mergeCell ref="D280:E280"/>
    <mergeCell ref="F280:G280"/>
    <mergeCell ref="H280:I280"/>
    <mergeCell ref="B217:C217"/>
    <mergeCell ref="D217:E217"/>
    <mergeCell ref="F217:G217"/>
    <mergeCell ref="H217:I217"/>
    <mergeCell ref="B238:C238"/>
    <mergeCell ref="D238:E238"/>
    <mergeCell ref="F238:G238"/>
    <mergeCell ref="H238:I238"/>
    <mergeCell ref="B175:C175"/>
    <mergeCell ref="D175:E175"/>
    <mergeCell ref="F175:G175"/>
    <mergeCell ref="H175:I175"/>
    <mergeCell ref="B196:C196"/>
    <mergeCell ref="D196:E196"/>
    <mergeCell ref="F196:G196"/>
    <mergeCell ref="H196:I196"/>
    <mergeCell ref="B133:C133"/>
    <mergeCell ref="D133:E133"/>
    <mergeCell ref="F133:G133"/>
    <mergeCell ref="H133:I133"/>
    <mergeCell ref="B154:C154"/>
    <mergeCell ref="D154:E154"/>
    <mergeCell ref="F154:G154"/>
    <mergeCell ref="H154:I154"/>
    <mergeCell ref="B91:C91"/>
    <mergeCell ref="D91:E91"/>
    <mergeCell ref="F91:G91"/>
    <mergeCell ref="H91:I91"/>
    <mergeCell ref="B112:C112"/>
    <mergeCell ref="D112:E112"/>
    <mergeCell ref="F112:G112"/>
    <mergeCell ref="H112:I112"/>
    <mergeCell ref="B49:C49"/>
    <mergeCell ref="D49:E49"/>
    <mergeCell ref="F49:G49"/>
    <mergeCell ref="H49:I49"/>
    <mergeCell ref="B70:C70"/>
    <mergeCell ref="D70:E70"/>
    <mergeCell ref="F70:G70"/>
    <mergeCell ref="H70:I70"/>
    <mergeCell ref="B7:C7"/>
    <mergeCell ref="D7:E7"/>
    <mergeCell ref="F7:G7"/>
    <mergeCell ref="H7:I7"/>
    <mergeCell ref="B28:C28"/>
    <mergeCell ref="D28:E28"/>
    <mergeCell ref="F28:G28"/>
    <mergeCell ref="H28:I28"/>
    <mergeCell ref="B490:C490"/>
    <mergeCell ref="D490:E490"/>
    <mergeCell ref="F490:G490"/>
    <mergeCell ref="H490:I490"/>
    <mergeCell ref="B511:C511"/>
    <mergeCell ref="D511:E511"/>
    <mergeCell ref="F511:G511"/>
    <mergeCell ref="H511:I511"/>
  </mergeCells>
  <pageMargins left="0.55118110236220474" right="0.55118110236220474" top="0.78740157480314965" bottom="0.78740157480314965" header="0.51181102362204722" footer="0.51181102362204722"/>
  <pageSetup scale="85" orientation="landscape" r:id="rId1"/>
  <headerFooter alignWithMargins="0"/>
  <rowBreaks count="12" manualBreakCount="12">
    <brk id="46" max="16383" man="1"/>
    <brk id="88" max="16383" man="1"/>
    <brk id="130" max="16383" man="1"/>
    <brk id="172" max="16383" man="1"/>
    <brk id="214" max="16383" man="1"/>
    <brk id="256" max="16383" man="1"/>
    <brk id="298" max="16383" man="1"/>
    <brk id="340" max="16383" man="1"/>
    <brk id="382" max="16383" man="1"/>
    <brk id="424" max="16383" man="1"/>
    <brk id="466" max="16383" man="1"/>
    <brk id="508" max="16383" man="1"/>
  </rowBreaks>
  <ignoredErrors>
    <ignoredError sqref="B10:I484 C9:I9" formula="1"/>
  </ignoredErrors>
  <drawing r:id="rId2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900-000000000000}">
  <sheetPr codeName="Sheet38">
    <pageSetUpPr fitToPage="1"/>
  </sheetPr>
  <dimension ref="A1:Y694"/>
  <sheetViews>
    <sheetView showGridLines="0" zoomScale="85" zoomScaleNormal="85" zoomScaleSheetLayoutView="85" workbookViewId="0"/>
  </sheetViews>
  <sheetFormatPr defaultColWidth="6.28515625" defaultRowHeight="12.75" x14ac:dyDescent="0.2"/>
  <cols>
    <col min="1" max="1" width="35.85546875" style="260" customWidth="1"/>
    <col min="2" max="2" width="6.7109375" style="263" customWidth="1"/>
    <col min="3" max="3" width="6.7109375" style="314" customWidth="1"/>
    <col min="4" max="25" width="6.7109375" style="263" customWidth="1"/>
    <col min="26" max="26" width="7.5703125" style="260" customWidth="1"/>
    <col min="27" max="266" width="6.28515625" style="260"/>
    <col min="267" max="267" width="43.5703125" style="260" customWidth="1"/>
    <col min="268" max="268" width="7.5703125" style="260" customWidth="1"/>
    <col min="269" max="270" width="8.42578125" style="260" customWidth="1"/>
    <col min="271" max="271" width="6.7109375" style="260" customWidth="1"/>
    <col min="272" max="273" width="7.5703125" style="260" customWidth="1"/>
    <col min="274" max="275" width="8.42578125" style="260" customWidth="1"/>
    <col min="276" max="276" width="6.7109375" style="260" customWidth="1"/>
    <col min="277" max="278" width="7.5703125" style="260" customWidth="1"/>
    <col min="279" max="280" width="8.42578125" style="260" customWidth="1"/>
    <col min="281" max="281" width="6.7109375" style="260" customWidth="1"/>
    <col min="282" max="282" width="7.5703125" style="260" customWidth="1"/>
    <col min="283" max="522" width="6.28515625" style="260"/>
    <col min="523" max="523" width="43.5703125" style="260" customWidth="1"/>
    <col min="524" max="524" width="7.5703125" style="260" customWidth="1"/>
    <col min="525" max="526" width="8.42578125" style="260" customWidth="1"/>
    <col min="527" max="527" width="6.7109375" style="260" customWidth="1"/>
    <col min="528" max="529" width="7.5703125" style="260" customWidth="1"/>
    <col min="530" max="531" width="8.42578125" style="260" customWidth="1"/>
    <col min="532" max="532" width="6.7109375" style="260" customWidth="1"/>
    <col min="533" max="534" width="7.5703125" style="260" customWidth="1"/>
    <col min="535" max="536" width="8.42578125" style="260" customWidth="1"/>
    <col min="537" max="537" width="6.7109375" style="260" customWidth="1"/>
    <col min="538" max="538" width="7.5703125" style="260" customWidth="1"/>
    <col min="539" max="778" width="6.28515625" style="260"/>
    <col min="779" max="779" width="43.5703125" style="260" customWidth="1"/>
    <col min="780" max="780" width="7.5703125" style="260" customWidth="1"/>
    <col min="781" max="782" width="8.42578125" style="260" customWidth="1"/>
    <col min="783" max="783" width="6.7109375" style="260" customWidth="1"/>
    <col min="784" max="785" width="7.5703125" style="260" customWidth="1"/>
    <col min="786" max="787" width="8.42578125" style="260" customWidth="1"/>
    <col min="788" max="788" width="6.7109375" style="260" customWidth="1"/>
    <col min="789" max="790" width="7.5703125" style="260" customWidth="1"/>
    <col min="791" max="792" width="8.42578125" style="260" customWidth="1"/>
    <col min="793" max="793" width="6.7109375" style="260" customWidth="1"/>
    <col min="794" max="794" width="7.5703125" style="260" customWidth="1"/>
    <col min="795" max="1034" width="6.28515625" style="260"/>
    <col min="1035" max="1035" width="43.5703125" style="260" customWidth="1"/>
    <col min="1036" max="1036" width="7.5703125" style="260" customWidth="1"/>
    <col min="1037" max="1038" width="8.42578125" style="260" customWidth="1"/>
    <col min="1039" max="1039" width="6.7109375" style="260" customWidth="1"/>
    <col min="1040" max="1041" width="7.5703125" style="260" customWidth="1"/>
    <col min="1042" max="1043" width="8.42578125" style="260" customWidth="1"/>
    <col min="1044" max="1044" width="6.7109375" style="260" customWidth="1"/>
    <col min="1045" max="1046" width="7.5703125" style="260" customWidth="1"/>
    <col min="1047" max="1048" width="8.42578125" style="260" customWidth="1"/>
    <col min="1049" max="1049" width="6.7109375" style="260" customWidth="1"/>
    <col min="1050" max="1050" width="7.5703125" style="260" customWidth="1"/>
    <col min="1051" max="1290" width="6.28515625" style="260"/>
    <col min="1291" max="1291" width="43.5703125" style="260" customWidth="1"/>
    <col min="1292" max="1292" width="7.5703125" style="260" customWidth="1"/>
    <col min="1293" max="1294" width="8.42578125" style="260" customWidth="1"/>
    <col min="1295" max="1295" width="6.7109375" style="260" customWidth="1"/>
    <col min="1296" max="1297" width="7.5703125" style="260" customWidth="1"/>
    <col min="1298" max="1299" width="8.42578125" style="260" customWidth="1"/>
    <col min="1300" max="1300" width="6.7109375" style="260" customWidth="1"/>
    <col min="1301" max="1302" width="7.5703125" style="260" customWidth="1"/>
    <col min="1303" max="1304" width="8.42578125" style="260" customWidth="1"/>
    <col min="1305" max="1305" width="6.7109375" style="260" customWidth="1"/>
    <col min="1306" max="1306" width="7.5703125" style="260" customWidth="1"/>
    <col min="1307" max="1546" width="6.28515625" style="260"/>
    <col min="1547" max="1547" width="43.5703125" style="260" customWidth="1"/>
    <col min="1548" max="1548" width="7.5703125" style="260" customWidth="1"/>
    <col min="1549" max="1550" width="8.42578125" style="260" customWidth="1"/>
    <col min="1551" max="1551" width="6.7109375" style="260" customWidth="1"/>
    <col min="1552" max="1553" width="7.5703125" style="260" customWidth="1"/>
    <col min="1554" max="1555" width="8.42578125" style="260" customWidth="1"/>
    <col min="1556" max="1556" width="6.7109375" style="260" customWidth="1"/>
    <col min="1557" max="1558" width="7.5703125" style="260" customWidth="1"/>
    <col min="1559" max="1560" width="8.42578125" style="260" customWidth="1"/>
    <col min="1561" max="1561" width="6.7109375" style="260" customWidth="1"/>
    <col min="1562" max="1562" width="7.5703125" style="260" customWidth="1"/>
    <col min="1563" max="1802" width="6.28515625" style="260"/>
    <col min="1803" max="1803" width="43.5703125" style="260" customWidth="1"/>
    <col min="1804" max="1804" width="7.5703125" style="260" customWidth="1"/>
    <col min="1805" max="1806" width="8.42578125" style="260" customWidth="1"/>
    <col min="1807" max="1807" width="6.7109375" style="260" customWidth="1"/>
    <col min="1808" max="1809" width="7.5703125" style="260" customWidth="1"/>
    <col min="1810" max="1811" width="8.42578125" style="260" customWidth="1"/>
    <col min="1812" max="1812" width="6.7109375" style="260" customWidth="1"/>
    <col min="1813" max="1814" width="7.5703125" style="260" customWidth="1"/>
    <col min="1815" max="1816" width="8.42578125" style="260" customWidth="1"/>
    <col min="1817" max="1817" width="6.7109375" style="260" customWidth="1"/>
    <col min="1818" max="1818" width="7.5703125" style="260" customWidth="1"/>
    <col min="1819" max="2058" width="6.28515625" style="260"/>
    <col min="2059" max="2059" width="43.5703125" style="260" customWidth="1"/>
    <col min="2060" max="2060" width="7.5703125" style="260" customWidth="1"/>
    <col min="2061" max="2062" width="8.42578125" style="260" customWidth="1"/>
    <col min="2063" max="2063" width="6.7109375" style="260" customWidth="1"/>
    <col min="2064" max="2065" width="7.5703125" style="260" customWidth="1"/>
    <col min="2066" max="2067" width="8.42578125" style="260" customWidth="1"/>
    <col min="2068" max="2068" width="6.7109375" style="260" customWidth="1"/>
    <col min="2069" max="2070" width="7.5703125" style="260" customWidth="1"/>
    <col min="2071" max="2072" width="8.42578125" style="260" customWidth="1"/>
    <col min="2073" max="2073" width="6.7109375" style="260" customWidth="1"/>
    <col min="2074" max="2074" width="7.5703125" style="260" customWidth="1"/>
    <col min="2075" max="2314" width="6.28515625" style="260"/>
    <col min="2315" max="2315" width="43.5703125" style="260" customWidth="1"/>
    <col min="2316" max="2316" width="7.5703125" style="260" customWidth="1"/>
    <col min="2317" max="2318" width="8.42578125" style="260" customWidth="1"/>
    <col min="2319" max="2319" width="6.7109375" style="260" customWidth="1"/>
    <col min="2320" max="2321" width="7.5703125" style="260" customWidth="1"/>
    <col min="2322" max="2323" width="8.42578125" style="260" customWidth="1"/>
    <col min="2324" max="2324" width="6.7109375" style="260" customWidth="1"/>
    <col min="2325" max="2326" width="7.5703125" style="260" customWidth="1"/>
    <col min="2327" max="2328" width="8.42578125" style="260" customWidth="1"/>
    <col min="2329" max="2329" width="6.7109375" style="260" customWidth="1"/>
    <col min="2330" max="2330" width="7.5703125" style="260" customWidth="1"/>
    <col min="2331" max="2570" width="6.28515625" style="260"/>
    <col min="2571" max="2571" width="43.5703125" style="260" customWidth="1"/>
    <col min="2572" max="2572" width="7.5703125" style="260" customWidth="1"/>
    <col min="2573" max="2574" width="8.42578125" style="260" customWidth="1"/>
    <col min="2575" max="2575" width="6.7109375" style="260" customWidth="1"/>
    <col min="2576" max="2577" width="7.5703125" style="260" customWidth="1"/>
    <col min="2578" max="2579" width="8.42578125" style="260" customWidth="1"/>
    <col min="2580" max="2580" width="6.7109375" style="260" customWidth="1"/>
    <col min="2581" max="2582" width="7.5703125" style="260" customWidth="1"/>
    <col min="2583" max="2584" width="8.42578125" style="260" customWidth="1"/>
    <col min="2585" max="2585" width="6.7109375" style="260" customWidth="1"/>
    <col min="2586" max="2586" width="7.5703125" style="260" customWidth="1"/>
    <col min="2587" max="2826" width="6.28515625" style="260"/>
    <col min="2827" max="2827" width="43.5703125" style="260" customWidth="1"/>
    <col min="2828" max="2828" width="7.5703125" style="260" customWidth="1"/>
    <col min="2829" max="2830" width="8.42578125" style="260" customWidth="1"/>
    <col min="2831" max="2831" width="6.7109375" style="260" customWidth="1"/>
    <col min="2832" max="2833" width="7.5703125" style="260" customWidth="1"/>
    <col min="2834" max="2835" width="8.42578125" style="260" customWidth="1"/>
    <col min="2836" max="2836" width="6.7109375" style="260" customWidth="1"/>
    <col min="2837" max="2838" width="7.5703125" style="260" customWidth="1"/>
    <col min="2839" max="2840" width="8.42578125" style="260" customWidth="1"/>
    <col min="2841" max="2841" width="6.7109375" style="260" customWidth="1"/>
    <col min="2842" max="2842" width="7.5703125" style="260" customWidth="1"/>
    <col min="2843" max="3082" width="6.28515625" style="260"/>
    <col min="3083" max="3083" width="43.5703125" style="260" customWidth="1"/>
    <col min="3084" max="3084" width="7.5703125" style="260" customWidth="1"/>
    <col min="3085" max="3086" width="8.42578125" style="260" customWidth="1"/>
    <col min="3087" max="3087" width="6.7109375" style="260" customWidth="1"/>
    <col min="3088" max="3089" width="7.5703125" style="260" customWidth="1"/>
    <col min="3090" max="3091" width="8.42578125" style="260" customWidth="1"/>
    <col min="3092" max="3092" width="6.7109375" style="260" customWidth="1"/>
    <col min="3093" max="3094" width="7.5703125" style="260" customWidth="1"/>
    <col min="3095" max="3096" width="8.42578125" style="260" customWidth="1"/>
    <col min="3097" max="3097" width="6.7109375" style="260" customWidth="1"/>
    <col min="3098" max="3098" width="7.5703125" style="260" customWidth="1"/>
    <col min="3099" max="3338" width="6.28515625" style="260"/>
    <col min="3339" max="3339" width="43.5703125" style="260" customWidth="1"/>
    <col min="3340" max="3340" width="7.5703125" style="260" customWidth="1"/>
    <col min="3341" max="3342" width="8.42578125" style="260" customWidth="1"/>
    <col min="3343" max="3343" width="6.7109375" style="260" customWidth="1"/>
    <col min="3344" max="3345" width="7.5703125" style="260" customWidth="1"/>
    <col min="3346" max="3347" width="8.42578125" style="260" customWidth="1"/>
    <col min="3348" max="3348" width="6.7109375" style="260" customWidth="1"/>
    <col min="3349" max="3350" width="7.5703125" style="260" customWidth="1"/>
    <col min="3351" max="3352" width="8.42578125" style="260" customWidth="1"/>
    <col min="3353" max="3353" width="6.7109375" style="260" customWidth="1"/>
    <col min="3354" max="3354" width="7.5703125" style="260" customWidth="1"/>
    <col min="3355" max="3594" width="6.28515625" style="260"/>
    <col min="3595" max="3595" width="43.5703125" style="260" customWidth="1"/>
    <col min="3596" max="3596" width="7.5703125" style="260" customWidth="1"/>
    <col min="3597" max="3598" width="8.42578125" style="260" customWidth="1"/>
    <col min="3599" max="3599" width="6.7109375" style="260" customWidth="1"/>
    <col min="3600" max="3601" width="7.5703125" style="260" customWidth="1"/>
    <col min="3602" max="3603" width="8.42578125" style="260" customWidth="1"/>
    <col min="3604" max="3604" width="6.7109375" style="260" customWidth="1"/>
    <col min="3605" max="3606" width="7.5703125" style="260" customWidth="1"/>
    <col min="3607" max="3608" width="8.42578125" style="260" customWidth="1"/>
    <col min="3609" max="3609" width="6.7109375" style="260" customWidth="1"/>
    <col min="3610" max="3610" width="7.5703125" style="260" customWidth="1"/>
    <col min="3611" max="3850" width="6.28515625" style="260"/>
    <col min="3851" max="3851" width="43.5703125" style="260" customWidth="1"/>
    <col min="3852" max="3852" width="7.5703125" style="260" customWidth="1"/>
    <col min="3853" max="3854" width="8.42578125" style="260" customWidth="1"/>
    <col min="3855" max="3855" width="6.7109375" style="260" customWidth="1"/>
    <col min="3856" max="3857" width="7.5703125" style="260" customWidth="1"/>
    <col min="3858" max="3859" width="8.42578125" style="260" customWidth="1"/>
    <col min="3860" max="3860" width="6.7109375" style="260" customWidth="1"/>
    <col min="3861" max="3862" width="7.5703125" style="260" customWidth="1"/>
    <col min="3863" max="3864" width="8.42578125" style="260" customWidth="1"/>
    <col min="3865" max="3865" width="6.7109375" style="260" customWidth="1"/>
    <col min="3866" max="3866" width="7.5703125" style="260" customWidth="1"/>
    <col min="3867" max="4106" width="6.28515625" style="260"/>
    <col min="4107" max="4107" width="43.5703125" style="260" customWidth="1"/>
    <col min="4108" max="4108" width="7.5703125" style="260" customWidth="1"/>
    <col min="4109" max="4110" width="8.42578125" style="260" customWidth="1"/>
    <col min="4111" max="4111" width="6.7109375" style="260" customWidth="1"/>
    <col min="4112" max="4113" width="7.5703125" style="260" customWidth="1"/>
    <col min="4114" max="4115" width="8.42578125" style="260" customWidth="1"/>
    <col min="4116" max="4116" width="6.7109375" style="260" customWidth="1"/>
    <col min="4117" max="4118" width="7.5703125" style="260" customWidth="1"/>
    <col min="4119" max="4120" width="8.42578125" style="260" customWidth="1"/>
    <col min="4121" max="4121" width="6.7109375" style="260" customWidth="1"/>
    <col min="4122" max="4122" width="7.5703125" style="260" customWidth="1"/>
    <col min="4123" max="4362" width="6.28515625" style="260"/>
    <col min="4363" max="4363" width="43.5703125" style="260" customWidth="1"/>
    <col min="4364" max="4364" width="7.5703125" style="260" customWidth="1"/>
    <col min="4365" max="4366" width="8.42578125" style="260" customWidth="1"/>
    <col min="4367" max="4367" width="6.7109375" style="260" customWidth="1"/>
    <col min="4368" max="4369" width="7.5703125" style="260" customWidth="1"/>
    <col min="4370" max="4371" width="8.42578125" style="260" customWidth="1"/>
    <col min="4372" max="4372" width="6.7109375" style="260" customWidth="1"/>
    <col min="4373" max="4374" width="7.5703125" style="260" customWidth="1"/>
    <col min="4375" max="4376" width="8.42578125" style="260" customWidth="1"/>
    <col min="4377" max="4377" width="6.7109375" style="260" customWidth="1"/>
    <col min="4378" max="4378" width="7.5703125" style="260" customWidth="1"/>
    <col min="4379" max="4618" width="6.28515625" style="260"/>
    <col min="4619" max="4619" width="43.5703125" style="260" customWidth="1"/>
    <col min="4620" max="4620" width="7.5703125" style="260" customWidth="1"/>
    <col min="4621" max="4622" width="8.42578125" style="260" customWidth="1"/>
    <col min="4623" max="4623" width="6.7109375" style="260" customWidth="1"/>
    <col min="4624" max="4625" width="7.5703125" style="260" customWidth="1"/>
    <col min="4626" max="4627" width="8.42578125" style="260" customWidth="1"/>
    <col min="4628" max="4628" width="6.7109375" style="260" customWidth="1"/>
    <col min="4629" max="4630" width="7.5703125" style="260" customWidth="1"/>
    <col min="4631" max="4632" width="8.42578125" style="260" customWidth="1"/>
    <col min="4633" max="4633" width="6.7109375" style="260" customWidth="1"/>
    <col min="4634" max="4634" width="7.5703125" style="260" customWidth="1"/>
    <col min="4635" max="4874" width="6.28515625" style="260"/>
    <col min="4875" max="4875" width="43.5703125" style="260" customWidth="1"/>
    <col min="4876" max="4876" width="7.5703125" style="260" customWidth="1"/>
    <col min="4877" max="4878" width="8.42578125" style="260" customWidth="1"/>
    <col min="4879" max="4879" width="6.7109375" style="260" customWidth="1"/>
    <col min="4880" max="4881" width="7.5703125" style="260" customWidth="1"/>
    <col min="4882" max="4883" width="8.42578125" style="260" customWidth="1"/>
    <col min="4884" max="4884" width="6.7109375" style="260" customWidth="1"/>
    <col min="4885" max="4886" width="7.5703125" style="260" customWidth="1"/>
    <col min="4887" max="4888" width="8.42578125" style="260" customWidth="1"/>
    <col min="4889" max="4889" width="6.7109375" style="260" customWidth="1"/>
    <col min="4890" max="4890" width="7.5703125" style="260" customWidth="1"/>
    <col min="4891" max="5130" width="6.28515625" style="260"/>
    <col min="5131" max="5131" width="43.5703125" style="260" customWidth="1"/>
    <col min="5132" max="5132" width="7.5703125" style="260" customWidth="1"/>
    <col min="5133" max="5134" width="8.42578125" style="260" customWidth="1"/>
    <col min="5135" max="5135" width="6.7109375" style="260" customWidth="1"/>
    <col min="5136" max="5137" width="7.5703125" style="260" customWidth="1"/>
    <col min="5138" max="5139" width="8.42578125" style="260" customWidth="1"/>
    <col min="5140" max="5140" width="6.7109375" style="260" customWidth="1"/>
    <col min="5141" max="5142" width="7.5703125" style="260" customWidth="1"/>
    <col min="5143" max="5144" width="8.42578125" style="260" customWidth="1"/>
    <col min="5145" max="5145" width="6.7109375" style="260" customWidth="1"/>
    <col min="5146" max="5146" width="7.5703125" style="260" customWidth="1"/>
    <col min="5147" max="5386" width="6.28515625" style="260"/>
    <col min="5387" max="5387" width="43.5703125" style="260" customWidth="1"/>
    <col min="5388" max="5388" width="7.5703125" style="260" customWidth="1"/>
    <col min="5389" max="5390" width="8.42578125" style="260" customWidth="1"/>
    <col min="5391" max="5391" width="6.7109375" style="260" customWidth="1"/>
    <col min="5392" max="5393" width="7.5703125" style="260" customWidth="1"/>
    <col min="5394" max="5395" width="8.42578125" style="260" customWidth="1"/>
    <col min="5396" max="5396" width="6.7109375" style="260" customWidth="1"/>
    <col min="5397" max="5398" width="7.5703125" style="260" customWidth="1"/>
    <col min="5399" max="5400" width="8.42578125" style="260" customWidth="1"/>
    <col min="5401" max="5401" width="6.7109375" style="260" customWidth="1"/>
    <col min="5402" max="5402" width="7.5703125" style="260" customWidth="1"/>
    <col min="5403" max="5642" width="6.28515625" style="260"/>
    <col min="5643" max="5643" width="43.5703125" style="260" customWidth="1"/>
    <col min="5644" max="5644" width="7.5703125" style="260" customWidth="1"/>
    <col min="5645" max="5646" width="8.42578125" style="260" customWidth="1"/>
    <col min="5647" max="5647" width="6.7109375" style="260" customWidth="1"/>
    <col min="5648" max="5649" width="7.5703125" style="260" customWidth="1"/>
    <col min="5650" max="5651" width="8.42578125" style="260" customWidth="1"/>
    <col min="5652" max="5652" width="6.7109375" style="260" customWidth="1"/>
    <col min="5653" max="5654" width="7.5703125" style="260" customWidth="1"/>
    <col min="5655" max="5656" width="8.42578125" style="260" customWidth="1"/>
    <col min="5657" max="5657" width="6.7109375" style="260" customWidth="1"/>
    <col min="5658" max="5658" width="7.5703125" style="260" customWidth="1"/>
    <col min="5659" max="5898" width="6.28515625" style="260"/>
    <col min="5899" max="5899" width="43.5703125" style="260" customWidth="1"/>
    <col min="5900" max="5900" width="7.5703125" style="260" customWidth="1"/>
    <col min="5901" max="5902" width="8.42578125" style="260" customWidth="1"/>
    <col min="5903" max="5903" width="6.7109375" style="260" customWidth="1"/>
    <col min="5904" max="5905" width="7.5703125" style="260" customWidth="1"/>
    <col min="5906" max="5907" width="8.42578125" style="260" customWidth="1"/>
    <col min="5908" max="5908" width="6.7109375" style="260" customWidth="1"/>
    <col min="5909" max="5910" width="7.5703125" style="260" customWidth="1"/>
    <col min="5911" max="5912" width="8.42578125" style="260" customWidth="1"/>
    <col min="5913" max="5913" width="6.7109375" style="260" customWidth="1"/>
    <col min="5914" max="5914" width="7.5703125" style="260" customWidth="1"/>
    <col min="5915" max="6154" width="6.28515625" style="260"/>
    <col min="6155" max="6155" width="43.5703125" style="260" customWidth="1"/>
    <col min="6156" max="6156" width="7.5703125" style="260" customWidth="1"/>
    <col min="6157" max="6158" width="8.42578125" style="260" customWidth="1"/>
    <col min="6159" max="6159" width="6.7109375" style="260" customWidth="1"/>
    <col min="6160" max="6161" width="7.5703125" style="260" customWidth="1"/>
    <col min="6162" max="6163" width="8.42578125" style="260" customWidth="1"/>
    <col min="6164" max="6164" width="6.7109375" style="260" customWidth="1"/>
    <col min="6165" max="6166" width="7.5703125" style="260" customWidth="1"/>
    <col min="6167" max="6168" width="8.42578125" style="260" customWidth="1"/>
    <col min="6169" max="6169" width="6.7109375" style="260" customWidth="1"/>
    <col min="6170" max="6170" width="7.5703125" style="260" customWidth="1"/>
    <col min="6171" max="6410" width="6.28515625" style="260"/>
    <col min="6411" max="6411" width="43.5703125" style="260" customWidth="1"/>
    <col min="6412" max="6412" width="7.5703125" style="260" customWidth="1"/>
    <col min="6413" max="6414" width="8.42578125" style="260" customWidth="1"/>
    <col min="6415" max="6415" width="6.7109375" style="260" customWidth="1"/>
    <col min="6416" max="6417" width="7.5703125" style="260" customWidth="1"/>
    <col min="6418" max="6419" width="8.42578125" style="260" customWidth="1"/>
    <col min="6420" max="6420" width="6.7109375" style="260" customWidth="1"/>
    <col min="6421" max="6422" width="7.5703125" style="260" customWidth="1"/>
    <col min="6423" max="6424" width="8.42578125" style="260" customWidth="1"/>
    <col min="6425" max="6425" width="6.7109375" style="260" customWidth="1"/>
    <col min="6426" max="6426" width="7.5703125" style="260" customWidth="1"/>
    <col min="6427" max="6666" width="6.28515625" style="260"/>
    <col min="6667" max="6667" width="43.5703125" style="260" customWidth="1"/>
    <col min="6668" max="6668" width="7.5703125" style="260" customWidth="1"/>
    <col min="6669" max="6670" width="8.42578125" style="260" customWidth="1"/>
    <col min="6671" max="6671" width="6.7109375" style="260" customWidth="1"/>
    <col min="6672" max="6673" width="7.5703125" style="260" customWidth="1"/>
    <col min="6674" max="6675" width="8.42578125" style="260" customWidth="1"/>
    <col min="6676" max="6676" width="6.7109375" style="260" customWidth="1"/>
    <col min="6677" max="6678" width="7.5703125" style="260" customWidth="1"/>
    <col min="6679" max="6680" width="8.42578125" style="260" customWidth="1"/>
    <col min="6681" max="6681" width="6.7109375" style="260" customWidth="1"/>
    <col min="6682" max="6682" width="7.5703125" style="260" customWidth="1"/>
    <col min="6683" max="6922" width="6.28515625" style="260"/>
    <col min="6923" max="6923" width="43.5703125" style="260" customWidth="1"/>
    <col min="6924" max="6924" width="7.5703125" style="260" customWidth="1"/>
    <col min="6925" max="6926" width="8.42578125" style="260" customWidth="1"/>
    <col min="6927" max="6927" width="6.7109375" style="260" customWidth="1"/>
    <col min="6928" max="6929" width="7.5703125" style="260" customWidth="1"/>
    <col min="6930" max="6931" width="8.42578125" style="260" customWidth="1"/>
    <col min="6932" max="6932" width="6.7109375" style="260" customWidth="1"/>
    <col min="6933" max="6934" width="7.5703125" style="260" customWidth="1"/>
    <col min="6935" max="6936" width="8.42578125" style="260" customWidth="1"/>
    <col min="6937" max="6937" width="6.7109375" style="260" customWidth="1"/>
    <col min="6938" max="6938" width="7.5703125" style="260" customWidth="1"/>
    <col min="6939" max="7178" width="6.28515625" style="260"/>
    <col min="7179" max="7179" width="43.5703125" style="260" customWidth="1"/>
    <col min="7180" max="7180" width="7.5703125" style="260" customWidth="1"/>
    <col min="7181" max="7182" width="8.42578125" style="260" customWidth="1"/>
    <col min="7183" max="7183" width="6.7109375" style="260" customWidth="1"/>
    <col min="7184" max="7185" width="7.5703125" style="260" customWidth="1"/>
    <col min="7186" max="7187" width="8.42578125" style="260" customWidth="1"/>
    <col min="7188" max="7188" width="6.7109375" style="260" customWidth="1"/>
    <col min="7189" max="7190" width="7.5703125" style="260" customWidth="1"/>
    <col min="7191" max="7192" width="8.42578125" style="260" customWidth="1"/>
    <col min="7193" max="7193" width="6.7109375" style="260" customWidth="1"/>
    <col min="7194" max="7194" width="7.5703125" style="260" customWidth="1"/>
    <col min="7195" max="7434" width="6.28515625" style="260"/>
    <col min="7435" max="7435" width="43.5703125" style="260" customWidth="1"/>
    <col min="7436" max="7436" width="7.5703125" style="260" customWidth="1"/>
    <col min="7437" max="7438" width="8.42578125" style="260" customWidth="1"/>
    <col min="7439" max="7439" width="6.7109375" style="260" customWidth="1"/>
    <col min="7440" max="7441" width="7.5703125" style="260" customWidth="1"/>
    <col min="7442" max="7443" width="8.42578125" style="260" customWidth="1"/>
    <col min="7444" max="7444" width="6.7109375" style="260" customWidth="1"/>
    <col min="7445" max="7446" width="7.5703125" style="260" customWidth="1"/>
    <col min="7447" max="7448" width="8.42578125" style="260" customWidth="1"/>
    <col min="7449" max="7449" width="6.7109375" style="260" customWidth="1"/>
    <col min="7450" max="7450" width="7.5703125" style="260" customWidth="1"/>
    <col min="7451" max="7690" width="6.28515625" style="260"/>
    <col min="7691" max="7691" width="43.5703125" style="260" customWidth="1"/>
    <col min="7692" max="7692" width="7.5703125" style="260" customWidth="1"/>
    <col min="7693" max="7694" width="8.42578125" style="260" customWidth="1"/>
    <col min="7695" max="7695" width="6.7109375" style="260" customWidth="1"/>
    <col min="7696" max="7697" width="7.5703125" style="260" customWidth="1"/>
    <col min="7698" max="7699" width="8.42578125" style="260" customWidth="1"/>
    <col min="7700" max="7700" width="6.7109375" style="260" customWidth="1"/>
    <col min="7701" max="7702" width="7.5703125" style="260" customWidth="1"/>
    <col min="7703" max="7704" width="8.42578125" style="260" customWidth="1"/>
    <col min="7705" max="7705" width="6.7109375" style="260" customWidth="1"/>
    <col min="7706" max="7706" width="7.5703125" style="260" customWidth="1"/>
    <col min="7707" max="7946" width="6.28515625" style="260"/>
    <col min="7947" max="7947" width="43.5703125" style="260" customWidth="1"/>
    <col min="7948" max="7948" width="7.5703125" style="260" customWidth="1"/>
    <col min="7949" max="7950" width="8.42578125" style="260" customWidth="1"/>
    <col min="7951" max="7951" width="6.7109375" style="260" customWidth="1"/>
    <col min="7952" max="7953" width="7.5703125" style="260" customWidth="1"/>
    <col min="7954" max="7955" width="8.42578125" style="260" customWidth="1"/>
    <col min="7956" max="7956" width="6.7109375" style="260" customWidth="1"/>
    <col min="7957" max="7958" width="7.5703125" style="260" customWidth="1"/>
    <col min="7959" max="7960" width="8.42578125" style="260" customWidth="1"/>
    <col min="7961" max="7961" width="6.7109375" style="260" customWidth="1"/>
    <col min="7962" max="7962" width="7.5703125" style="260" customWidth="1"/>
    <col min="7963" max="8202" width="6.28515625" style="260"/>
    <col min="8203" max="8203" width="43.5703125" style="260" customWidth="1"/>
    <col min="8204" max="8204" width="7.5703125" style="260" customWidth="1"/>
    <col min="8205" max="8206" width="8.42578125" style="260" customWidth="1"/>
    <col min="8207" max="8207" width="6.7109375" style="260" customWidth="1"/>
    <col min="8208" max="8209" width="7.5703125" style="260" customWidth="1"/>
    <col min="8210" max="8211" width="8.42578125" style="260" customWidth="1"/>
    <col min="8212" max="8212" width="6.7109375" style="260" customWidth="1"/>
    <col min="8213" max="8214" width="7.5703125" style="260" customWidth="1"/>
    <col min="8215" max="8216" width="8.42578125" style="260" customWidth="1"/>
    <col min="8217" max="8217" width="6.7109375" style="260" customWidth="1"/>
    <col min="8218" max="8218" width="7.5703125" style="260" customWidth="1"/>
    <col min="8219" max="8458" width="6.28515625" style="260"/>
    <col min="8459" max="8459" width="43.5703125" style="260" customWidth="1"/>
    <col min="8460" max="8460" width="7.5703125" style="260" customWidth="1"/>
    <col min="8461" max="8462" width="8.42578125" style="260" customWidth="1"/>
    <col min="8463" max="8463" width="6.7109375" style="260" customWidth="1"/>
    <col min="8464" max="8465" width="7.5703125" style="260" customWidth="1"/>
    <col min="8466" max="8467" width="8.42578125" style="260" customWidth="1"/>
    <col min="8468" max="8468" width="6.7109375" style="260" customWidth="1"/>
    <col min="8469" max="8470" width="7.5703125" style="260" customWidth="1"/>
    <col min="8471" max="8472" width="8.42578125" style="260" customWidth="1"/>
    <col min="8473" max="8473" width="6.7109375" style="260" customWidth="1"/>
    <col min="8474" max="8474" width="7.5703125" style="260" customWidth="1"/>
    <col min="8475" max="8714" width="6.28515625" style="260"/>
    <col min="8715" max="8715" width="43.5703125" style="260" customWidth="1"/>
    <col min="8716" max="8716" width="7.5703125" style="260" customWidth="1"/>
    <col min="8717" max="8718" width="8.42578125" style="260" customWidth="1"/>
    <col min="8719" max="8719" width="6.7109375" style="260" customWidth="1"/>
    <col min="8720" max="8721" width="7.5703125" style="260" customWidth="1"/>
    <col min="8722" max="8723" width="8.42578125" style="260" customWidth="1"/>
    <col min="8724" max="8724" width="6.7109375" style="260" customWidth="1"/>
    <col min="8725" max="8726" width="7.5703125" style="260" customWidth="1"/>
    <col min="8727" max="8728" width="8.42578125" style="260" customWidth="1"/>
    <col min="8729" max="8729" width="6.7109375" style="260" customWidth="1"/>
    <col min="8730" max="8730" width="7.5703125" style="260" customWidth="1"/>
    <col min="8731" max="8970" width="6.28515625" style="260"/>
    <col min="8971" max="8971" width="43.5703125" style="260" customWidth="1"/>
    <col min="8972" max="8972" width="7.5703125" style="260" customWidth="1"/>
    <col min="8973" max="8974" width="8.42578125" style="260" customWidth="1"/>
    <col min="8975" max="8975" width="6.7109375" style="260" customWidth="1"/>
    <col min="8976" max="8977" width="7.5703125" style="260" customWidth="1"/>
    <col min="8978" max="8979" width="8.42578125" style="260" customWidth="1"/>
    <col min="8980" max="8980" width="6.7109375" style="260" customWidth="1"/>
    <col min="8981" max="8982" width="7.5703125" style="260" customWidth="1"/>
    <col min="8983" max="8984" width="8.42578125" style="260" customWidth="1"/>
    <col min="8985" max="8985" width="6.7109375" style="260" customWidth="1"/>
    <col min="8986" max="8986" width="7.5703125" style="260" customWidth="1"/>
    <col min="8987" max="9226" width="6.28515625" style="260"/>
    <col min="9227" max="9227" width="43.5703125" style="260" customWidth="1"/>
    <col min="9228" max="9228" width="7.5703125" style="260" customWidth="1"/>
    <col min="9229" max="9230" width="8.42578125" style="260" customWidth="1"/>
    <col min="9231" max="9231" width="6.7109375" style="260" customWidth="1"/>
    <col min="9232" max="9233" width="7.5703125" style="260" customWidth="1"/>
    <col min="9234" max="9235" width="8.42578125" style="260" customWidth="1"/>
    <col min="9236" max="9236" width="6.7109375" style="260" customWidth="1"/>
    <col min="9237" max="9238" width="7.5703125" style="260" customWidth="1"/>
    <col min="9239" max="9240" width="8.42578125" style="260" customWidth="1"/>
    <col min="9241" max="9241" width="6.7109375" style="260" customWidth="1"/>
    <col min="9242" max="9242" width="7.5703125" style="260" customWidth="1"/>
    <col min="9243" max="9482" width="6.28515625" style="260"/>
    <col min="9483" max="9483" width="43.5703125" style="260" customWidth="1"/>
    <col min="9484" max="9484" width="7.5703125" style="260" customWidth="1"/>
    <col min="9485" max="9486" width="8.42578125" style="260" customWidth="1"/>
    <col min="9487" max="9487" width="6.7109375" style="260" customWidth="1"/>
    <col min="9488" max="9489" width="7.5703125" style="260" customWidth="1"/>
    <col min="9490" max="9491" width="8.42578125" style="260" customWidth="1"/>
    <col min="9492" max="9492" width="6.7109375" style="260" customWidth="1"/>
    <col min="9493" max="9494" width="7.5703125" style="260" customWidth="1"/>
    <col min="9495" max="9496" width="8.42578125" style="260" customWidth="1"/>
    <col min="9497" max="9497" width="6.7109375" style="260" customWidth="1"/>
    <col min="9498" max="9498" width="7.5703125" style="260" customWidth="1"/>
    <col min="9499" max="9738" width="6.28515625" style="260"/>
    <col min="9739" max="9739" width="43.5703125" style="260" customWidth="1"/>
    <col min="9740" max="9740" width="7.5703125" style="260" customWidth="1"/>
    <col min="9741" max="9742" width="8.42578125" style="260" customWidth="1"/>
    <col min="9743" max="9743" width="6.7109375" style="260" customWidth="1"/>
    <col min="9744" max="9745" width="7.5703125" style="260" customWidth="1"/>
    <col min="9746" max="9747" width="8.42578125" style="260" customWidth="1"/>
    <col min="9748" max="9748" width="6.7109375" style="260" customWidth="1"/>
    <col min="9749" max="9750" width="7.5703125" style="260" customWidth="1"/>
    <col min="9751" max="9752" width="8.42578125" style="260" customWidth="1"/>
    <col min="9753" max="9753" width="6.7109375" style="260" customWidth="1"/>
    <col min="9754" max="9754" width="7.5703125" style="260" customWidth="1"/>
    <col min="9755" max="9994" width="6.28515625" style="260"/>
    <col min="9995" max="9995" width="43.5703125" style="260" customWidth="1"/>
    <col min="9996" max="9996" width="7.5703125" style="260" customWidth="1"/>
    <col min="9997" max="9998" width="8.42578125" style="260" customWidth="1"/>
    <col min="9999" max="9999" width="6.7109375" style="260" customWidth="1"/>
    <col min="10000" max="10001" width="7.5703125" style="260" customWidth="1"/>
    <col min="10002" max="10003" width="8.42578125" style="260" customWidth="1"/>
    <col min="10004" max="10004" width="6.7109375" style="260" customWidth="1"/>
    <col min="10005" max="10006" width="7.5703125" style="260" customWidth="1"/>
    <col min="10007" max="10008" width="8.42578125" style="260" customWidth="1"/>
    <col min="10009" max="10009" width="6.7109375" style="260" customWidth="1"/>
    <col min="10010" max="10010" width="7.5703125" style="260" customWidth="1"/>
    <col min="10011" max="10250" width="6.28515625" style="260"/>
    <col min="10251" max="10251" width="43.5703125" style="260" customWidth="1"/>
    <col min="10252" max="10252" width="7.5703125" style="260" customWidth="1"/>
    <col min="10253" max="10254" width="8.42578125" style="260" customWidth="1"/>
    <col min="10255" max="10255" width="6.7109375" style="260" customWidth="1"/>
    <col min="10256" max="10257" width="7.5703125" style="260" customWidth="1"/>
    <col min="10258" max="10259" width="8.42578125" style="260" customWidth="1"/>
    <col min="10260" max="10260" width="6.7109375" style="260" customWidth="1"/>
    <col min="10261" max="10262" width="7.5703125" style="260" customWidth="1"/>
    <col min="10263" max="10264" width="8.42578125" style="260" customWidth="1"/>
    <col min="10265" max="10265" width="6.7109375" style="260" customWidth="1"/>
    <col min="10266" max="10266" width="7.5703125" style="260" customWidth="1"/>
    <col min="10267" max="10506" width="6.28515625" style="260"/>
    <col min="10507" max="10507" width="43.5703125" style="260" customWidth="1"/>
    <col min="10508" max="10508" width="7.5703125" style="260" customWidth="1"/>
    <col min="10509" max="10510" width="8.42578125" style="260" customWidth="1"/>
    <col min="10511" max="10511" width="6.7109375" style="260" customWidth="1"/>
    <col min="10512" max="10513" width="7.5703125" style="260" customWidth="1"/>
    <col min="10514" max="10515" width="8.42578125" style="260" customWidth="1"/>
    <col min="10516" max="10516" width="6.7109375" style="260" customWidth="1"/>
    <col min="10517" max="10518" width="7.5703125" style="260" customWidth="1"/>
    <col min="10519" max="10520" width="8.42578125" style="260" customWidth="1"/>
    <col min="10521" max="10521" width="6.7109375" style="260" customWidth="1"/>
    <col min="10522" max="10522" width="7.5703125" style="260" customWidth="1"/>
    <col min="10523" max="10762" width="6.28515625" style="260"/>
    <col min="10763" max="10763" width="43.5703125" style="260" customWidth="1"/>
    <col min="10764" max="10764" width="7.5703125" style="260" customWidth="1"/>
    <col min="10765" max="10766" width="8.42578125" style="260" customWidth="1"/>
    <col min="10767" max="10767" width="6.7109375" style="260" customWidth="1"/>
    <col min="10768" max="10769" width="7.5703125" style="260" customWidth="1"/>
    <col min="10770" max="10771" width="8.42578125" style="260" customWidth="1"/>
    <col min="10772" max="10772" width="6.7109375" style="260" customWidth="1"/>
    <col min="10773" max="10774" width="7.5703125" style="260" customWidth="1"/>
    <col min="10775" max="10776" width="8.42578125" style="260" customWidth="1"/>
    <col min="10777" max="10777" width="6.7109375" style="260" customWidth="1"/>
    <col min="10778" max="10778" width="7.5703125" style="260" customWidth="1"/>
    <col min="10779" max="11018" width="6.28515625" style="260"/>
    <col min="11019" max="11019" width="43.5703125" style="260" customWidth="1"/>
    <col min="11020" max="11020" width="7.5703125" style="260" customWidth="1"/>
    <col min="11021" max="11022" width="8.42578125" style="260" customWidth="1"/>
    <col min="11023" max="11023" width="6.7109375" style="260" customWidth="1"/>
    <col min="11024" max="11025" width="7.5703125" style="260" customWidth="1"/>
    <col min="11026" max="11027" width="8.42578125" style="260" customWidth="1"/>
    <col min="11028" max="11028" width="6.7109375" style="260" customWidth="1"/>
    <col min="11029" max="11030" width="7.5703125" style="260" customWidth="1"/>
    <col min="11031" max="11032" width="8.42578125" style="260" customWidth="1"/>
    <col min="11033" max="11033" width="6.7109375" style="260" customWidth="1"/>
    <col min="11034" max="11034" width="7.5703125" style="260" customWidth="1"/>
    <col min="11035" max="11274" width="6.28515625" style="260"/>
    <col min="11275" max="11275" width="43.5703125" style="260" customWidth="1"/>
    <col min="11276" max="11276" width="7.5703125" style="260" customWidth="1"/>
    <col min="11277" max="11278" width="8.42578125" style="260" customWidth="1"/>
    <col min="11279" max="11279" width="6.7109375" style="260" customWidth="1"/>
    <col min="11280" max="11281" width="7.5703125" style="260" customWidth="1"/>
    <col min="11282" max="11283" width="8.42578125" style="260" customWidth="1"/>
    <col min="11284" max="11284" width="6.7109375" style="260" customWidth="1"/>
    <col min="11285" max="11286" width="7.5703125" style="260" customWidth="1"/>
    <col min="11287" max="11288" width="8.42578125" style="260" customWidth="1"/>
    <col min="11289" max="11289" width="6.7109375" style="260" customWidth="1"/>
    <col min="11290" max="11290" width="7.5703125" style="260" customWidth="1"/>
    <col min="11291" max="11530" width="6.28515625" style="260"/>
    <col min="11531" max="11531" width="43.5703125" style="260" customWidth="1"/>
    <col min="11532" max="11532" width="7.5703125" style="260" customWidth="1"/>
    <col min="11533" max="11534" width="8.42578125" style="260" customWidth="1"/>
    <col min="11535" max="11535" width="6.7109375" style="260" customWidth="1"/>
    <col min="11536" max="11537" width="7.5703125" style="260" customWidth="1"/>
    <col min="11538" max="11539" width="8.42578125" style="260" customWidth="1"/>
    <col min="11540" max="11540" width="6.7109375" style="260" customWidth="1"/>
    <col min="11541" max="11542" width="7.5703125" style="260" customWidth="1"/>
    <col min="11543" max="11544" width="8.42578125" style="260" customWidth="1"/>
    <col min="11545" max="11545" width="6.7109375" style="260" customWidth="1"/>
    <col min="11546" max="11546" width="7.5703125" style="260" customWidth="1"/>
    <col min="11547" max="11786" width="6.28515625" style="260"/>
    <col min="11787" max="11787" width="43.5703125" style="260" customWidth="1"/>
    <col min="11788" max="11788" width="7.5703125" style="260" customWidth="1"/>
    <col min="11789" max="11790" width="8.42578125" style="260" customWidth="1"/>
    <col min="11791" max="11791" width="6.7109375" style="260" customWidth="1"/>
    <col min="11792" max="11793" width="7.5703125" style="260" customWidth="1"/>
    <col min="11794" max="11795" width="8.42578125" style="260" customWidth="1"/>
    <col min="11796" max="11796" width="6.7109375" style="260" customWidth="1"/>
    <col min="11797" max="11798" width="7.5703125" style="260" customWidth="1"/>
    <col min="11799" max="11800" width="8.42578125" style="260" customWidth="1"/>
    <col min="11801" max="11801" width="6.7109375" style="260" customWidth="1"/>
    <col min="11802" max="11802" width="7.5703125" style="260" customWidth="1"/>
    <col min="11803" max="12042" width="6.28515625" style="260"/>
    <col min="12043" max="12043" width="43.5703125" style="260" customWidth="1"/>
    <col min="12044" max="12044" width="7.5703125" style="260" customWidth="1"/>
    <col min="12045" max="12046" width="8.42578125" style="260" customWidth="1"/>
    <col min="12047" max="12047" width="6.7109375" style="260" customWidth="1"/>
    <col min="12048" max="12049" width="7.5703125" style="260" customWidth="1"/>
    <col min="12050" max="12051" width="8.42578125" style="260" customWidth="1"/>
    <col min="12052" max="12052" width="6.7109375" style="260" customWidth="1"/>
    <col min="12053" max="12054" width="7.5703125" style="260" customWidth="1"/>
    <col min="12055" max="12056" width="8.42578125" style="260" customWidth="1"/>
    <col min="12057" max="12057" width="6.7109375" style="260" customWidth="1"/>
    <col min="12058" max="12058" width="7.5703125" style="260" customWidth="1"/>
    <col min="12059" max="12298" width="6.28515625" style="260"/>
    <col min="12299" max="12299" width="43.5703125" style="260" customWidth="1"/>
    <col min="12300" max="12300" width="7.5703125" style="260" customWidth="1"/>
    <col min="12301" max="12302" width="8.42578125" style="260" customWidth="1"/>
    <col min="12303" max="12303" width="6.7109375" style="260" customWidth="1"/>
    <col min="12304" max="12305" width="7.5703125" style="260" customWidth="1"/>
    <col min="12306" max="12307" width="8.42578125" style="260" customWidth="1"/>
    <col min="12308" max="12308" width="6.7109375" style="260" customWidth="1"/>
    <col min="12309" max="12310" width="7.5703125" style="260" customWidth="1"/>
    <col min="12311" max="12312" width="8.42578125" style="260" customWidth="1"/>
    <col min="12313" max="12313" width="6.7109375" style="260" customWidth="1"/>
    <col min="12314" max="12314" width="7.5703125" style="260" customWidth="1"/>
    <col min="12315" max="12554" width="6.28515625" style="260"/>
    <col min="12555" max="12555" width="43.5703125" style="260" customWidth="1"/>
    <col min="12556" max="12556" width="7.5703125" style="260" customWidth="1"/>
    <col min="12557" max="12558" width="8.42578125" style="260" customWidth="1"/>
    <col min="12559" max="12559" width="6.7109375" style="260" customWidth="1"/>
    <col min="12560" max="12561" width="7.5703125" style="260" customWidth="1"/>
    <col min="12562" max="12563" width="8.42578125" style="260" customWidth="1"/>
    <col min="12564" max="12564" width="6.7109375" style="260" customWidth="1"/>
    <col min="12565" max="12566" width="7.5703125" style="260" customWidth="1"/>
    <col min="12567" max="12568" width="8.42578125" style="260" customWidth="1"/>
    <col min="12569" max="12569" width="6.7109375" style="260" customWidth="1"/>
    <col min="12570" max="12570" width="7.5703125" style="260" customWidth="1"/>
    <col min="12571" max="12810" width="6.28515625" style="260"/>
    <col min="12811" max="12811" width="43.5703125" style="260" customWidth="1"/>
    <col min="12812" max="12812" width="7.5703125" style="260" customWidth="1"/>
    <col min="12813" max="12814" width="8.42578125" style="260" customWidth="1"/>
    <col min="12815" max="12815" width="6.7109375" style="260" customWidth="1"/>
    <col min="12816" max="12817" width="7.5703125" style="260" customWidth="1"/>
    <col min="12818" max="12819" width="8.42578125" style="260" customWidth="1"/>
    <col min="12820" max="12820" width="6.7109375" style="260" customWidth="1"/>
    <col min="12821" max="12822" width="7.5703125" style="260" customWidth="1"/>
    <col min="12823" max="12824" width="8.42578125" style="260" customWidth="1"/>
    <col min="12825" max="12825" width="6.7109375" style="260" customWidth="1"/>
    <col min="12826" max="12826" width="7.5703125" style="260" customWidth="1"/>
    <col min="12827" max="13066" width="6.28515625" style="260"/>
    <col min="13067" max="13067" width="43.5703125" style="260" customWidth="1"/>
    <col min="13068" max="13068" width="7.5703125" style="260" customWidth="1"/>
    <col min="13069" max="13070" width="8.42578125" style="260" customWidth="1"/>
    <col min="13071" max="13071" width="6.7109375" style="260" customWidth="1"/>
    <col min="13072" max="13073" width="7.5703125" style="260" customWidth="1"/>
    <col min="13074" max="13075" width="8.42578125" style="260" customWidth="1"/>
    <col min="13076" max="13076" width="6.7109375" style="260" customWidth="1"/>
    <col min="13077" max="13078" width="7.5703125" style="260" customWidth="1"/>
    <col min="13079" max="13080" width="8.42578125" style="260" customWidth="1"/>
    <col min="13081" max="13081" width="6.7109375" style="260" customWidth="1"/>
    <col min="13082" max="13082" width="7.5703125" style="260" customWidth="1"/>
    <col min="13083" max="13322" width="6.28515625" style="260"/>
    <col min="13323" max="13323" width="43.5703125" style="260" customWidth="1"/>
    <col min="13324" max="13324" width="7.5703125" style="260" customWidth="1"/>
    <col min="13325" max="13326" width="8.42578125" style="260" customWidth="1"/>
    <col min="13327" max="13327" width="6.7109375" style="260" customWidth="1"/>
    <col min="13328" max="13329" width="7.5703125" style="260" customWidth="1"/>
    <col min="13330" max="13331" width="8.42578125" style="260" customWidth="1"/>
    <col min="13332" max="13332" width="6.7109375" style="260" customWidth="1"/>
    <col min="13333" max="13334" width="7.5703125" style="260" customWidth="1"/>
    <col min="13335" max="13336" width="8.42578125" style="260" customWidth="1"/>
    <col min="13337" max="13337" width="6.7109375" style="260" customWidth="1"/>
    <col min="13338" max="13338" width="7.5703125" style="260" customWidth="1"/>
    <col min="13339" max="13578" width="6.28515625" style="260"/>
    <col min="13579" max="13579" width="43.5703125" style="260" customWidth="1"/>
    <col min="13580" max="13580" width="7.5703125" style="260" customWidth="1"/>
    <col min="13581" max="13582" width="8.42578125" style="260" customWidth="1"/>
    <col min="13583" max="13583" width="6.7109375" style="260" customWidth="1"/>
    <col min="13584" max="13585" width="7.5703125" style="260" customWidth="1"/>
    <col min="13586" max="13587" width="8.42578125" style="260" customWidth="1"/>
    <col min="13588" max="13588" width="6.7109375" style="260" customWidth="1"/>
    <col min="13589" max="13590" width="7.5703125" style="260" customWidth="1"/>
    <col min="13591" max="13592" width="8.42578125" style="260" customWidth="1"/>
    <col min="13593" max="13593" width="6.7109375" style="260" customWidth="1"/>
    <col min="13594" max="13594" width="7.5703125" style="260" customWidth="1"/>
    <col min="13595" max="13834" width="6.28515625" style="260"/>
    <col min="13835" max="13835" width="43.5703125" style="260" customWidth="1"/>
    <col min="13836" max="13836" width="7.5703125" style="260" customWidth="1"/>
    <col min="13837" max="13838" width="8.42578125" style="260" customWidth="1"/>
    <col min="13839" max="13839" width="6.7109375" style="260" customWidth="1"/>
    <col min="13840" max="13841" width="7.5703125" style="260" customWidth="1"/>
    <col min="13842" max="13843" width="8.42578125" style="260" customWidth="1"/>
    <col min="13844" max="13844" width="6.7109375" style="260" customWidth="1"/>
    <col min="13845" max="13846" width="7.5703125" style="260" customWidth="1"/>
    <col min="13847" max="13848" width="8.42578125" style="260" customWidth="1"/>
    <col min="13849" max="13849" width="6.7109375" style="260" customWidth="1"/>
    <col min="13850" max="13850" width="7.5703125" style="260" customWidth="1"/>
    <col min="13851" max="14090" width="6.28515625" style="260"/>
    <col min="14091" max="14091" width="43.5703125" style="260" customWidth="1"/>
    <col min="14092" max="14092" width="7.5703125" style="260" customWidth="1"/>
    <col min="14093" max="14094" width="8.42578125" style="260" customWidth="1"/>
    <col min="14095" max="14095" width="6.7109375" style="260" customWidth="1"/>
    <col min="14096" max="14097" width="7.5703125" style="260" customWidth="1"/>
    <col min="14098" max="14099" width="8.42578125" style="260" customWidth="1"/>
    <col min="14100" max="14100" width="6.7109375" style="260" customWidth="1"/>
    <col min="14101" max="14102" width="7.5703125" style="260" customWidth="1"/>
    <col min="14103" max="14104" width="8.42578125" style="260" customWidth="1"/>
    <col min="14105" max="14105" width="6.7109375" style="260" customWidth="1"/>
    <col min="14106" max="14106" width="7.5703125" style="260" customWidth="1"/>
    <col min="14107" max="14346" width="6.28515625" style="260"/>
    <col min="14347" max="14347" width="43.5703125" style="260" customWidth="1"/>
    <col min="14348" max="14348" width="7.5703125" style="260" customWidth="1"/>
    <col min="14349" max="14350" width="8.42578125" style="260" customWidth="1"/>
    <col min="14351" max="14351" width="6.7109375" style="260" customWidth="1"/>
    <col min="14352" max="14353" width="7.5703125" style="260" customWidth="1"/>
    <col min="14354" max="14355" width="8.42578125" style="260" customWidth="1"/>
    <col min="14356" max="14356" width="6.7109375" style="260" customWidth="1"/>
    <col min="14357" max="14358" width="7.5703125" style="260" customWidth="1"/>
    <col min="14359" max="14360" width="8.42578125" style="260" customWidth="1"/>
    <col min="14361" max="14361" width="6.7109375" style="260" customWidth="1"/>
    <col min="14362" max="14362" width="7.5703125" style="260" customWidth="1"/>
    <col min="14363" max="14602" width="6.28515625" style="260"/>
    <col min="14603" max="14603" width="43.5703125" style="260" customWidth="1"/>
    <col min="14604" max="14604" width="7.5703125" style="260" customWidth="1"/>
    <col min="14605" max="14606" width="8.42578125" style="260" customWidth="1"/>
    <col min="14607" max="14607" width="6.7109375" style="260" customWidth="1"/>
    <col min="14608" max="14609" width="7.5703125" style="260" customWidth="1"/>
    <col min="14610" max="14611" width="8.42578125" style="260" customWidth="1"/>
    <col min="14612" max="14612" width="6.7109375" style="260" customWidth="1"/>
    <col min="14613" max="14614" width="7.5703125" style="260" customWidth="1"/>
    <col min="14615" max="14616" width="8.42578125" style="260" customWidth="1"/>
    <col min="14617" max="14617" width="6.7109375" style="260" customWidth="1"/>
    <col min="14618" max="14618" width="7.5703125" style="260" customWidth="1"/>
    <col min="14619" max="14858" width="6.28515625" style="260"/>
    <col min="14859" max="14859" width="43.5703125" style="260" customWidth="1"/>
    <col min="14860" max="14860" width="7.5703125" style="260" customWidth="1"/>
    <col min="14861" max="14862" width="8.42578125" style="260" customWidth="1"/>
    <col min="14863" max="14863" width="6.7109375" style="260" customWidth="1"/>
    <col min="14864" max="14865" width="7.5703125" style="260" customWidth="1"/>
    <col min="14866" max="14867" width="8.42578125" style="260" customWidth="1"/>
    <col min="14868" max="14868" width="6.7109375" style="260" customWidth="1"/>
    <col min="14869" max="14870" width="7.5703125" style="260" customWidth="1"/>
    <col min="14871" max="14872" width="8.42578125" style="260" customWidth="1"/>
    <col min="14873" max="14873" width="6.7109375" style="260" customWidth="1"/>
    <col min="14874" max="14874" width="7.5703125" style="260" customWidth="1"/>
    <col min="14875" max="15114" width="6.28515625" style="260"/>
    <col min="15115" max="15115" width="43.5703125" style="260" customWidth="1"/>
    <col min="15116" max="15116" width="7.5703125" style="260" customWidth="1"/>
    <col min="15117" max="15118" width="8.42578125" style="260" customWidth="1"/>
    <col min="15119" max="15119" width="6.7109375" style="260" customWidth="1"/>
    <col min="15120" max="15121" width="7.5703125" style="260" customWidth="1"/>
    <col min="15122" max="15123" width="8.42578125" style="260" customWidth="1"/>
    <col min="15124" max="15124" width="6.7109375" style="260" customWidth="1"/>
    <col min="15125" max="15126" width="7.5703125" style="260" customWidth="1"/>
    <col min="15127" max="15128" width="8.42578125" style="260" customWidth="1"/>
    <col min="15129" max="15129" width="6.7109375" style="260" customWidth="1"/>
    <col min="15130" max="15130" width="7.5703125" style="260" customWidth="1"/>
    <col min="15131" max="15370" width="6.28515625" style="260"/>
    <col min="15371" max="15371" width="43.5703125" style="260" customWidth="1"/>
    <col min="15372" max="15372" width="7.5703125" style="260" customWidth="1"/>
    <col min="15373" max="15374" width="8.42578125" style="260" customWidth="1"/>
    <col min="15375" max="15375" width="6.7109375" style="260" customWidth="1"/>
    <col min="15376" max="15377" width="7.5703125" style="260" customWidth="1"/>
    <col min="15378" max="15379" width="8.42578125" style="260" customWidth="1"/>
    <col min="15380" max="15380" width="6.7109375" style="260" customWidth="1"/>
    <col min="15381" max="15382" width="7.5703125" style="260" customWidth="1"/>
    <col min="15383" max="15384" width="8.42578125" style="260" customWidth="1"/>
    <col min="15385" max="15385" width="6.7109375" style="260" customWidth="1"/>
    <col min="15386" max="15386" width="7.5703125" style="260" customWidth="1"/>
    <col min="15387" max="15626" width="6.28515625" style="260"/>
    <col min="15627" max="15627" width="43.5703125" style="260" customWidth="1"/>
    <col min="15628" max="15628" width="7.5703125" style="260" customWidth="1"/>
    <col min="15629" max="15630" width="8.42578125" style="260" customWidth="1"/>
    <col min="15631" max="15631" width="6.7109375" style="260" customWidth="1"/>
    <col min="15632" max="15633" width="7.5703125" style="260" customWidth="1"/>
    <col min="15634" max="15635" width="8.42578125" style="260" customWidth="1"/>
    <col min="15636" max="15636" width="6.7109375" style="260" customWidth="1"/>
    <col min="15637" max="15638" width="7.5703125" style="260" customWidth="1"/>
    <col min="15639" max="15640" width="8.42578125" style="260" customWidth="1"/>
    <col min="15641" max="15641" width="6.7109375" style="260" customWidth="1"/>
    <col min="15642" max="15642" width="7.5703125" style="260" customWidth="1"/>
    <col min="15643" max="15882" width="6.28515625" style="260"/>
    <col min="15883" max="15883" width="43.5703125" style="260" customWidth="1"/>
    <col min="15884" max="15884" width="7.5703125" style="260" customWidth="1"/>
    <col min="15885" max="15886" width="8.42578125" style="260" customWidth="1"/>
    <col min="15887" max="15887" width="6.7109375" style="260" customWidth="1"/>
    <col min="15888" max="15889" width="7.5703125" style="260" customWidth="1"/>
    <col min="15890" max="15891" width="8.42578125" style="260" customWidth="1"/>
    <col min="15892" max="15892" width="6.7109375" style="260" customWidth="1"/>
    <col min="15893" max="15894" width="7.5703125" style="260" customWidth="1"/>
    <col min="15895" max="15896" width="8.42578125" style="260" customWidth="1"/>
    <col min="15897" max="15897" width="6.7109375" style="260" customWidth="1"/>
    <col min="15898" max="15898" width="7.5703125" style="260" customWidth="1"/>
    <col min="15899" max="16138" width="6.28515625" style="260"/>
    <col min="16139" max="16139" width="43.5703125" style="260" customWidth="1"/>
    <col min="16140" max="16140" width="7.5703125" style="260" customWidth="1"/>
    <col min="16141" max="16142" width="8.42578125" style="260" customWidth="1"/>
    <col min="16143" max="16143" width="6.7109375" style="260" customWidth="1"/>
    <col min="16144" max="16145" width="7.5703125" style="260" customWidth="1"/>
    <col min="16146" max="16147" width="8.42578125" style="260" customWidth="1"/>
    <col min="16148" max="16148" width="6.7109375" style="260" customWidth="1"/>
    <col min="16149" max="16150" width="7.5703125" style="260" customWidth="1"/>
    <col min="16151" max="16152" width="8.42578125" style="260" customWidth="1"/>
    <col min="16153" max="16153" width="6.7109375" style="260" customWidth="1"/>
    <col min="16154" max="16154" width="7.5703125" style="260" customWidth="1"/>
    <col min="16155" max="16384" width="6.28515625" style="260"/>
  </cols>
  <sheetData>
    <row r="1" spans="1:25" ht="15.75" x14ac:dyDescent="0.25">
      <c r="A1" s="19" t="str">
        <f>CONCATENATE("Industry Table 6  Employment status by Industry (SIC 2007) and Gender, ",B$5,"-",V$5,", ",Info!B5)</f>
        <v>Industry Table 6  Employment status by Industry (SIC 2007) and Gender, 2015-2035, Greater Lincolnshire</v>
      </c>
    </row>
    <row r="2" spans="1:25" x14ac:dyDescent="0.2">
      <c r="A2" s="1" t="s">
        <v>514</v>
      </c>
    </row>
    <row r="4" spans="1:25" x14ac:dyDescent="0.2">
      <c r="A4" s="264"/>
      <c r="B4" s="315"/>
      <c r="C4" s="316"/>
      <c r="D4" s="315"/>
      <c r="E4" s="315"/>
      <c r="F4" s="315"/>
      <c r="G4" s="315"/>
      <c r="H4" s="315"/>
      <c r="I4" s="315"/>
      <c r="J4" s="315"/>
      <c r="K4" s="315"/>
      <c r="L4" s="315"/>
      <c r="M4" s="315"/>
      <c r="N4" s="315"/>
      <c r="O4" s="315"/>
      <c r="P4" s="315"/>
      <c r="Q4" s="315"/>
      <c r="R4" s="315"/>
      <c r="S4" s="315"/>
      <c r="T4" s="315"/>
      <c r="U4" s="315"/>
      <c r="V4" s="315"/>
      <c r="W4" s="315"/>
      <c r="X4" s="315"/>
      <c r="Y4" s="315" t="s">
        <v>36</v>
      </c>
    </row>
    <row r="5" spans="1:25" ht="15" x14ac:dyDescent="0.25">
      <c r="A5" s="265" t="str">
        <f>"Industry 1 : "&amp; name!B4</f>
        <v>Industry 1 : Agriculture</v>
      </c>
      <c r="B5" s="374">
        <v>2015</v>
      </c>
      <c r="C5" s="374"/>
      <c r="D5" s="374"/>
      <c r="E5" s="374"/>
      <c r="F5" s="317"/>
      <c r="G5" s="374">
        <v>2019</v>
      </c>
      <c r="H5" s="374"/>
      <c r="I5" s="374"/>
      <c r="J5" s="374"/>
      <c r="K5" s="318"/>
      <c r="L5" s="374">
        <v>2020</v>
      </c>
      <c r="M5" s="374"/>
      <c r="N5" s="374"/>
      <c r="O5" s="374"/>
      <c r="P5" s="318"/>
      <c r="Q5" s="374">
        <v>2025</v>
      </c>
      <c r="R5" s="374"/>
      <c r="S5" s="374"/>
      <c r="T5" s="374"/>
      <c r="U5" s="317"/>
      <c r="V5" s="374">
        <v>2035</v>
      </c>
      <c r="W5" s="374"/>
      <c r="X5" s="374"/>
      <c r="Y5" s="374"/>
    </row>
    <row r="6" spans="1:25" x14ac:dyDescent="0.2">
      <c r="A6" s="267"/>
      <c r="B6" s="268" t="str">
        <f>name!$J$5</f>
        <v>FT</v>
      </c>
      <c r="C6" s="268" t="str">
        <f>name!$J$6</f>
        <v>PT</v>
      </c>
      <c r="D6" s="268" t="str">
        <f>name!$J$4</f>
        <v>SE</v>
      </c>
      <c r="E6" s="268" t="s">
        <v>33</v>
      </c>
      <c r="F6" s="268"/>
      <c r="G6" s="268" t="str">
        <f>name!$J$5</f>
        <v>FT</v>
      </c>
      <c r="H6" s="268" t="str">
        <f>name!$J$6</f>
        <v>PT</v>
      </c>
      <c r="I6" s="268" t="str">
        <f>name!$J$4</f>
        <v>SE</v>
      </c>
      <c r="J6" s="268" t="s">
        <v>33</v>
      </c>
      <c r="K6" s="268"/>
      <c r="L6" s="268" t="str">
        <f>name!$J$5</f>
        <v>FT</v>
      </c>
      <c r="M6" s="268" t="str">
        <f>name!$J$6</f>
        <v>PT</v>
      </c>
      <c r="N6" s="268" t="str">
        <f>name!$J$4</f>
        <v>SE</v>
      </c>
      <c r="O6" s="268" t="s">
        <v>33</v>
      </c>
      <c r="P6" s="268"/>
      <c r="Q6" s="268" t="str">
        <f>name!$J$5</f>
        <v>FT</v>
      </c>
      <c r="R6" s="268" t="str">
        <f>name!$J$6</f>
        <v>PT</v>
      </c>
      <c r="S6" s="268" t="str">
        <f>name!$J$4</f>
        <v>SE</v>
      </c>
      <c r="T6" s="268" t="s">
        <v>33</v>
      </c>
      <c r="U6" s="268"/>
      <c r="V6" s="268" t="str">
        <f>name!$J$5</f>
        <v>FT</v>
      </c>
      <c r="W6" s="268" t="str">
        <f>name!$J$6</f>
        <v>PT</v>
      </c>
      <c r="X6" s="268" t="str">
        <f>name!$J$4</f>
        <v>SE</v>
      </c>
      <c r="Y6" s="268" t="s">
        <v>33</v>
      </c>
    </row>
    <row r="7" spans="1:25" x14ac:dyDescent="0.2">
      <c r="A7" s="269"/>
      <c r="C7" s="319"/>
      <c r="D7" s="319"/>
      <c r="E7" s="319"/>
      <c r="F7" s="319"/>
      <c r="G7" s="319"/>
      <c r="H7" s="319"/>
      <c r="I7" s="319"/>
      <c r="J7" s="319"/>
      <c r="K7" s="319"/>
      <c r="L7" s="319"/>
      <c r="M7" s="319"/>
      <c r="N7" s="319"/>
      <c r="O7" s="319"/>
      <c r="P7" s="319"/>
      <c r="Q7" s="319"/>
      <c r="R7" s="319"/>
      <c r="S7" s="319"/>
      <c r="T7" s="319"/>
      <c r="U7" s="319"/>
      <c r="V7" s="319"/>
      <c r="W7" s="319"/>
      <c r="X7" s="319"/>
      <c r="Y7" s="319"/>
    </row>
    <row r="8" spans="1:25" x14ac:dyDescent="0.2">
      <c r="A8" s="260" t="s">
        <v>365</v>
      </c>
      <c r="B8" s="300">
        <v>1.8383859117266605</v>
      </c>
      <c r="C8" s="300">
        <v>1.4341288297263834</v>
      </c>
      <c r="D8" s="300">
        <v>0.7351754899065871</v>
      </c>
      <c r="E8" s="300">
        <f>SUM(B8:D8)</f>
        <v>4.0076902313596312</v>
      </c>
      <c r="F8" s="300"/>
      <c r="G8" s="300">
        <v>1.2524754634489248</v>
      </c>
      <c r="H8" s="300">
        <v>1.7159151510717774</v>
      </c>
      <c r="I8" s="300">
        <v>2.5659506807409294</v>
      </c>
      <c r="J8" s="300">
        <f>SUM(G8:I8)</f>
        <v>5.5343412952616315</v>
      </c>
      <c r="K8" s="300"/>
      <c r="L8" s="300">
        <v>2.3332278947494838</v>
      </c>
      <c r="M8" s="300">
        <v>0.49341166499528688</v>
      </c>
      <c r="N8" s="300">
        <v>1.2041216863430673</v>
      </c>
      <c r="O8" s="300">
        <f>SUM(L8:N8)</f>
        <v>4.0307612460878381</v>
      </c>
      <c r="P8" s="300"/>
      <c r="Q8" s="300">
        <v>2.2986611357159203</v>
      </c>
      <c r="R8" s="300">
        <v>0.47112996175602811</v>
      </c>
      <c r="S8" s="300">
        <v>1.2031335386709743</v>
      </c>
      <c r="T8" s="300">
        <f>SUM(Q8:S8)</f>
        <v>3.9729246361429227</v>
      </c>
      <c r="U8" s="300"/>
      <c r="V8" s="300">
        <v>2.1863556240820272</v>
      </c>
      <c r="W8" s="300">
        <v>0.41680523884095011</v>
      </c>
      <c r="X8" s="300">
        <v>1.179819106311689</v>
      </c>
      <c r="Y8" s="300">
        <f>SUM(V8:X8)</f>
        <v>3.7829799692346664</v>
      </c>
    </row>
    <row r="9" spans="1:25" x14ac:dyDescent="0.2">
      <c r="A9" s="260" t="s">
        <v>364</v>
      </c>
      <c r="B9" s="300">
        <v>3.8645903792498566</v>
      </c>
      <c r="C9" s="300">
        <v>0.94311746238098537</v>
      </c>
      <c r="D9" s="300">
        <v>3.5766019270095453</v>
      </c>
      <c r="E9" s="300">
        <f t="shared" ref="E9:E10" si="0">SUM(B9:D9)</f>
        <v>8.3843097686403869</v>
      </c>
      <c r="F9" s="300"/>
      <c r="G9" s="300">
        <v>2.9723516375116703</v>
      </c>
      <c r="H9" s="300">
        <v>6.0603651457773862E-2</v>
      </c>
      <c r="I9" s="300">
        <v>2.6927034157689063</v>
      </c>
      <c r="J9" s="300">
        <f t="shared" ref="J9:J10" si="1">SUM(G9:I9)</f>
        <v>5.7256587047383505</v>
      </c>
      <c r="K9" s="300"/>
      <c r="L9" s="300">
        <v>6.4048426406452803</v>
      </c>
      <c r="M9" s="300">
        <v>0.78889516743939736</v>
      </c>
      <c r="N9" s="300">
        <v>3.110500945827507</v>
      </c>
      <c r="O9" s="300">
        <f t="shared" ref="O9:O10" si="2">SUM(L9:N9)</f>
        <v>10.304238753912184</v>
      </c>
      <c r="P9" s="300"/>
      <c r="Q9" s="300">
        <v>6.521840379632093</v>
      </c>
      <c r="R9" s="300">
        <v>0.78262084555453593</v>
      </c>
      <c r="S9" s="300">
        <v>2.9726141386704628</v>
      </c>
      <c r="T9" s="300">
        <f t="shared" ref="T9:T10" si="3">SUM(Q9:S9)</f>
        <v>10.277075363857092</v>
      </c>
      <c r="U9" s="300"/>
      <c r="V9" s="300">
        <v>6.7319929122472084</v>
      </c>
      <c r="W9" s="300">
        <v>0.74946502312325569</v>
      </c>
      <c r="X9" s="300">
        <v>2.6195620953948882</v>
      </c>
      <c r="Y9" s="300">
        <f t="shared" ref="Y9:Y10" si="4">SUM(V9:X9)</f>
        <v>10.101020030765353</v>
      </c>
    </row>
    <row r="10" spans="1:25" x14ac:dyDescent="0.2">
      <c r="A10" s="264" t="s">
        <v>363</v>
      </c>
      <c r="B10" s="301">
        <f>SUM(B8:B9)</f>
        <v>5.7029762909765171</v>
      </c>
      <c r="C10" s="301">
        <f t="shared" ref="C10:D10" si="5">SUM(C8:C9)</f>
        <v>2.3772462921073689</v>
      </c>
      <c r="D10" s="301">
        <f t="shared" si="5"/>
        <v>4.311777416916132</v>
      </c>
      <c r="E10" s="301">
        <f t="shared" si="0"/>
        <v>12.392000000000017</v>
      </c>
      <c r="F10" s="301"/>
      <c r="G10" s="301">
        <f>SUM(G8:G9)</f>
        <v>4.2248271009605949</v>
      </c>
      <c r="H10" s="301">
        <f t="shared" ref="H10" si="6">SUM(H8:H9)</f>
        <v>1.7765188025295513</v>
      </c>
      <c r="I10" s="301">
        <f t="shared" ref="I10" si="7">SUM(I8:I9)</f>
        <v>5.2586540965098356</v>
      </c>
      <c r="J10" s="301">
        <f t="shared" si="1"/>
        <v>11.259999999999982</v>
      </c>
      <c r="K10" s="301"/>
      <c r="L10" s="301">
        <f>SUM(L8:L9)</f>
        <v>8.7380705353947636</v>
      </c>
      <c r="M10" s="301">
        <f t="shared" ref="M10" si="8">SUM(M8:M9)</f>
        <v>1.2823068324346842</v>
      </c>
      <c r="N10" s="301">
        <f t="shared" ref="N10" si="9">SUM(N8:N9)</f>
        <v>4.3146226321705745</v>
      </c>
      <c r="O10" s="301">
        <f t="shared" si="2"/>
        <v>14.335000000000022</v>
      </c>
      <c r="P10" s="301"/>
      <c r="Q10" s="301">
        <f>SUM(Q8:Q9)</f>
        <v>8.8205015153480133</v>
      </c>
      <c r="R10" s="301">
        <f t="shared" ref="R10" si="10">SUM(R8:R9)</f>
        <v>1.2537508073105641</v>
      </c>
      <c r="S10" s="301">
        <f t="shared" ref="S10" si="11">SUM(S8:S9)</f>
        <v>4.1757476773414375</v>
      </c>
      <c r="T10" s="301">
        <f t="shared" si="3"/>
        <v>14.250000000000014</v>
      </c>
      <c r="U10" s="301"/>
      <c r="V10" s="301">
        <f>SUM(V8:V9)</f>
        <v>8.9183485363292352</v>
      </c>
      <c r="W10" s="301">
        <f t="shared" ref="W10" si="12">SUM(W8:W9)</f>
        <v>1.1662702619642058</v>
      </c>
      <c r="X10" s="301">
        <f t="shared" ref="X10" si="13">SUM(X8:X9)</f>
        <v>3.7993812017065771</v>
      </c>
      <c r="Y10" s="301">
        <f t="shared" si="4"/>
        <v>13.884000000000018</v>
      </c>
    </row>
    <row r="12" spans="1:25" x14ac:dyDescent="0.2">
      <c r="A12" s="261"/>
    </row>
    <row r="13" spans="1:25" x14ac:dyDescent="0.2">
      <c r="C13" s="263"/>
    </row>
    <row r="14" spans="1:25" ht="15" x14ac:dyDescent="0.25">
      <c r="A14" s="265" t="str">
        <f>"Industry 2 : "&amp; name!B5</f>
        <v>Industry 2 : Mining and quarrying</v>
      </c>
      <c r="B14" s="374">
        <f>$B$5</f>
        <v>2015</v>
      </c>
      <c r="C14" s="374"/>
      <c r="D14" s="374"/>
      <c r="E14" s="374"/>
      <c r="F14" s="320"/>
      <c r="G14" s="374">
        <f>$G$5</f>
        <v>2019</v>
      </c>
      <c r="H14" s="374"/>
      <c r="I14" s="374"/>
      <c r="J14" s="374"/>
      <c r="K14" s="320"/>
      <c r="L14" s="374">
        <f>$L$5</f>
        <v>2020</v>
      </c>
      <c r="M14" s="374"/>
      <c r="N14" s="374"/>
      <c r="O14" s="374"/>
      <c r="P14" s="318"/>
      <c r="Q14" s="374">
        <f>$Q$5</f>
        <v>2025</v>
      </c>
      <c r="R14" s="374"/>
      <c r="S14" s="374"/>
      <c r="T14" s="374"/>
      <c r="U14" s="320"/>
      <c r="V14" s="374">
        <f>$V$5</f>
        <v>2035</v>
      </c>
      <c r="W14" s="374"/>
      <c r="X14" s="374"/>
      <c r="Y14" s="374"/>
    </row>
    <row r="15" spans="1:25" x14ac:dyDescent="0.2">
      <c r="A15" s="264"/>
      <c r="B15" s="268" t="str">
        <f>$B$6</f>
        <v>FT</v>
      </c>
      <c r="C15" s="268" t="str">
        <f>$C$6</f>
        <v>PT</v>
      </c>
      <c r="D15" s="268" t="str">
        <f>$D$6</f>
        <v>SE</v>
      </c>
      <c r="E15" s="268" t="str">
        <f>$E$6</f>
        <v>Total</v>
      </c>
      <c r="F15" s="268"/>
      <c r="G15" s="268" t="str">
        <f>$B$6</f>
        <v>FT</v>
      </c>
      <c r="H15" s="268" t="str">
        <f>$C$6</f>
        <v>PT</v>
      </c>
      <c r="I15" s="268" t="str">
        <f>$D$6</f>
        <v>SE</v>
      </c>
      <c r="J15" s="268" t="str">
        <f>$E$6</f>
        <v>Total</v>
      </c>
      <c r="K15" s="268"/>
      <c r="L15" s="268" t="str">
        <f>$L$6</f>
        <v>FT</v>
      </c>
      <c r="M15" s="268" t="str">
        <f>$M$6</f>
        <v>PT</v>
      </c>
      <c r="N15" s="268" t="str">
        <f>$N$6</f>
        <v>SE</v>
      </c>
      <c r="O15" s="268" t="str">
        <f>$O$6</f>
        <v>Total</v>
      </c>
      <c r="P15" s="268"/>
      <c r="Q15" s="268" t="str">
        <f>$L$6</f>
        <v>FT</v>
      </c>
      <c r="R15" s="268" t="str">
        <f>$M$6</f>
        <v>PT</v>
      </c>
      <c r="S15" s="268" t="str">
        <f>$N$6</f>
        <v>SE</v>
      </c>
      <c r="T15" s="268" t="str">
        <f>$O$6</f>
        <v>Total</v>
      </c>
      <c r="U15" s="268"/>
      <c r="V15" s="268" t="str">
        <f>$V$6</f>
        <v>FT</v>
      </c>
      <c r="W15" s="268" t="str">
        <f>$W$6</f>
        <v>PT</v>
      </c>
      <c r="X15" s="268" t="str">
        <f>$X$6</f>
        <v>SE</v>
      </c>
      <c r="Y15" s="268" t="str">
        <f>$Y$6</f>
        <v>Total</v>
      </c>
    </row>
    <row r="16" spans="1:25" x14ac:dyDescent="0.2">
      <c r="C16" s="319"/>
      <c r="D16" s="319"/>
      <c r="E16" s="319"/>
      <c r="F16" s="319"/>
      <c r="G16" s="319"/>
      <c r="H16" s="319"/>
      <c r="I16" s="319"/>
      <c r="J16" s="319"/>
      <c r="K16" s="319"/>
      <c r="L16" s="319"/>
      <c r="M16" s="319"/>
      <c r="N16" s="319"/>
      <c r="O16" s="319"/>
      <c r="P16" s="319"/>
      <c r="Q16" s="319"/>
      <c r="R16" s="319"/>
      <c r="S16" s="319"/>
      <c r="T16" s="319"/>
      <c r="U16" s="319"/>
      <c r="V16" s="319"/>
      <c r="W16" s="319"/>
      <c r="X16" s="319"/>
      <c r="Y16" s="319"/>
    </row>
    <row r="17" spans="1:25" x14ac:dyDescent="0.2">
      <c r="A17" s="260" t="s">
        <v>365</v>
      </c>
      <c r="B17" s="300">
        <v>6.5481733524337254E-2</v>
      </c>
      <c r="C17" s="300">
        <v>3.7890401146194644E-2</v>
      </c>
      <c r="D17" s="300">
        <v>1.271489971342657E-4</v>
      </c>
      <c r="E17" s="300">
        <f>SUM(B17:D17)</f>
        <v>0.10349928366766617</v>
      </c>
      <c r="F17" s="300"/>
      <c r="G17" s="300">
        <v>0.1292341584157361</v>
      </c>
      <c r="H17" s="300">
        <v>2.9823267326663402E-2</v>
      </c>
      <c r="I17" s="300">
        <v>2.3118811881648734E-4</v>
      </c>
      <c r="J17" s="300">
        <f>SUM(G17:I17)</f>
        <v>0.15928861386121598</v>
      </c>
      <c r="K17" s="300"/>
      <c r="L17" s="300">
        <v>9.5582861363768187E-2</v>
      </c>
      <c r="M17" s="300">
        <v>2.7698596404707541E-2</v>
      </c>
      <c r="N17" s="300">
        <v>0</v>
      </c>
      <c r="O17" s="300">
        <f>SUM(L17:N17)</f>
        <v>0.12328145776847572</v>
      </c>
      <c r="P17" s="300"/>
      <c r="Q17" s="300">
        <v>7.6840723981439998E-2</v>
      </c>
      <c r="R17" s="300">
        <v>2.275927601781863E-2</v>
      </c>
      <c r="S17" s="300">
        <v>0</v>
      </c>
      <c r="T17" s="300">
        <f>SUM(Q17:S17)</f>
        <v>9.9599999999258629E-2</v>
      </c>
      <c r="U17" s="300"/>
      <c r="V17" s="300">
        <v>5.3819017178622156E-2</v>
      </c>
      <c r="W17" s="300">
        <v>1.707510986776244E-2</v>
      </c>
      <c r="X17" s="300">
        <v>0</v>
      </c>
      <c r="Y17" s="300">
        <f>SUM(V17:X17)</f>
        <v>7.0894127046384592E-2</v>
      </c>
    </row>
    <row r="18" spans="1:25" x14ac:dyDescent="0.2">
      <c r="A18" s="260" t="s">
        <v>364</v>
      </c>
      <c r="B18" s="300">
        <v>0.59378581661874263</v>
      </c>
      <c r="C18" s="300">
        <v>1.2714899713592126E-2</v>
      </c>
      <c r="D18" s="300">
        <v>0</v>
      </c>
      <c r="E18" s="300">
        <f t="shared" ref="E18:E19" si="14">SUM(B18:D18)</f>
        <v>0.60650071633233471</v>
      </c>
      <c r="F18" s="300"/>
      <c r="G18" s="300">
        <v>0.76916287128731009</v>
      </c>
      <c r="H18" s="300">
        <v>5.5485148514736547E-3</v>
      </c>
      <c r="I18" s="300">
        <v>0</v>
      </c>
      <c r="J18" s="300">
        <f t="shared" ref="J18:J19" si="15">SUM(G18:I18)</f>
        <v>0.77471138613878376</v>
      </c>
      <c r="K18" s="300"/>
      <c r="L18" s="300">
        <v>0.74627283920299015</v>
      </c>
      <c r="M18" s="300">
        <v>5.2445703028533949E-2</v>
      </c>
      <c r="N18" s="300">
        <v>0</v>
      </c>
      <c r="O18" s="300">
        <f t="shared" ref="O18:O19" si="16">SUM(L18:N18)</f>
        <v>0.79871854223152405</v>
      </c>
      <c r="P18" s="300"/>
      <c r="Q18" s="300">
        <v>0.60323348416387057</v>
      </c>
      <c r="R18" s="300">
        <v>4.4166515836871291E-2</v>
      </c>
      <c r="S18" s="300">
        <v>0</v>
      </c>
      <c r="T18" s="300">
        <f t="shared" ref="T18:T19" si="17">SUM(Q18:S18)</f>
        <v>0.64740000000074183</v>
      </c>
      <c r="U18" s="300"/>
      <c r="V18" s="300">
        <v>0.43617179384869226</v>
      </c>
      <c r="W18" s="300">
        <v>3.3934079104922306E-2</v>
      </c>
      <c r="X18" s="300">
        <v>0</v>
      </c>
      <c r="Y18" s="300">
        <f t="shared" ref="Y18:Y19" si="18">SUM(V18:X18)</f>
        <v>0.47010587295361456</v>
      </c>
    </row>
    <row r="19" spans="1:25" x14ac:dyDescent="0.2">
      <c r="A19" s="264" t="s">
        <v>363</v>
      </c>
      <c r="B19" s="301">
        <f>SUM(B17:B18)</f>
        <v>0.65926755014307992</v>
      </c>
      <c r="C19" s="301">
        <f t="shared" ref="C19" si="19">SUM(C17:C18)</f>
        <v>5.0605300859786768E-2</v>
      </c>
      <c r="D19" s="301">
        <f t="shared" ref="D19" si="20">SUM(D17:D18)</f>
        <v>1.271489971342657E-4</v>
      </c>
      <c r="E19" s="301">
        <f t="shared" si="14"/>
        <v>0.71000000000000096</v>
      </c>
      <c r="F19" s="301"/>
      <c r="G19" s="301">
        <f>SUM(G17:G18)</f>
        <v>0.89839702970304613</v>
      </c>
      <c r="H19" s="301">
        <f t="shared" ref="H19" si="21">SUM(H17:H18)</f>
        <v>3.5371782178137058E-2</v>
      </c>
      <c r="I19" s="301">
        <f t="shared" ref="I19" si="22">SUM(I17:I18)</f>
        <v>2.3118811881648734E-4</v>
      </c>
      <c r="J19" s="301">
        <f t="shared" si="15"/>
        <v>0.93399999999999972</v>
      </c>
      <c r="K19" s="301"/>
      <c r="L19" s="301">
        <f>SUM(L17:L18)</f>
        <v>0.84185570056675829</v>
      </c>
      <c r="M19" s="301">
        <f t="shared" ref="M19" si="23">SUM(M17:M18)</f>
        <v>8.0144299433241487E-2</v>
      </c>
      <c r="N19" s="301">
        <f t="shared" ref="N19" si="24">SUM(N17:N18)</f>
        <v>0</v>
      </c>
      <c r="O19" s="301">
        <f t="shared" si="16"/>
        <v>0.92199999999999982</v>
      </c>
      <c r="P19" s="301"/>
      <c r="Q19" s="301">
        <f>SUM(Q17:Q18)</f>
        <v>0.68007420814531061</v>
      </c>
      <c r="R19" s="301">
        <f t="shared" ref="R19" si="25">SUM(R17:R18)</f>
        <v>6.6925791854689914E-2</v>
      </c>
      <c r="S19" s="301">
        <f t="shared" ref="S19" si="26">SUM(S17:S18)</f>
        <v>0</v>
      </c>
      <c r="T19" s="301">
        <f t="shared" si="17"/>
        <v>0.74700000000000055</v>
      </c>
      <c r="U19" s="301"/>
      <c r="V19" s="301">
        <f>SUM(V17:V18)</f>
        <v>0.4899908110273144</v>
      </c>
      <c r="W19" s="301">
        <f t="shared" ref="W19" si="27">SUM(W17:W18)</f>
        <v>5.1009188972684749E-2</v>
      </c>
      <c r="X19" s="301">
        <f t="shared" ref="X19" si="28">SUM(X17:X18)</f>
        <v>0</v>
      </c>
      <c r="Y19" s="301">
        <f t="shared" si="18"/>
        <v>0.54099999999999915</v>
      </c>
    </row>
    <row r="20" spans="1:25" x14ac:dyDescent="0.2">
      <c r="A20" s="262"/>
    </row>
    <row r="21" spans="1:25" x14ac:dyDescent="0.2">
      <c r="A21" s="262"/>
    </row>
    <row r="22" spans="1:25" x14ac:dyDescent="0.2">
      <c r="A22" s="262"/>
    </row>
    <row r="23" spans="1:25" ht="15" x14ac:dyDescent="0.25">
      <c r="A23" s="265" t="str">
        <f>"Industry 3 : "&amp; name!B6</f>
        <v>Industry 3 : Food drink and tobacco</v>
      </c>
      <c r="B23" s="374">
        <f>$B$5</f>
        <v>2015</v>
      </c>
      <c r="C23" s="374"/>
      <c r="D23" s="374"/>
      <c r="E23" s="374"/>
      <c r="F23" s="320"/>
      <c r="G23" s="374">
        <f>$G$5</f>
        <v>2019</v>
      </c>
      <c r="H23" s="374"/>
      <c r="I23" s="374"/>
      <c r="J23" s="374"/>
      <c r="K23" s="320"/>
      <c r="L23" s="374">
        <f>$L$5</f>
        <v>2020</v>
      </c>
      <c r="M23" s="374"/>
      <c r="N23" s="374"/>
      <c r="O23" s="374"/>
      <c r="P23" s="318"/>
      <c r="Q23" s="374">
        <f>$Q$5</f>
        <v>2025</v>
      </c>
      <c r="R23" s="374"/>
      <c r="S23" s="374"/>
      <c r="T23" s="374"/>
      <c r="U23" s="320"/>
      <c r="V23" s="374">
        <f>$V$5</f>
        <v>2035</v>
      </c>
      <c r="W23" s="374"/>
      <c r="X23" s="374"/>
      <c r="Y23" s="374"/>
    </row>
    <row r="24" spans="1:25" x14ac:dyDescent="0.2">
      <c r="A24" s="264"/>
      <c r="B24" s="268" t="str">
        <f>$B$6</f>
        <v>FT</v>
      </c>
      <c r="C24" s="268" t="str">
        <f>$C$6</f>
        <v>PT</v>
      </c>
      <c r="D24" s="268" t="str">
        <f>$D$6</f>
        <v>SE</v>
      </c>
      <c r="E24" s="268" t="str">
        <f>$E$6</f>
        <v>Total</v>
      </c>
      <c r="F24" s="268"/>
      <c r="G24" s="268" t="str">
        <f>$B$6</f>
        <v>FT</v>
      </c>
      <c r="H24" s="268" t="str">
        <f>$C$6</f>
        <v>PT</v>
      </c>
      <c r="I24" s="268" t="str">
        <f>$D$6</f>
        <v>SE</v>
      </c>
      <c r="J24" s="268" t="str">
        <f>$E$6</f>
        <v>Total</v>
      </c>
      <c r="K24" s="268"/>
      <c r="L24" s="268" t="str">
        <f>$L$6</f>
        <v>FT</v>
      </c>
      <c r="M24" s="268" t="str">
        <f>$M$6</f>
        <v>PT</v>
      </c>
      <c r="N24" s="268" t="str">
        <f>$N$6</f>
        <v>SE</v>
      </c>
      <c r="O24" s="268" t="str">
        <f>$O$6</f>
        <v>Total</v>
      </c>
      <c r="P24" s="268"/>
      <c r="Q24" s="268" t="str">
        <f>$L$6</f>
        <v>FT</v>
      </c>
      <c r="R24" s="268" t="str">
        <f>$M$6</f>
        <v>PT</v>
      </c>
      <c r="S24" s="268" t="str">
        <f>$N$6</f>
        <v>SE</v>
      </c>
      <c r="T24" s="268" t="str">
        <f>$O$6</f>
        <v>Total</v>
      </c>
      <c r="U24" s="268"/>
      <c r="V24" s="268" t="str">
        <f>$V$6</f>
        <v>FT</v>
      </c>
      <c r="W24" s="268" t="str">
        <f>$W$6</f>
        <v>PT</v>
      </c>
      <c r="X24" s="268" t="str">
        <f>$X$6</f>
        <v>SE</v>
      </c>
      <c r="Y24" s="268" t="str">
        <f>$Y$6</f>
        <v>Total</v>
      </c>
    </row>
    <row r="25" spans="1:25" x14ac:dyDescent="0.2">
      <c r="C25" s="319"/>
      <c r="D25" s="319"/>
      <c r="E25" s="319"/>
      <c r="F25" s="319"/>
      <c r="G25" s="319"/>
      <c r="H25" s="319"/>
      <c r="I25" s="319"/>
      <c r="J25" s="319"/>
      <c r="K25" s="319"/>
      <c r="L25" s="319"/>
      <c r="M25" s="319"/>
      <c r="N25" s="319"/>
      <c r="O25" s="319"/>
      <c r="P25" s="319"/>
      <c r="Q25" s="319"/>
      <c r="R25" s="319"/>
      <c r="S25" s="319"/>
      <c r="T25" s="319"/>
      <c r="U25" s="319"/>
      <c r="V25" s="319"/>
      <c r="W25" s="319"/>
      <c r="X25" s="319"/>
      <c r="Y25" s="319"/>
    </row>
    <row r="26" spans="1:25" x14ac:dyDescent="0.2">
      <c r="A26" s="260" t="s">
        <v>365</v>
      </c>
      <c r="B26" s="300">
        <v>6.1113606343990217</v>
      </c>
      <c r="C26" s="300">
        <v>1.5616797955541186</v>
      </c>
      <c r="D26" s="300">
        <v>0.29561062132106569</v>
      </c>
      <c r="E26" s="300">
        <f>SUM(B26:D26)</f>
        <v>7.9686510512742057</v>
      </c>
      <c r="F26" s="300"/>
      <c r="G26" s="300">
        <v>6.8655569638459921</v>
      </c>
      <c r="H26" s="300">
        <v>1.573791242598471</v>
      </c>
      <c r="I26" s="300">
        <v>0.31688444090160511</v>
      </c>
      <c r="J26" s="300">
        <f>SUM(G26:I26)</f>
        <v>8.756232647346069</v>
      </c>
      <c r="K26" s="300"/>
      <c r="L26" s="300">
        <v>6.2615357267391323</v>
      </c>
      <c r="M26" s="300">
        <v>1.8030755126687876</v>
      </c>
      <c r="N26" s="300">
        <v>0.10986633074144976</v>
      </c>
      <c r="O26" s="300">
        <f>SUM(L26:N26)</f>
        <v>8.1744775701493708</v>
      </c>
      <c r="P26" s="300"/>
      <c r="Q26" s="300">
        <v>6.6968429908780545</v>
      </c>
      <c r="R26" s="300">
        <v>1.8551089382485972</v>
      </c>
      <c r="S26" s="300">
        <v>0.11632034423429367</v>
      </c>
      <c r="T26" s="300">
        <f>SUM(Q26:S26)</f>
        <v>8.6682722733609463</v>
      </c>
      <c r="U26" s="300"/>
      <c r="V26" s="300">
        <v>7.1750392656246564</v>
      </c>
      <c r="W26" s="300">
        <v>1.847251293773907</v>
      </c>
      <c r="X26" s="300">
        <v>0.12152969037581289</v>
      </c>
      <c r="Y26" s="300">
        <f>SUM(V26:X26)</f>
        <v>9.1438202497743752</v>
      </c>
    </row>
    <row r="27" spans="1:25" x14ac:dyDescent="0.2">
      <c r="A27" s="260" t="s">
        <v>364</v>
      </c>
      <c r="B27" s="300">
        <v>13.470898220981759</v>
      </c>
      <c r="C27" s="300">
        <v>0.6250608795480922</v>
      </c>
      <c r="D27" s="300">
        <v>0.30338984819594306</v>
      </c>
      <c r="E27" s="300">
        <f t="shared" ref="E27:E28" si="29">SUM(B27:D27)</f>
        <v>14.399348948725795</v>
      </c>
      <c r="F27" s="300"/>
      <c r="G27" s="300">
        <v>14.067624760076257</v>
      </c>
      <c r="H27" s="300">
        <v>1.1309707916490817</v>
      </c>
      <c r="I27" s="300">
        <v>0.10917180092860672</v>
      </c>
      <c r="J27" s="300">
        <f t="shared" ref="J27:J28" si="30">SUM(G27:I27)</f>
        <v>15.307767352653945</v>
      </c>
      <c r="K27" s="300"/>
      <c r="L27" s="300">
        <v>14.449957869706902</v>
      </c>
      <c r="M27" s="300">
        <v>1.3395241094502148</v>
      </c>
      <c r="N27" s="300">
        <v>0.18804045069351985</v>
      </c>
      <c r="O27" s="300">
        <f t="shared" ref="O27:O28" si="31">SUM(L27:N27)</f>
        <v>15.977522429850637</v>
      </c>
      <c r="P27" s="300"/>
      <c r="Q27" s="300">
        <v>14.736985405294144</v>
      </c>
      <c r="R27" s="300">
        <v>1.3810032593253343</v>
      </c>
      <c r="S27" s="300">
        <v>0.19573906201956243</v>
      </c>
      <c r="T27" s="300">
        <f t="shared" ref="T27:T28" si="32">SUM(Q27:S27)</f>
        <v>16.313727726639041</v>
      </c>
      <c r="U27" s="300"/>
      <c r="V27" s="300">
        <v>14.460191795957325</v>
      </c>
      <c r="W27" s="300">
        <v>1.3854384703105462</v>
      </c>
      <c r="X27" s="300">
        <v>0.20254948395774092</v>
      </c>
      <c r="Y27" s="300">
        <f t="shared" ref="Y27:Y28" si="33">SUM(V27:X27)</f>
        <v>16.048179750225614</v>
      </c>
    </row>
    <row r="28" spans="1:25" x14ac:dyDescent="0.2">
      <c r="A28" s="264" t="s">
        <v>363</v>
      </c>
      <c r="B28" s="301">
        <f>SUM(B26:B27)</f>
        <v>19.582258855380779</v>
      </c>
      <c r="C28" s="301">
        <f t="shared" ref="C28" si="34">SUM(C26:C27)</f>
        <v>2.1867406751022109</v>
      </c>
      <c r="D28" s="301">
        <f t="shared" ref="D28" si="35">SUM(D26:D27)</f>
        <v>0.5990004695170088</v>
      </c>
      <c r="E28" s="301">
        <f t="shared" si="29"/>
        <v>22.367999999999999</v>
      </c>
      <c r="F28" s="301"/>
      <c r="G28" s="301">
        <f>SUM(G26:G27)</f>
        <v>20.93318172392225</v>
      </c>
      <c r="H28" s="301">
        <f t="shared" ref="H28" si="36">SUM(H26:H27)</f>
        <v>2.7047620342475529</v>
      </c>
      <c r="I28" s="301">
        <f t="shared" ref="I28" si="37">SUM(I26:I27)</f>
        <v>0.42605624183021185</v>
      </c>
      <c r="J28" s="301">
        <f t="shared" si="30"/>
        <v>24.064000000000014</v>
      </c>
      <c r="K28" s="301"/>
      <c r="L28" s="301">
        <f>SUM(L26:L27)</f>
        <v>20.711493596446033</v>
      </c>
      <c r="M28" s="301">
        <f t="shared" ref="M28" si="38">SUM(M26:M27)</f>
        <v>3.1425996221190022</v>
      </c>
      <c r="N28" s="301">
        <f t="shared" ref="N28" si="39">SUM(N26:N27)</f>
        <v>0.29790678143496963</v>
      </c>
      <c r="O28" s="301">
        <f t="shared" si="31"/>
        <v>24.152000000000005</v>
      </c>
      <c r="P28" s="301"/>
      <c r="Q28" s="301">
        <f>SUM(Q26:Q27)</f>
        <v>21.433828396172199</v>
      </c>
      <c r="R28" s="301">
        <f t="shared" ref="R28" si="40">SUM(R26:R27)</f>
        <v>3.2361121975739318</v>
      </c>
      <c r="S28" s="301">
        <f t="shared" ref="S28" si="41">SUM(S26:S27)</f>
        <v>0.31205940625385609</v>
      </c>
      <c r="T28" s="301">
        <f t="shared" si="32"/>
        <v>24.981999999999985</v>
      </c>
      <c r="U28" s="301"/>
      <c r="V28" s="301">
        <f>SUM(V26:V27)</f>
        <v>21.635231061581983</v>
      </c>
      <c r="W28" s="301">
        <f t="shared" ref="W28" si="42">SUM(W26:W27)</f>
        <v>3.2326897640844532</v>
      </c>
      <c r="X28" s="301">
        <f t="shared" ref="X28" si="43">SUM(X26:X27)</f>
        <v>0.32407917433355382</v>
      </c>
      <c r="Y28" s="301">
        <f t="shared" si="33"/>
        <v>25.191999999999993</v>
      </c>
    </row>
    <row r="32" spans="1:25" ht="15" x14ac:dyDescent="0.25">
      <c r="A32" s="265" t="str">
        <f>"Industry 4 : "&amp; name!B7</f>
        <v>Industry 4 : Engineering</v>
      </c>
      <c r="B32" s="374">
        <f>$B$5</f>
        <v>2015</v>
      </c>
      <c r="C32" s="374"/>
      <c r="D32" s="374"/>
      <c r="E32" s="374"/>
      <c r="F32" s="320"/>
      <c r="G32" s="374">
        <f>$G$5</f>
        <v>2019</v>
      </c>
      <c r="H32" s="374"/>
      <c r="I32" s="374"/>
      <c r="J32" s="374"/>
      <c r="K32" s="320"/>
      <c r="L32" s="374">
        <f>$L$5</f>
        <v>2020</v>
      </c>
      <c r="M32" s="374"/>
      <c r="N32" s="374"/>
      <c r="O32" s="374"/>
      <c r="P32" s="318"/>
      <c r="Q32" s="374">
        <f>$Q$5</f>
        <v>2025</v>
      </c>
      <c r="R32" s="374"/>
      <c r="S32" s="374"/>
      <c r="T32" s="374"/>
      <c r="U32" s="320"/>
      <c r="V32" s="374">
        <f>$V$5</f>
        <v>2035</v>
      </c>
      <c r="W32" s="374"/>
      <c r="X32" s="374"/>
      <c r="Y32" s="374"/>
    </row>
    <row r="33" spans="1:25" x14ac:dyDescent="0.2">
      <c r="A33" s="264"/>
      <c r="B33" s="268" t="str">
        <f>$B$6</f>
        <v>FT</v>
      </c>
      <c r="C33" s="268" t="str">
        <f>$C$6</f>
        <v>PT</v>
      </c>
      <c r="D33" s="268" t="str">
        <f>$D$6</f>
        <v>SE</v>
      </c>
      <c r="E33" s="268" t="str">
        <f>$E$6</f>
        <v>Total</v>
      </c>
      <c r="F33" s="268"/>
      <c r="G33" s="268" t="str">
        <f>$B$6</f>
        <v>FT</v>
      </c>
      <c r="H33" s="268" t="str">
        <f>$C$6</f>
        <v>PT</v>
      </c>
      <c r="I33" s="268" t="str">
        <f>$D$6</f>
        <v>SE</v>
      </c>
      <c r="J33" s="268" t="str">
        <f>$E$6</f>
        <v>Total</v>
      </c>
      <c r="K33" s="268"/>
      <c r="L33" s="268" t="str">
        <f>$L$6</f>
        <v>FT</v>
      </c>
      <c r="M33" s="268" t="str">
        <f>$M$6</f>
        <v>PT</v>
      </c>
      <c r="N33" s="268" t="str">
        <f>$N$6</f>
        <v>SE</v>
      </c>
      <c r="O33" s="268" t="str">
        <f>$O$6</f>
        <v>Total</v>
      </c>
      <c r="P33" s="268"/>
      <c r="Q33" s="268" t="str">
        <f>$L$6</f>
        <v>FT</v>
      </c>
      <c r="R33" s="268" t="str">
        <f>$M$6</f>
        <v>PT</v>
      </c>
      <c r="S33" s="268" t="str">
        <f>$N$6</f>
        <v>SE</v>
      </c>
      <c r="T33" s="268" t="str">
        <f>$O$6</f>
        <v>Total</v>
      </c>
      <c r="U33" s="268"/>
      <c r="V33" s="268" t="str">
        <f>$V$6</f>
        <v>FT</v>
      </c>
      <c r="W33" s="268" t="str">
        <f>$W$6</f>
        <v>PT</v>
      </c>
      <c r="X33" s="268" t="str">
        <f>$X$6</f>
        <v>SE</v>
      </c>
      <c r="Y33" s="268" t="str">
        <f>$Y$6</f>
        <v>Total</v>
      </c>
    </row>
    <row r="34" spans="1:25" x14ac:dyDescent="0.2">
      <c r="C34" s="319"/>
      <c r="D34" s="319"/>
      <c r="E34" s="319"/>
      <c r="F34" s="319"/>
      <c r="G34" s="319"/>
      <c r="H34" s="319"/>
      <c r="I34" s="319"/>
      <c r="J34" s="319"/>
      <c r="K34" s="319"/>
      <c r="L34" s="319"/>
      <c r="M34" s="319"/>
      <c r="N34" s="319"/>
      <c r="O34" s="319"/>
      <c r="P34" s="319"/>
      <c r="Q34" s="319"/>
      <c r="R34" s="319"/>
      <c r="S34" s="319"/>
      <c r="T34" s="319"/>
      <c r="U34" s="319"/>
      <c r="V34" s="319"/>
      <c r="W34" s="319"/>
      <c r="X34" s="319"/>
      <c r="Y34" s="319"/>
    </row>
    <row r="35" spans="1:25" x14ac:dyDescent="0.2">
      <c r="A35" s="260" t="s">
        <v>365</v>
      </c>
      <c r="B35" s="300">
        <v>1.1081760712064737</v>
      </c>
      <c r="C35" s="300">
        <v>0.35454344979650076</v>
      </c>
      <c r="D35" s="300">
        <v>4.0698591323758762E-2</v>
      </c>
      <c r="E35" s="300">
        <f>SUM(B35:D35)</f>
        <v>1.5034181123267332</v>
      </c>
      <c r="F35" s="300"/>
      <c r="G35" s="300">
        <v>0.737058079234018</v>
      </c>
      <c r="H35" s="300">
        <v>0.25551586499231738</v>
      </c>
      <c r="I35" s="300">
        <v>0.10069590738747733</v>
      </c>
      <c r="J35" s="300">
        <f>SUM(G35:I35)</f>
        <v>1.0932698516138126</v>
      </c>
      <c r="K35" s="300"/>
      <c r="L35" s="300">
        <v>0.72758932166485057</v>
      </c>
      <c r="M35" s="300">
        <v>0.267326320910933</v>
      </c>
      <c r="N35" s="300">
        <v>2.8399986113765905E-2</v>
      </c>
      <c r="O35" s="300">
        <f>SUM(L35:N35)</f>
        <v>1.0233156286895495</v>
      </c>
      <c r="P35" s="300"/>
      <c r="Q35" s="300">
        <v>0.70778673893725508</v>
      </c>
      <c r="R35" s="300">
        <v>0.26344465695821834</v>
      </c>
      <c r="S35" s="300">
        <v>2.881716431114683E-2</v>
      </c>
      <c r="T35" s="300">
        <f>SUM(Q35:S35)</f>
        <v>1.0000485602066203</v>
      </c>
      <c r="U35" s="300"/>
      <c r="V35" s="300">
        <v>0.61380078871939436</v>
      </c>
      <c r="W35" s="300">
        <v>0.23976593308714822</v>
      </c>
      <c r="X35" s="300">
        <v>2.7173472416279997E-2</v>
      </c>
      <c r="Y35" s="300">
        <f>SUM(V35:X35)</f>
        <v>0.88074019422282257</v>
      </c>
    </row>
    <row r="36" spans="1:25" x14ac:dyDescent="0.2">
      <c r="A36" s="260" t="s">
        <v>364</v>
      </c>
      <c r="B36" s="300">
        <v>5.6459677634845669</v>
      </c>
      <c r="C36" s="300">
        <v>0.21564178984835672</v>
      </c>
      <c r="D36" s="300">
        <v>0.20997233434034149</v>
      </c>
      <c r="E36" s="300">
        <f t="shared" ref="E36:E37" si="44">SUM(B36:D36)</f>
        <v>6.0715818876732657</v>
      </c>
      <c r="F36" s="300"/>
      <c r="G36" s="300">
        <v>3.9541125061188485</v>
      </c>
      <c r="H36" s="300">
        <v>0.17477932496380266</v>
      </c>
      <c r="I36" s="300">
        <v>0.29183831730352583</v>
      </c>
      <c r="J36" s="300">
        <f t="shared" ref="J36:J37" si="45">SUM(G36:I36)</f>
        <v>4.4207301483861769</v>
      </c>
      <c r="K36" s="300"/>
      <c r="L36" s="300">
        <v>3.8349142539738574</v>
      </c>
      <c r="M36" s="300">
        <v>0.27703728389918197</v>
      </c>
      <c r="N36" s="300">
        <v>0.14273283343740364</v>
      </c>
      <c r="O36" s="300">
        <f t="shared" ref="O36:O37" si="46">SUM(L36:N36)</f>
        <v>4.2546843713104439</v>
      </c>
      <c r="P36" s="300"/>
      <c r="Q36" s="300">
        <v>3.8245024970702519</v>
      </c>
      <c r="R36" s="300">
        <v>0.27738844614407038</v>
      </c>
      <c r="S36" s="300">
        <v>0.14706049657905737</v>
      </c>
      <c r="T36" s="300">
        <f t="shared" ref="T36:T37" si="47">SUM(Q36:S36)</f>
        <v>4.2489514397933803</v>
      </c>
      <c r="U36" s="300"/>
      <c r="V36" s="300">
        <v>3.4324491370800443</v>
      </c>
      <c r="W36" s="300">
        <v>0.25934681762107209</v>
      </c>
      <c r="X36" s="300">
        <v>0.13946385107605355</v>
      </c>
      <c r="Y36" s="300">
        <f t="shared" ref="Y36:Y37" si="48">SUM(V36:X36)</f>
        <v>3.8312598057771701</v>
      </c>
    </row>
    <row r="37" spans="1:25" x14ac:dyDescent="0.2">
      <c r="A37" s="264" t="s">
        <v>363</v>
      </c>
      <c r="B37" s="301">
        <f>SUM(B35:B36)</f>
        <v>6.7541438346910407</v>
      </c>
      <c r="C37" s="301">
        <f t="shared" ref="C37" si="49">SUM(C35:C36)</f>
        <v>0.57018523964485746</v>
      </c>
      <c r="D37" s="301">
        <f t="shared" ref="D37" si="50">SUM(D35:D36)</f>
        <v>0.25067092566410026</v>
      </c>
      <c r="E37" s="301">
        <f t="shared" si="44"/>
        <v>7.5749999999999984</v>
      </c>
      <c r="F37" s="301"/>
      <c r="G37" s="301">
        <f>SUM(G35:G36)</f>
        <v>4.6911705853528662</v>
      </c>
      <c r="H37" s="301">
        <f t="shared" ref="H37" si="51">SUM(H35:H36)</f>
        <v>0.43029518995612004</v>
      </c>
      <c r="I37" s="301">
        <f t="shared" ref="I37" si="52">SUM(I35:I36)</f>
        <v>0.39253422469100319</v>
      </c>
      <c r="J37" s="301">
        <f t="shared" si="45"/>
        <v>5.5139999999999896</v>
      </c>
      <c r="K37" s="301"/>
      <c r="L37" s="301">
        <f>SUM(L35:L36)</f>
        <v>4.5625035756387078</v>
      </c>
      <c r="M37" s="301">
        <f t="shared" ref="M37" si="53">SUM(M35:M36)</f>
        <v>0.54436360481011503</v>
      </c>
      <c r="N37" s="301">
        <f t="shared" ref="N37" si="54">SUM(N35:N36)</f>
        <v>0.17113281955116955</v>
      </c>
      <c r="O37" s="301">
        <f t="shared" si="46"/>
        <v>5.2779999999999925</v>
      </c>
      <c r="P37" s="301"/>
      <c r="Q37" s="301">
        <f>SUM(Q35:Q36)</f>
        <v>4.5322892360075073</v>
      </c>
      <c r="R37" s="301">
        <f t="shared" ref="R37" si="55">SUM(R35:R36)</f>
        <v>0.54083310310228871</v>
      </c>
      <c r="S37" s="301">
        <f t="shared" ref="S37" si="56">SUM(S35:S36)</f>
        <v>0.17587766089020421</v>
      </c>
      <c r="T37" s="301">
        <f t="shared" si="47"/>
        <v>5.2490000000000006</v>
      </c>
      <c r="U37" s="301"/>
      <c r="V37" s="301">
        <f>SUM(V35:V36)</f>
        <v>4.0462499257994384</v>
      </c>
      <c r="W37" s="301">
        <f t="shared" ref="W37" si="57">SUM(W35:W36)</f>
        <v>0.49911275070822031</v>
      </c>
      <c r="X37" s="301">
        <f t="shared" ref="X37" si="58">SUM(X35:X36)</f>
        <v>0.16663732349233354</v>
      </c>
      <c r="Y37" s="301">
        <f t="shared" si="48"/>
        <v>4.7119999999999926</v>
      </c>
    </row>
    <row r="38" spans="1:25" x14ac:dyDescent="0.2">
      <c r="C38" s="263"/>
    </row>
    <row r="39" spans="1:25" x14ac:dyDescent="0.2">
      <c r="C39" s="263"/>
    </row>
    <row r="40" spans="1:25" x14ac:dyDescent="0.2">
      <c r="A40" s="261"/>
    </row>
    <row r="41" spans="1:25" ht="15" x14ac:dyDescent="0.25">
      <c r="A41" s="265" t="str">
        <f>"Industry 5 : "&amp; name!B8</f>
        <v>Industry 5 : Rest of manufacturing</v>
      </c>
      <c r="B41" s="374">
        <f>$B$5</f>
        <v>2015</v>
      </c>
      <c r="C41" s="374"/>
      <c r="D41" s="374"/>
      <c r="E41" s="374"/>
      <c r="F41" s="320"/>
      <c r="G41" s="374">
        <f>$G$5</f>
        <v>2019</v>
      </c>
      <c r="H41" s="374"/>
      <c r="I41" s="374"/>
      <c r="J41" s="374"/>
      <c r="K41" s="320"/>
      <c r="L41" s="374">
        <f>$L$5</f>
        <v>2020</v>
      </c>
      <c r="M41" s="374"/>
      <c r="N41" s="374"/>
      <c r="O41" s="374"/>
      <c r="P41" s="318"/>
      <c r="Q41" s="374">
        <f>$Q$5</f>
        <v>2025</v>
      </c>
      <c r="R41" s="374"/>
      <c r="S41" s="374"/>
      <c r="T41" s="374"/>
      <c r="U41" s="320"/>
      <c r="V41" s="374">
        <f>$V$5</f>
        <v>2035</v>
      </c>
      <c r="W41" s="374"/>
      <c r="X41" s="374"/>
      <c r="Y41" s="374"/>
    </row>
    <row r="42" spans="1:25" x14ac:dyDescent="0.2">
      <c r="A42" s="264"/>
      <c r="B42" s="268" t="str">
        <f>$B$6</f>
        <v>FT</v>
      </c>
      <c r="C42" s="268" t="str">
        <f>$C$6</f>
        <v>PT</v>
      </c>
      <c r="D42" s="268" t="str">
        <f>$D$6</f>
        <v>SE</v>
      </c>
      <c r="E42" s="268" t="str">
        <f>$E$6</f>
        <v>Total</v>
      </c>
      <c r="F42" s="268"/>
      <c r="G42" s="268" t="str">
        <f>$B$6</f>
        <v>FT</v>
      </c>
      <c r="H42" s="268" t="str">
        <f>$C$6</f>
        <v>PT</v>
      </c>
      <c r="I42" s="268" t="str">
        <f>$D$6</f>
        <v>SE</v>
      </c>
      <c r="J42" s="268" t="str">
        <f>$E$6</f>
        <v>Total</v>
      </c>
      <c r="K42" s="268"/>
      <c r="L42" s="268" t="str">
        <f>$L$6</f>
        <v>FT</v>
      </c>
      <c r="M42" s="268" t="str">
        <f>$M$6</f>
        <v>PT</v>
      </c>
      <c r="N42" s="268" t="str">
        <f>$N$6</f>
        <v>SE</v>
      </c>
      <c r="O42" s="268" t="str">
        <f>$O$6</f>
        <v>Total</v>
      </c>
      <c r="P42" s="268"/>
      <c r="Q42" s="268" t="str">
        <f>$L$6</f>
        <v>FT</v>
      </c>
      <c r="R42" s="268" t="str">
        <f>$M$6</f>
        <v>PT</v>
      </c>
      <c r="S42" s="268" t="str">
        <f>$N$6</f>
        <v>SE</v>
      </c>
      <c r="T42" s="268" t="str">
        <f>$O$6</f>
        <v>Total</v>
      </c>
      <c r="U42" s="268"/>
      <c r="V42" s="268" t="str">
        <f>$V$6</f>
        <v>FT</v>
      </c>
      <c r="W42" s="268" t="str">
        <f>$W$6</f>
        <v>PT</v>
      </c>
      <c r="X42" s="268" t="str">
        <f>$X$6</f>
        <v>SE</v>
      </c>
      <c r="Y42" s="268" t="str">
        <f>$Y$6</f>
        <v>Total</v>
      </c>
    </row>
    <row r="43" spans="1:25" x14ac:dyDescent="0.2">
      <c r="C43" s="319"/>
      <c r="D43" s="319"/>
      <c r="E43" s="319"/>
      <c r="F43" s="319"/>
      <c r="G43" s="319"/>
      <c r="H43" s="319"/>
      <c r="I43" s="319"/>
      <c r="J43" s="319"/>
      <c r="K43" s="319"/>
      <c r="L43" s="319"/>
      <c r="M43" s="319"/>
      <c r="N43" s="319"/>
      <c r="O43" s="319"/>
      <c r="P43" s="319"/>
      <c r="Q43" s="319"/>
      <c r="R43" s="319"/>
      <c r="S43" s="319"/>
      <c r="T43" s="319"/>
      <c r="U43" s="319"/>
      <c r="V43" s="319"/>
      <c r="W43" s="319"/>
      <c r="X43" s="319"/>
      <c r="Y43" s="319"/>
    </row>
    <row r="44" spans="1:25" x14ac:dyDescent="0.2">
      <c r="A44" s="260" t="s">
        <v>365</v>
      </c>
      <c r="B44" s="300">
        <v>5.8186204328776236</v>
      </c>
      <c r="C44" s="300">
        <v>2.254697009121533</v>
      </c>
      <c r="D44" s="300">
        <v>0.71446776549728053</v>
      </c>
      <c r="E44" s="300">
        <f>SUM(B44:D44)</f>
        <v>8.7877852074964373</v>
      </c>
      <c r="F44" s="300"/>
      <c r="G44" s="300">
        <v>6.2118361312849126</v>
      </c>
      <c r="H44" s="300">
        <v>2.0312252244421822</v>
      </c>
      <c r="I44" s="300">
        <v>1.0800726634309645</v>
      </c>
      <c r="J44" s="300">
        <f>SUM(G44:I44)</f>
        <v>9.3231340191580596</v>
      </c>
      <c r="K44" s="300"/>
      <c r="L44" s="300">
        <v>5.8491699397162016</v>
      </c>
      <c r="M44" s="300">
        <v>2.1833076024131648</v>
      </c>
      <c r="N44" s="300">
        <v>0.44677258387799684</v>
      </c>
      <c r="O44" s="300">
        <f>SUM(L44:N44)</f>
        <v>8.4792501260073649</v>
      </c>
      <c r="P44" s="300"/>
      <c r="Q44" s="300">
        <v>5.4289928001214571</v>
      </c>
      <c r="R44" s="300">
        <v>1.9980426266935978</v>
      </c>
      <c r="S44" s="300">
        <v>0.39384589618614529</v>
      </c>
      <c r="T44" s="300">
        <f>SUM(Q44:S44)</f>
        <v>7.8208813230012</v>
      </c>
      <c r="U44" s="300"/>
      <c r="V44" s="300">
        <v>5.0006128472358888</v>
      </c>
      <c r="W44" s="300">
        <v>1.7897299104944684</v>
      </c>
      <c r="X44" s="300">
        <v>0.33430877461734065</v>
      </c>
      <c r="Y44" s="300">
        <f>SUM(V44:X44)</f>
        <v>7.1246515323476984</v>
      </c>
    </row>
    <row r="45" spans="1:25" x14ac:dyDescent="0.2">
      <c r="A45" s="260" t="s">
        <v>364</v>
      </c>
      <c r="B45" s="300">
        <v>27.165974740335642</v>
      </c>
      <c r="C45" s="300">
        <v>0.86783849606646279</v>
      </c>
      <c r="D45" s="300">
        <v>2.2244015561015908</v>
      </c>
      <c r="E45" s="300">
        <f t="shared" ref="E45:E46" si="59">SUM(B45:D45)</f>
        <v>30.258214792503694</v>
      </c>
      <c r="F45" s="300"/>
      <c r="G45" s="300">
        <v>26.205016013193578</v>
      </c>
      <c r="H45" s="300">
        <v>1.1166554542247566</v>
      </c>
      <c r="I45" s="300">
        <v>1.7281945134235341</v>
      </c>
      <c r="J45" s="300">
        <f t="shared" ref="J45:J46" si="60">SUM(G45:I45)</f>
        <v>29.049865980841869</v>
      </c>
      <c r="K45" s="300"/>
      <c r="L45" s="300">
        <v>25.897563023919222</v>
      </c>
      <c r="M45" s="300">
        <v>1.9180928040325487</v>
      </c>
      <c r="N45" s="300">
        <v>2.3090940460408911</v>
      </c>
      <c r="O45" s="300">
        <f t="shared" ref="O45:O46" si="61">SUM(L45:N45)</f>
        <v>30.124749873992663</v>
      </c>
      <c r="P45" s="300"/>
      <c r="Q45" s="300">
        <v>24.017446058622458</v>
      </c>
      <c r="R45" s="300">
        <v>1.7520379751126329</v>
      </c>
      <c r="S45" s="300">
        <v>2.1226346432636483</v>
      </c>
      <c r="T45" s="300">
        <f t="shared" ref="T45:T46" si="62">SUM(Q45:S45)</f>
        <v>27.892118676998738</v>
      </c>
      <c r="U45" s="300"/>
      <c r="V45" s="300">
        <v>21.61422077485804</v>
      </c>
      <c r="W45" s="300">
        <v>1.5535525408820872</v>
      </c>
      <c r="X45" s="300">
        <v>1.9645751519121228</v>
      </c>
      <c r="Y45" s="300">
        <f t="shared" ref="Y45:Y46" si="63">SUM(V45:X45)</f>
        <v>25.13234846765225</v>
      </c>
    </row>
    <row r="46" spans="1:25" x14ac:dyDescent="0.2">
      <c r="A46" s="264" t="s">
        <v>363</v>
      </c>
      <c r="B46" s="301">
        <f>SUM(B44:B45)</f>
        <v>32.984595173213265</v>
      </c>
      <c r="C46" s="301">
        <f t="shared" ref="C46" si="64">SUM(C44:C45)</f>
        <v>3.1225355051879959</v>
      </c>
      <c r="D46" s="301">
        <f t="shared" ref="D46" si="65">SUM(D44:D45)</f>
        <v>2.9388693215988715</v>
      </c>
      <c r="E46" s="301">
        <f t="shared" si="59"/>
        <v>39.046000000000134</v>
      </c>
      <c r="F46" s="301"/>
      <c r="G46" s="301">
        <f>SUM(G44:G45)</f>
        <v>32.41685214447849</v>
      </c>
      <c r="H46" s="301">
        <f t="shared" ref="H46" si="66">SUM(H44:H45)</f>
        <v>3.1478806786669389</v>
      </c>
      <c r="I46" s="301">
        <f t="shared" ref="I46" si="67">SUM(I44:I45)</f>
        <v>2.8082671768544989</v>
      </c>
      <c r="J46" s="301">
        <f t="shared" si="60"/>
        <v>38.372999999999927</v>
      </c>
      <c r="K46" s="301"/>
      <c r="L46" s="301">
        <f>SUM(L44:L45)</f>
        <v>31.746732963635424</v>
      </c>
      <c r="M46" s="301">
        <f t="shared" ref="M46" si="68">SUM(M44:M45)</f>
        <v>4.1014004064457135</v>
      </c>
      <c r="N46" s="301">
        <f t="shared" ref="N46" si="69">SUM(N44:N45)</f>
        <v>2.7558666299188879</v>
      </c>
      <c r="O46" s="301">
        <f t="shared" si="61"/>
        <v>38.604000000000028</v>
      </c>
      <c r="P46" s="301"/>
      <c r="Q46" s="301">
        <f>SUM(Q44:Q45)</f>
        <v>29.446438858743914</v>
      </c>
      <c r="R46" s="301">
        <f t="shared" ref="R46" si="70">SUM(R44:R45)</f>
        <v>3.7500806018062307</v>
      </c>
      <c r="S46" s="301">
        <f t="shared" ref="S46" si="71">SUM(S44:S45)</f>
        <v>2.5164805394497938</v>
      </c>
      <c r="T46" s="301">
        <f t="shared" si="62"/>
        <v>35.712999999999937</v>
      </c>
      <c r="U46" s="301"/>
      <c r="V46" s="301">
        <f>SUM(V44:V45)</f>
        <v>26.614833622093929</v>
      </c>
      <c r="W46" s="301">
        <f t="shared" ref="W46" si="72">SUM(W44:W45)</f>
        <v>3.3432824513765556</v>
      </c>
      <c r="X46" s="301">
        <f t="shared" ref="X46" si="73">SUM(X44:X45)</f>
        <v>2.2988839265294634</v>
      </c>
      <c r="Y46" s="301">
        <f t="shared" si="63"/>
        <v>32.256999999999948</v>
      </c>
    </row>
    <row r="47" spans="1:25" x14ac:dyDescent="0.2">
      <c r="C47" s="263"/>
    </row>
    <row r="48" spans="1:25" x14ac:dyDescent="0.2">
      <c r="C48" s="263"/>
    </row>
    <row r="49" spans="1:25" x14ac:dyDescent="0.2">
      <c r="C49" s="263"/>
    </row>
    <row r="50" spans="1:25" ht="15" x14ac:dyDescent="0.25">
      <c r="A50" s="265" t="str">
        <f>"Industry 6 : "&amp; name!B9</f>
        <v>Industry 6 : Electricity and gas</v>
      </c>
      <c r="B50" s="374">
        <f>$B$5</f>
        <v>2015</v>
      </c>
      <c r="C50" s="374"/>
      <c r="D50" s="374"/>
      <c r="E50" s="374"/>
      <c r="F50" s="320"/>
      <c r="G50" s="374">
        <f>$G$5</f>
        <v>2019</v>
      </c>
      <c r="H50" s="374"/>
      <c r="I50" s="374"/>
      <c r="J50" s="374"/>
      <c r="K50" s="320"/>
      <c r="L50" s="374">
        <f>$L$5</f>
        <v>2020</v>
      </c>
      <c r="M50" s="374"/>
      <c r="N50" s="374"/>
      <c r="O50" s="374"/>
      <c r="P50" s="318"/>
      <c r="Q50" s="374">
        <f>$Q$5</f>
        <v>2025</v>
      </c>
      <c r="R50" s="374"/>
      <c r="S50" s="374"/>
      <c r="T50" s="374"/>
      <c r="U50" s="320"/>
      <c r="V50" s="374">
        <f>$V$5</f>
        <v>2035</v>
      </c>
      <c r="W50" s="374"/>
      <c r="X50" s="374"/>
      <c r="Y50" s="374"/>
    </row>
    <row r="51" spans="1:25" x14ac:dyDescent="0.2">
      <c r="A51" s="264"/>
      <c r="B51" s="268" t="str">
        <f>$B$6</f>
        <v>FT</v>
      </c>
      <c r="C51" s="268" t="str">
        <f>$C$6</f>
        <v>PT</v>
      </c>
      <c r="D51" s="268" t="str">
        <f>$D$6</f>
        <v>SE</v>
      </c>
      <c r="E51" s="268" t="str">
        <f>$E$6</f>
        <v>Total</v>
      </c>
      <c r="F51" s="268"/>
      <c r="G51" s="268" t="str">
        <f>$B$6</f>
        <v>FT</v>
      </c>
      <c r="H51" s="268" t="str">
        <f>$C$6</f>
        <v>PT</v>
      </c>
      <c r="I51" s="268" t="str">
        <f>$D$6</f>
        <v>SE</v>
      </c>
      <c r="J51" s="268" t="str">
        <f>$E$6</f>
        <v>Total</v>
      </c>
      <c r="K51" s="268"/>
      <c r="L51" s="268" t="str">
        <f>$L$6</f>
        <v>FT</v>
      </c>
      <c r="M51" s="268" t="str">
        <f>$M$6</f>
        <v>PT</v>
      </c>
      <c r="N51" s="268" t="str">
        <f>$N$6</f>
        <v>SE</v>
      </c>
      <c r="O51" s="268" t="str">
        <f>$O$6</f>
        <v>Total</v>
      </c>
      <c r="P51" s="268"/>
      <c r="Q51" s="268" t="str">
        <f>$L$6</f>
        <v>FT</v>
      </c>
      <c r="R51" s="268" t="str">
        <f>$M$6</f>
        <v>PT</v>
      </c>
      <c r="S51" s="268" t="str">
        <f>$N$6</f>
        <v>SE</v>
      </c>
      <c r="T51" s="268" t="str">
        <f>$O$6</f>
        <v>Total</v>
      </c>
      <c r="U51" s="268"/>
      <c r="V51" s="268" t="str">
        <f>$V$6</f>
        <v>FT</v>
      </c>
      <c r="W51" s="268" t="str">
        <f>$W$6</f>
        <v>PT</v>
      </c>
      <c r="X51" s="268" t="str">
        <f>$X$6</f>
        <v>SE</v>
      </c>
      <c r="Y51" s="268" t="str">
        <f>$Y$6</f>
        <v>Total</v>
      </c>
    </row>
    <row r="52" spans="1:25" x14ac:dyDescent="0.2">
      <c r="C52" s="319"/>
      <c r="D52" s="319"/>
      <c r="E52" s="319"/>
      <c r="F52" s="319"/>
      <c r="G52" s="319"/>
      <c r="H52" s="319"/>
      <c r="I52" s="319"/>
      <c r="J52" s="319"/>
      <c r="K52" s="319"/>
      <c r="L52" s="319"/>
      <c r="M52" s="319"/>
      <c r="N52" s="319"/>
      <c r="O52" s="319"/>
      <c r="P52" s="319"/>
      <c r="Q52" s="319"/>
      <c r="R52" s="319"/>
      <c r="S52" s="319"/>
      <c r="T52" s="319"/>
      <c r="U52" s="319"/>
      <c r="V52" s="319"/>
      <c r="W52" s="319"/>
      <c r="X52" s="319"/>
      <c r="Y52" s="319"/>
    </row>
    <row r="53" spans="1:25" x14ac:dyDescent="0.2">
      <c r="A53" s="260" t="s">
        <v>365</v>
      </c>
      <c r="B53" s="300">
        <v>0.28758669959303179</v>
      </c>
      <c r="C53" s="300">
        <v>8.6253131065104016E-2</v>
      </c>
      <c r="D53" s="300">
        <v>7.6262715352631781E-5</v>
      </c>
      <c r="E53" s="300">
        <f>SUM(B53:D53)</f>
        <v>0.37391609337348841</v>
      </c>
      <c r="F53" s="300"/>
      <c r="G53" s="300">
        <v>0.3203475091106347</v>
      </c>
      <c r="H53" s="300">
        <v>9.0489914946220606E-2</v>
      </c>
      <c r="I53" s="300">
        <v>8.2563791010229542E-5</v>
      </c>
      <c r="J53" s="300">
        <f>SUM(G53:I53)</f>
        <v>0.41091998784786554</v>
      </c>
      <c r="K53" s="300"/>
      <c r="L53" s="300">
        <v>0.33953340448466923</v>
      </c>
      <c r="M53" s="300">
        <v>7.9581074353019976E-2</v>
      </c>
      <c r="N53" s="300">
        <v>0</v>
      </c>
      <c r="O53" s="300">
        <f>SUM(L53:N53)</f>
        <v>0.41911447883768921</v>
      </c>
      <c r="P53" s="300"/>
      <c r="Q53" s="300">
        <v>0.33156253164729566</v>
      </c>
      <c r="R53" s="300">
        <v>7.7038987342170601E-2</v>
      </c>
      <c r="S53" s="300">
        <v>0</v>
      </c>
      <c r="T53" s="300">
        <f>SUM(Q53:S53)</f>
        <v>0.40860151898946628</v>
      </c>
      <c r="U53" s="300"/>
      <c r="V53" s="300">
        <v>0.33688093717110285</v>
      </c>
      <c r="W53" s="300">
        <v>7.6759957402840542E-2</v>
      </c>
      <c r="X53" s="300">
        <v>0</v>
      </c>
      <c r="Y53" s="300">
        <f>SUM(V53:X53)</f>
        <v>0.41364089457394337</v>
      </c>
    </row>
    <row r="54" spans="1:25" x14ac:dyDescent="0.2">
      <c r="A54" s="260" t="s">
        <v>364</v>
      </c>
      <c r="B54" s="300">
        <v>0.82035802904631849</v>
      </c>
      <c r="C54" s="300">
        <v>5.193490915505062E-2</v>
      </c>
      <c r="D54" s="300">
        <v>5.0790968425143558E-2</v>
      </c>
      <c r="E54" s="300">
        <f t="shared" ref="E54:E55" si="74">SUM(B54:D54)</f>
        <v>0.92308390662651263</v>
      </c>
      <c r="F54" s="300"/>
      <c r="G54" s="300">
        <v>0.86411263669576033</v>
      </c>
      <c r="H54" s="300">
        <v>2.5677339003893882E-2</v>
      </c>
      <c r="I54" s="300">
        <v>5.829003645248157E-2</v>
      </c>
      <c r="J54" s="300">
        <f t="shared" ref="J54:J55" si="75">SUM(G54:I54)</f>
        <v>0.94808001215213578</v>
      </c>
      <c r="K54" s="300"/>
      <c r="L54" s="300">
        <v>0.88749790109822468</v>
      </c>
      <c r="M54" s="300">
        <v>1.2387620064087529E-2</v>
      </c>
      <c r="N54" s="300">
        <v>0</v>
      </c>
      <c r="O54" s="300">
        <f t="shared" ref="O54:O55" si="76">SUM(L54:N54)</f>
        <v>0.89988552116231224</v>
      </c>
      <c r="P54" s="300"/>
      <c r="Q54" s="300">
        <v>0.85323443037753866</v>
      </c>
      <c r="R54" s="300">
        <v>1.216405063299481E-2</v>
      </c>
      <c r="S54" s="300">
        <v>0</v>
      </c>
      <c r="T54" s="300">
        <f t="shared" ref="T54:T55" si="77">SUM(Q54:S54)</f>
        <v>0.86539848101053352</v>
      </c>
      <c r="U54" s="300"/>
      <c r="V54" s="300">
        <v>0.83986538870606198</v>
      </c>
      <c r="W54" s="300">
        <v>1.2493716719993718E-2</v>
      </c>
      <c r="X54" s="300">
        <v>0</v>
      </c>
      <c r="Y54" s="300">
        <f t="shared" ref="Y54:Y55" si="78">SUM(V54:X54)</f>
        <v>0.85235910542605564</v>
      </c>
    </row>
    <row r="55" spans="1:25" x14ac:dyDescent="0.2">
      <c r="A55" s="264" t="s">
        <v>363</v>
      </c>
      <c r="B55" s="301">
        <f>SUM(B53:B54)</f>
        <v>1.1079447286393502</v>
      </c>
      <c r="C55" s="301">
        <f t="shared" ref="C55" si="79">SUM(C53:C54)</f>
        <v>0.13818804022015463</v>
      </c>
      <c r="D55" s="301">
        <f t="shared" ref="D55" si="80">SUM(D53:D54)</f>
        <v>5.086723114049619E-2</v>
      </c>
      <c r="E55" s="301">
        <f t="shared" si="74"/>
        <v>1.297000000000001</v>
      </c>
      <c r="F55" s="301"/>
      <c r="G55" s="301">
        <f>SUM(G53:G54)</f>
        <v>1.184460145806395</v>
      </c>
      <c r="H55" s="301">
        <f t="shared" ref="H55" si="81">SUM(H53:H54)</f>
        <v>0.11616725395011449</v>
      </c>
      <c r="I55" s="301">
        <f t="shared" ref="I55" si="82">SUM(I53:I54)</f>
        <v>5.83726002434918E-2</v>
      </c>
      <c r="J55" s="301">
        <f t="shared" si="75"/>
        <v>1.3590000000000013</v>
      </c>
      <c r="K55" s="301"/>
      <c r="L55" s="301">
        <f>SUM(L53:L54)</f>
        <v>1.2270313055828939</v>
      </c>
      <c r="M55" s="301">
        <f t="shared" ref="M55" si="83">SUM(M53:M54)</f>
        <v>9.1968694417107505E-2</v>
      </c>
      <c r="N55" s="301">
        <f t="shared" ref="N55" si="84">SUM(N53:N54)</f>
        <v>0</v>
      </c>
      <c r="O55" s="301">
        <f t="shared" si="76"/>
        <v>1.3190000000000013</v>
      </c>
      <c r="P55" s="301"/>
      <c r="Q55" s="301">
        <f>SUM(Q53:Q54)</f>
        <v>1.1847969620248344</v>
      </c>
      <c r="R55" s="301">
        <f t="shared" ref="R55" si="85">SUM(R53:R54)</f>
        <v>8.9203037975165406E-2</v>
      </c>
      <c r="S55" s="301">
        <f t="shared" ref="S55" si="86">SUM(S53:S54)</f>
        <v>0</v>
      </c>
      <c r="T55" s="301">
        <f t="shared" si="77"/>
        <v>1.2739999999999998</v>
      </c>
      <c r="U55" s="301"/>
      <c r="V55" s="301">
        <f>SUM(V53:V54)</f>
        <v>1.1767463258771649</v>
      </c>
      <c r="W55" s="301">
        <f t="shared" ref="W55" si="87">SUM(W53:W54)</f>
        <v>8.9253674122834262E-2</v>
      </c>
      <c r="X55" s="301">
        <f t="shared" ref="X55" si="88">SUM(X53:X54)</f>
        <v>0</v>
      </c>
      <c r="Y55" s="301">
        <f t="shared" si="78"/>
        <v>1.2659999999999991</v>
      </c>
    </row>
    <row r="56" spans="1:25" x14ac:dyDescent="0.2">
      <c r="C56" s="263"/>
    </row>
    <row r="57" spans="1:25" x14ac:dyDescent="0.2">
      <c r="C57" s="263"/>
    </row>
    <row r="58" spans="1:25" x14ac:dyDescent="0.2">
      <c r="C58" s="263"/>
    </row>
    <row r="59" spans="1:25" ht="15" x14ac:dyDescent="0.25">
      <c r="A59" s="265" t="str">
        <f>"Industry 7 : "&amp; name!B10</f>
        <v>Industry 7 : Water and sewerage</v>
      </c>
      <c r="B59" s="374">
        <f>$B$5</f>
        <v>2015</v>
      </c>
      <c r="C59" s="374"/>
      <c r="D59" s="374"/>
      <c r="E59" s="374"/>
      <c r="F59" s="320"/>
      <c r="G59" s="374">
        <f>$G$5</f>
        <v>2019</v>
      </c>
      <c r="H59" s="374"/>
      <c r="I59" s="374"/>
      <c r="J59" s="374"/>
      <c r="K59" s="320"/>
      <c r="L59" s="374">
        <f>$L$5</f>
        <v>2020</v>
      </c>
      <c r="M59" s="374"/>
      <c r="N59" s="374"/>
      <c r="O59" s="374"/>
      <c r="P59" s="318"/>
      <c r="Q59" s="374">
        <f>$Q$5</f>
        <v>2025</v>
      </c>
      <c r="R59" s="374"/>
      <c r="S59" s="374"/>
      <c r="T59" s="374"/>
      <c r="U59" s="320"/>
      <c r="V59" s="374">
        <f>$V$5</f>
        <v>2035</v>
      </c>
      <c r="W59" s="374"/>
      <c r="X59" s="374"/>
      <c r="Y59" s="374"/>
    </row>
    <row r="60" spans="1:25" x14ac:dyDescent="0.2">
      <c r="A60" s="264"/>
      <c r="B60" s="268" t="str">
        <f>$B$6</f>
        <v>FT</v>
      </c>
      <c r="C60" s="268" t="str">
        <f>$C$6</f>
        <v>PT</v>
      </c>
      <c r="D60" s="268" t="str">
        <f>$D$6</f>
        <v>SE</v>
      </c>
      <c r="E60" s="268" t="str">
        <f>$E$6</f>
        <v>Total</v>
      </c>
      <c r="F60" s="268"/>
      <c r="G60" s="268" t="str">
        <f>$B$6</f>
        <v>FT</v>
      </c>
      <c r="H60" s="268" t="str">
        <f>$C$6</f>
        <v>PT</v>
      </c>
      <c r="I60" s="268" t="str">
        <f>$D$6</f>
        <v>SE</v>
      </c>
      <c r="J60" s="268" t="str">
        <f>$E$6</f>
        <v>Total</v>
      </c>
      <c r="K60" s="268"/>
      <c r="L60" s="268" t="str">
        <f>$L$6</f>
        <v>FT</v>
      </c>
      <c r="M60" s="268" t="str">
        <f>$M$6</f>
        <v>PT</v>
      </c>
      <c r="N60" s="268" t="str">
        <f>$N$6</f>
        <v>SE</v>
      </c>
      <c r="O60" s="268" t="str">
        <f>$O$6</f>
        <v>Total</v>
      </c>
      <c r="P60" s="268"/>
      <c r="Q60" s="268" t="str">
        <f>$L$6</f>
        <v>FT</v>
      </c>
      <c r="R60" s="268" t="str">
        <f>$M$6</f>
        <v>PT</v>
      </c>
      <c r="S60" s="268" t="str">
        <f>$N$6</f>
        <v>SE</v>
      </c>
      <c r="T60" s="268" t="str">
        <f>$O$6</f>
        <v>Total</v>
      </c>
      <c r="U60" s="268"/>
      <c r="V60" s="268" t="str">
        <f>$V$6</f>
        <v>FT</v>
      </c>
      <c r="W60" s="268" t="str">
        <f>$W$6</f>
        <v>PT</v>
      </c>
      <c r="X60" s="268" t="str">
        <f>$X$6</f>
        <v>SE</v>
      </c>
      <c r="Y60" s="268" t="str">
        <f>$Y$6</f>
        <v>Total</v>
      </c>
    </row>
    <row r="61" spans="1:25" x14ac:dyDescent="0.2">
      <c r="C61" s="319"/>
      <c r="D61" s="319"/>
      <c r="E61" s="319"/>
      <c r="F61" s="319"/>
      <c r="G61" s="319"/>
      <c r="H61" s="319"/>
      <c r="I61" s="319"/>
      <c r="J61" s="319"/>
      <c r="K61" s="319"/>
      <c r="L61" s="319"/>
      <c r="M61" s="319"/>
      <c r="N61" s="319"/>
      <c r="O61" s="319"/>
      <c r="P61" s="319"/>
      <c r="Q61" s="319"/>
      <c r="R61" s="319"/>
      <c r="S61" s="319"/>
      <c r="T61" s="319"/>
      <c r="U61" s="319"/>
      <c r="V61" s="319"/>
      <c r="W61" s="319"/>
      <c r="X61" s="319"/>
      <c r="Y61" s="319"/>
    </row>
    <row r="62" spans="1:25" x14ac:dyDescent="0.2">
      <c r="A62" s="260" t="s">
        <v>365</v>
      </c>
      <c r="B62" s="300">
        <v>0.79531793002560736</v>
      </c>
      <c r="C62" s="300">
        <v>0.32698950437914837</v>
      </c>
      <c r="D62" s="300">
        <v>0</v>
      </c>
      <c r="E62" s="300">
        <f>SUM(B62:D62)</f>
        <v>1.1223074344047557</v>
      </c>
      <c r="F62" s="300"/>
      <c r="G62" s="300">
        <v>0.88931544865441725</v>
      </c>
      <c r="H62" s="300">
        <v>0.30463856217917118</v>
      </c>
      <c r="I62" s="300">
        <v>0</v>
      </c>
      <c r="J62" s="300">
        <f>SUM(G62:I62)</f>
        <v>1.1939540108335884</v>
      </c>
      <c r="K62" s="300"/>
      <c r="L62" s="300">
        <v>0.84582214052416105</v>
      </c>
      <c r="M62" s="300">
        <v>0.2442734341884284</v>
      </c>
      <c r="N62" s="300">
        <v>2.706630849668739E-2</v>
      </c>
      <c r="O62" s="300">
        <f>SUM(L62:N62)</f>
        <v>1.1171618832092767</v>
      </c>
      <c r="P62" s="300"/>
      <c r="Q62" s="300">
        <v>0.9150443490806639</v>
      </c>
      <c r="R62" s="300">
        <v>0.25769664146101501</v>
      </c>
      <c r="S62" s="300">
        <v>2.7914299339164336E-2</v>
      </c>
      <c r="T62" s="300">
        <f>SUM(Q62:S62)</f>
        <v>1.2006552898808434</v>
      </c>
      <c r="U62" s="300"/>
      <c r="V62" s="300">
        <v>1.0408147093189177</v>
      </c>
      <c r="W62" s="300">
        <v>0.27848918814076168</v>
      </c>
      <c r="X62" s="300">
        <v>2.8844749449705536E-2</v>
      </c>
      <c r="Y62" s="300">
        <f>SUM(V62:X62)</f>
        <v>1.3481486469093849</v>
      </c>
    </row>
    <row r="63" spans="1:25" x14ac:dyDescent="0.2">
      <c r="A63" s="260" t="s">
        <v>364</v>
      </c>
      <c r="B63" s="300">
        <v>3.7932310495597878</v>
      </c>
      <c r="C63" s="300">
        <v>0.11001516035069014</v>
      </c>
      <c r="D63" s="300">
        <v>0.21544635568476853</v>
      </c>
      <c r="E63" s="300">
        <f t="shared" ref="E63:E64" si="89">SUM(B63:D63)</f>
        <v>4.1186925655952464</v>
      </c>
      <c r="F63" s="300"/>
      <c r="G63" s="300">
        <v>3.8143848288646689</v>
      </c>
      <c r="H63" s="300">
        <v>9.1661160301738737E-2</v>
      </c>
      <c r="I63" s="300">
        <v>0</v>
      </c>
      <c r="J63" s="300">
        <f t="shared" ref="J63:J64" si="90">SUM(G63:I63)</f>
        <v>3.9060459891664077</v>
      </c>
      <c r="K63" s="300"/>
      <c r="L63" s="300">
        <v>3.5805342853188384</v>
      </c>
      <c r="M63" s="300">
        <v>8.8303831471889194E-2</v>
      </c>
      <c r="N63" s="300">
        <v>0</v>
      </c>
      <c r="O63" s="300">
        <f t="shared" ref="O63:O64" si="91">SUM(L63:N63)</f>
        <v>3.6688381167907278</v>
      </c>
      <c r="P63" s="300"/>
      <c r="Q63" s="300">
        <v>3.703750936701883</v>
      </c>
      <c r="R63" s="300">
        <v>9.2593773417277661E-2</v>
      </c>
      <c r="S63" s="300">
        <v>0</v>
      </c>
      <c r="T63" s="300">
        <f t="shared" ref="T63:T64" si="92">SUM(Q63:S63)</f>
        <v>3.7963447101191607</v>
      </c>
      <c r="U63" s="300"/>
      <c r="V63" s="300">
        <v>3.8583286287612064</v>
      </c>
      <c r="W63" s="300">
        <v>9.7522724329407812E-2</v>
      </c>
      <c r="X63" s="300">
        <v>0</v>
      </c>
      <c r="Y63" s="300">
        <f t="shared" ref="Y63:Y64" si="93">SUM(V63:X63)</f>
        <v>3.9558513530906141</v>
      </c>
    </row>
    <row r="64" spans="1:25" x14ac:dyDescent="0.2">
      <c r="A64" s="264" t="s">
        <v>363</v>
      </c>
      <c r="B64" s="301">
        <f>SUM(B62:B63)</f>
        <v>4.5885489795853953</v>
      </c>
      <c r="C64" s="301">
        <f t="shared" ref="C64" si="94">SUM(C62:C63)</f>
        <v>0.43700466472983851</v>
      </c>
      <c r="D64" s="301">
        <f t="shared" ref="D64" si="95">SUM(D62:D63)</f>
        <v>0.21544635568476853</v>
      </c>
      <c r="E64" s="301">
        <f t="shared" si="89"/>
        <v>5.2410000000000023</v>
      </c>
      <c r="F64" s="301"/>
      <c r="G64" s="301">
        <f>SUM(G62:G63)</f>
        <v>4.7037002775190864</v>
      </c>
      <c r="H64" s="301">
        <f t="shared" ref="H64" si="96">SUM(H62:H63)</f>
        <v>0.39629972248090994</v>
      </c>
      <c r="I64" s="301">
        <f t="shared" ref="I64" si="97">SUM(I62:I63)</f>
        <v>0</v>
      </c>
      <c r="J64" s="301">
        <f t="shared" si="90"/>
        <v>5.0999999999999961</v>
      </c>
      <c r="K64" s="301"/>
      <c r="L64" s="301">
        <f>SUM(L62:L63)</f>
        <v>4.4263564258429993</v>
      </c>
      <c r="M64" s="301">
        <f t="shared" ref="M64" si="98">SUM(M62:M63)</f>
        <v>0.33257726566031759</v>
      </c>
      <c r="N64" s="301">
        <f t="shared" ref="N64" si="99">SUM(N62:N63)</f>
        <v>2.706630849668739E-2</v>
      </c>
      <c r="O64" s="301">
        <f t="shared" si="91"/>
        <v>4.786000000000004</v>
      </c>
      <c r="P64" s="301"/>
      <c r="Q64" s="301">
        <f>SUM(Q62:Q63)</f>
        <v>4.6187952857825465</v>
      </c>
      <c r="R64" s="301">
        <f t="shared" ref="R64" si="100">SUM(R62:R63)</f>
        <v>0.35029041487829266</v>
      </c>
      <c r="S64" s="301">
        <f t="shared" ref="S64" si="101">SUM(S62:S63)</f>
        <v>2.7914299339164336E-2</v>
      </c>
      <c r="T64" s="301">
        <f t="shared" si="92"/>
        <v>4.9970000000000034</v>
      </c>
      <c r="U64" s="301"/>
      <c r="V64" s="301">
        <f>SUM(V62:V63)</f>
        <v>4.8991433380801244</v>
      </c>
      <c r="W64" s="301">
        <f t="shared" ref="W64" si="102">SUM(W62:W63)</f>
        <v>0.37601191247016952</v>
      </c>
      <c r="X64" s="301">
        <f t="shared" ref="X64" si="103">SUM(X62:X63)</f>
        <v>2.8844749449705536E-2</v>
      </c>
      <c r="Y64" s="301">
        <f t="shared" si="93"/>
        <v>5.3039999999999994</v>
      </c>
    </row>
    <row r="68" spans="1:25" ht="15" x14ac:dyDescent="0.25">
      <c r="A68" s="265" t="str">
        <f>"Industry 8 : "&amp; name!B11</f>
        <v>Industry 8 : Construction</v>
      </c>
      <c r="B68" s="374">
        <f>$B$5</f>
        <v>2015</v>
      </c>
      <c r="C68" s="374"/>
      <c r="D68" s="374"/>
      <c r="E68" s="374"/>
      <c r="F68" s="320"/>
      <c r="G68" s="374">
        <f>$G$5</f>
        <v>2019</v>
      </c>
      <c r="H68" s="374"/>
      <c r="I68" s="374"/>
      <c r="J68" s="374"/>
      <c r="K68" s="320"/>
      <c r="L68" s="374">
        <f>$L$5</f>
        <v>2020</v>
      </c>
      <c r="M68" s="374"/>
      <c r="N68" s="374"/>
      <c r="O68" s="374"/>
      <c r="P68" s="318"/>
      <c r="Q68" s="374">
        <f>$Q$5</f>
        <v>2025</v>
      </c>
      <c r="R68" s="374"/>
      <c r="S68" s="374"/>
      <c r="T68" s="374"/>
      <c r="U68" s="320"/>
      <c r="V68" s="374">
        <f>$V$5</f>
        <v>2035</v>
      </c>
      <c r="W68" s="374"/>
      <c r="X68" s="374"/>
      <c r="Y68" s="374"/>
    </row>
    <row r="69" spans="1:25" x14ac:dyDescent="0.2">
      <c r="A69" s="264"/>
      <c r="B69" s="268" t="str">
        <f>$B$6</f>
        <v>FT</v>
      </c>
      <c r="C69" s="268" t="str">
        <f>$C$6</f>
        <v>PT</v>
      </c>
      <c r="D69" s="268" t="str">
        <f>$D$6</f>
        <v>SE</v>
      </c>
      <c r="E69" s="268" t="str">
        <f>$E$6</f>
        <v>Total</v>
      </c>
      <c r="F69" s="268"/>
      <c r="G69" s="268" t="str">
        <f>$B$6</f>
        <v>FT</v>
      </c>
      <c r="H69" s="268" t="str">
        <f>$C$6</f>
        <v>PT</v>
      </c>
      <c r="I69" s="268" t="str">
        <f>$D$6</f>
        <v>SE</v>
      </c>
      <c r="J69" s="268" t="str">
        <f>$E$6</f>
        <v>Total</v>
      </c>
      <c r="K69" s="268"/>
      <c r="L69" s="268" t="str">
        <f>$L$6</f>
        <v>FT</v>
      </c>
      <c r="M69" s="268" t="str">
        <f>$M$6</f>
        <v>PT</v>
      </c>
      <c r="N69" s="268" t="str">
        <f>$N$6</f>
        <v>SE</v>
      </c>
      <c r="O69" s="268" t="str">
        <f>$O$6</f>
        <v>Total</v>
      </c>
      <c r="P69" s="268"/>
      <c r="Q69" s="268" t="str">
        <f>$L$6</f>
        <v>FT</v>
      </c>
      <c r="R69" s="268" t="str">
        <f>$M$6</f>
        <v>PT</v>
      </c>
      <c r="S69" s="268" t="str">
        <f>$N$6</f>
        <v>SE</v>
      </c>
      <c r="T69" s="268" t="str">
        <f>$O$6</f>
        <v>Total</v>
      </c>
      <c r="U69" s="268"/>
      <c r="V69" s="268" t="str">
        <f>$V$6</f>
        <v>FT</v>
      </c>
      <c r="W69" s="268" t="str">
        <f>$W$6</f>
        <v>PT</v>
      </c>
      <c r="X69" s="268" t="str">
        <f>$X$6</f>
        <v>SE</v>
      </c>
      <c r="Y69" s="268" t="str">
        <f>$Y$6</f>
        <v>Total</v>
      </c>
    </row>
    <row r="70" spans="1:25" x14ac:dyDescent="0.2">
      <c r="C70" s="319"/>
      <c r="D70" s="319"/>
      <c r="E70" s="319"/>
      <c r="F70" s="319"/>
      <c r="G70" s="319"/>
      <c r="H70" s="319"/>
      <c r="I70" s="319"/>
      <c r="J70" s="319"/>
      <c r="K70" s="319"/>
      <c r="L70" s="319"/>
      <c r="M70" s="319"/>
      <c r="N70" s="319"/>
      <c r="O70" s="319"/>
      <c r="P70" s="319"/>
      <c r="Q70" s="319"/>
      <c r="R70" s="319"/>
      <c r="S70" s="319"/>
      <c r="T70" s="319"/>
      <c r="U70" s="319"/>
      <c r="V70" s="319"/>
      <c r="W70" s="319"/>
      <c r="X70" s="319"/>
      <c r="Y70" s="319"/>
    </row>
    <row r="71" spans="1:25" x14ac:dyDescent="0.2">
      <c r="A71" s="260" t="s">
        <v>365</v>
      </c>
      <c r="B71" s="300">
        <v>2.5049023075104611</v>
      </c>
      <c r="C71" s="300">
        <v>2.417819320977419</v>
      </c>
      <c r="D71" s="300">
        <v>0.32059082885318496</v>
      </c>
      <c r="E71" s="300">
        <f>SUM(B71:D71)</f>
        <v>5.243312457341065</v>
      </c>
      <c r="F71" s="300"/>
      <c r="G71" s="300">
        <v>2.7567956784616281</v>
      </c>
      <c r="H71" s="300">
        <v>2.0512650308915328</v>
      </c>
      <c r="I71" s="300">
        <v>0.51608260331772637</v>
      </c>
      <c r="J71" s="300">
        <f>SUM(G71:I71)</f>
        <v>5.3241433126708868</v>
      </c>
      <c r="K71" s="300"/>
      <c r="L71" s="300">
        <v>2.5389183608305141</v>
      </c>
      <c r="M71" s="300">
        <v>2.09889744911229</v>
      </c>
      <c r="N71" s="300">
        <v>0.51868643810159398</v>
      </c>
      <c r="O71" s="300">
        <f>SUM(L71:N71)</f>
        <v>5.1565022480443981</v>
      </c>
      <c r="P71" s="300"/>
      <c r="Q71" s="300">
        <v>2.5796459732771204</v>
      </c>
      <c r="R71" s="300">
        <v>2.1465998902912267</v>
      </c>
      <c r="S71" s="300">
        <v>0.52915232266265577</v>
      </c>
      <c r="T71" s="300">
        <f>SUM(Q71:S71)</f>
        <v>5.2553981862310026</v>
      </c>
      <c r="U71" s="300"/>
      <c r="V71" s="300">
        <v>2.7218401721335099</v>
      </c>
      <c r="W71" s="300">
        <v>2.2899772677307548</v>
      </c>
      <c r="X71" s="300">
        <v>0.57401496096869842</v>
      </c>
      <c r="Y71" s="300">
        <f>SUM(V71:X71)</f>
        <v>5.5858324008329632</v>
      </c>
    </row>
    <row r="72" spans="1:25" x14ac:dyDescent="0.2">
      <c r="A72" s="260" t="s">
        <v>364</v>
      </c>
      <c r="B72" s="300">
        <v>17.779644123357716</v>
      </c>
      <c r="C72" s="300">
        <v>0.99168464814651847</v>
      </c>
      <c r="D72" s="300">
        <v>11.236358771154755</v>
      </c>
      <c r="E72" s="300">
        <f t="shared" ref="E72:E73" si="104">SUM(B72:D72)</f>
        <v>30.007687542658989</v>
      </c>
      <c r="F72" s="300"/>
      <c r="G72" s="300">
        <v>16.27924115836603</v>
      </c>
      <c r="H72" s="300">
        <v>0.81478427594747294</v>
      </c>
      <c r="I72" s="300">
        <v>12.193831253015636</v>
      </c>
      <c r="J72" s="300">
        <f t="shared" ref="J72:J73" si="105">SUM(G72:I72)</f>
        <v>29.287856687329139</v>
      </c>
      <c r="K72" s="300"/>
      <c r="L72" s="300">
        <v>16.976572616740885</v>
      </c>
      <c r="M72" s="300">
        <v>1.1321395336326359</v>
      </c>
      <c r="N72" s="300">
        <v>10.755785601582058</v>
      </c>
      <c r="O72" s="300">
        <f t="shared" ref="O72:O73" si="106">SUM(L72:N72)</f>
        <v>28.864497751955579</v>
      </c>
      <c r="P72" s="300"/>
      <c r="Q72" s="300">
        <v>16.957184887278618</v>
      </c>
      <c r="R72" s="300">
        <v>1.1664525653031648</v>
      </c>
      <c r="S72" s="300">
        <v>10.989964361187219</v>
      </c>
      <c r="T72" s="300">
        <f t="shared" ref="T72:T73" si="107">SUM(Q72:S72)</f>
        <v>29.113601813769002</v>
      </c>
      <c r="U72" s="300"/>
      <c r="V72" s="300">
        <v>17.091588327634593</v>
      </c>
      <c r="W72" s="300">
        <v>1.2581921338323407</v>
      </c>
      <c r="X72" s="300">
        <v>11.691387137700142</v>
      </c>
      <c r="Y72" s="300">
        <f t="shared" ref="Y72:Y73" si="108">SUM(V72:X72)</f>
        <v>30.041167599167075</v>
      </c>
    </row>
    <row r="73" spans="1:25" x14ac:dyDescent="0.2">
      <c r="A73" s="264" t="s">
        <v>363</v>
      </c>
      <c r="B73" s="301">
        <f>SUM(B71:B72)</f>
        <v>20.284546430868176</v>
      </c>
      <c r="C73" s="301">
        <f t="shared" ref="C73" si="109">SUM(C71:C72)</f>
        <v>3.4095039691239375</v>
      </c>
      <c r="D73" s="301">
        <f t="shared" ref="D73" si="110">SUM(D71:D72)</f>
        <v>11.55694960000794</v>
      </c>
      <c r="E73" s="301">
        <f t="shared" si="104"/>
        <v>35.251000000000055</v>
      </c>
      <c r="F73" s="301"/>
      <c r="G73" s="301">
        <f>SUM(G71:G72)</f>
        <v>19.036036836827659</v>
      </c>
      <c r="H73" s="301">
        <f t="shared" ref="H73" si="111">SUM(H71:H72)</f>
        <v>2.8660493068390056</v>
      </c>
      <c r="I73" s="301">
        <f t="shared" ref="I73" si="112">SUM(I71:I72)</f>
        <v>12.709913856333362</v>
      </c>
      <c r="J73" s="301">
        <f t="shared" si="105"/>
        <v>34.612000000000023</v>
      </c>
      <c r="K73" s="301"/>
      <c r="L73" s="301">
        <f>SUM(L71:L72)</f>
        <v>19.5154909775714</v>
      </c>
      <c r="M73" s="301">
        <f t="shared" ref="M73" si="113">SUM(M71:M72)</f>
        <v>3.2310369827449259</v>
      </c>
      <c r="N73" s="301">
        <f t="shared" ref="N73" si="114">SUM(N71:N72)</f>
        <v>11.274472039683653</v>
      </c>
      <c r="O73" s="301">
        <f t="shared" si="106"/>
        <v>34.020999999999979</v>
      </c>
      <c r="P73" s="301"/>
      <c r="Q73" s="301">
        <f>SUM(Q71:Q72)</f>
        <v>19.536830860555739</v>
      </c>
      <c r="R73" s="301">
        <f t="shared" ref="R73" si="115">SUM(R71:R72)</f>
        <v>3.3130524555943914</v>
      </c>
      <c r="S73" s="301">
        <f t="shared" ref="S73" si="116">SUM(S71:S72)</f>
        <v>11.519116683849875</v>
      </c>
      <c r="T73" s="301">
        <f t="shared" si="107"/>
        <v>34.369000000000007</v>
      </c>
      <c r="U73" s="301"/>
      <c r="V73" s="301">
        <f>SUM(V71:V72)</f>
        <v>19.813428499768104</v>
      </c>
      <c r="W73" s="301">
        <f t="shared" ref="W73" si="117">SUM(W71:W72)</f>
        <v>3.5481694015630953</v>
      </c>
      <c r="X73" s="301">
        <f t="shared" ref="X73" si="118">SUM(X71:X72)</f>
        <v>12.26540209866884</v>
      </c>
      <c r="Y73" s="301">
        <f t="shared" si="108"/>
        <v>35.627000000000038</v>
      </c>
    </row>
    <row r="74" spans="1:25" x14ac:dyDescent="0.2">
      <c r="C74" s="263"/>
    </row>
    <row r="75" spans="1:25" x14ac:dyDescent="0.2">
      <c r="C75" s="263"/>
    </row>
    <row r="76" spans="1:25" x14ac:dyDescent="0.2">
      <c r="C76" s="263"/>
    </row>
    <row r="77" spans="1:25" ht="15" x14ac:dyDescent="0.25">
      <c r="A77" s="265" t="str">
        <f>"Industry 9 : "&amp; name!B12</f>
        <v>Industry 9 : Wholesale and retail trade</v>
      </c>
      <c r="B77" s="374">
        <f>$B$5</f>
        <v>2015</v>
      </c>
      <c r="C77" s="374"/>
      <c r="D77" s="374"/>
      <c r="E77" s="374"/>
      <c r="F77" s="320"/>
      <c r="G77" s="374">
        <f>$G$5</f>
        <v>2019</v>
      </c>
      <c r="H77" s="374"/>
      <c r="I77" s="374"/>
      <c r="J77" s="374"/>
      <c r="K77" s="320"/>
      <c r="L77" s="374">
        <f>$L$5</f>
        <v>2020</v>
      </c>
      <c r="M77" s="374"/>
      <c r="N77" s="374"/>
      <c r="O77" s="374"/>
      <c r="P77" s="318"/>
      <c r="Q77" s="374">
        <f>$Q$5</f>
        <v>2025</v>
      </c>
      <c r="R77" s="374"/>
      <c r="S77" s="374"/>
      <c r="T77" s="374"/>
      <c r="U77" s="320"/>
      <c r="V77" s="374">
        <f>$V$5</f>
        <v>2035</v>
      </c>
      <c r="W77" s="374"/>
      <c r="X77" s="374"/>
      <c r="Y77" s="374"/>
    </row>
    <row r="78" spans="1:25" x14ac:dyDescent="0.2">
      <c r="A78" s="264"/>
      <c r="B78" s="268" t="str">
        <f>$B$6</f>
        <v>FT</v>
      </c>
      <c r="C78" s="268" t="str">
        <f>$C$6</f>
        <v>PT</v>
      </c>
      <c r="D78" s="268" t="str">
        <f>$D$6</f>
        <v>SE</v>
      </c>
      <c r="E78" s="268" t="str">
        <f>$E$6</f>
        <v>Total</v>
      </c>
      <c r="F78" s="268"/>
      <c r="G78" s="268" t="str">
        <f>$B$6</f>
        <v>FT</v>
      </c>
      <c r="H78" s="268" t="str">
        <f>$C$6</f>
        <v>PT</v>
      </c>
      <c r="I78" s="268" t="str">
        <f>$D$6</f>
        <v>SE</v>
      </c>
      <c r="J78" s="268" t="str">
        <f>$E$6</f>
        <v>Total</v>
      </c>
      <c r="K78" s="268"/>
      <c r="L78" s="268" t="str">
        <f>$L$6</f>
        <v>FT</v>
      </c>
      <c r="M78" s="268" t="str">
        <f>$M$6</f>
        <v>PT</v>
      </c>
      <c r="N78" s="268" t="str">
        <f>$N$6</f>
        <v>SE</v>
      </c>
      <c r="O78" s="268" t="str">
        <f>$O$6</f>
        <v>Total</v>
      </c>
      <c r="P78" s="268"/>
      <c r="Q78" s="268" t="str">
        <f>$L$6</f>
        <v>FT</v>
      </c>
      <c r="R78" s="268" t="str">
        <f>$M$6</f>
        <v>PT</v>
      </c>
      <c r="S78" s="268" t="str">
        <f>$N$6</f>
        <v>SE</v>
      </c>
      <c r="T78" s="268" t="str">
        <f>$O$6</f>
        <v>Total</v>
      </c>
      <c r="U78" s="268"/>
      <c r="V78" s="268" t="str">
        <f>$V$6</f>
        <v>FT</v>
      </c>
      <c r="W78" s="268" t="str">
        <f>$W$6</f>
        <v>PT</v>
      </c>
      <c r="X78" s="268" t="str">
        <f>$X$6</f>
        <v>SE</v>
      </c>
      <c r="Y78" s="268" t="str">
        <f>$Y$6</f>
        <v>Total</v>
      </c>
    </row>
    <row r="79" spans="1:25" x14ac:dyDescent="0.2">
      <c r="C79" s="319"/>
      <c r="D79" s="319"/>
      <c r="E79" s="319"/>
      <c r="F79" s="319"/>
      <c r="G79" s="319"/>
      <c r="H79" s="319"/>
      <c r="I79" s="319"/>
      <c r="J79" s="319"/>
      <c r="K79" s="319"/>
      <c r="L79" s="319"/>
      <c r="M79" s="319"/>
      <c r="N79" s="319"/>
      <c r="O79" s="319"/>
      <c r="P79" s="319"/>
      <c r="Q79" s="319"/>
      <c r="R79" s="319"/>
      <c r="S79" s="319"/>
      <c r="T79" s="319"/>
      <c r="U79" s="319"/>
      <c r="V79" s="319"/>
      <c r="W79" s="319"/>
      <c r="X79" s="319"/>
      <c r="Y79" s="319"/>
    </row>
    <row r="80" spans="1:25" x14ac:dyDescent="0.2">
      <c r="A80" s="260" t="s">
        <v>365</v>
      </c>
      <c r="B80" s="300">
        <v>16.567137884083031</v>
      </c>
      <c r="C80" s="300">
        <v>21.216835715939499</v>
      </c>
      <c r="D80" s="300">
        <v>2.5392822531012631</v>
      </c>
      <c r="E80" s="300">
        <f>SUM(B80:D80)</f>
        <v>40.323255853123797</v>
      </c>
      <c r="F80" s="300"/>
      <c r="G80" s="300">
        <v>16.855254149744166</v>
      </c>
      <c r="H80" s="300">
        <v>20.000377472522253</v>
      </c>
      <c r="I80" s="300">
        <v>3.5519508277549066</v>
      </c>
      <c r="J80" s="300">
        <f>SUM(G80:I80)</f>
        <v>40.407582450021323</v>
      </c>
      <c r="K80" s="300"/>
      <c r="L80" s="300">
        <v>15.917416977488378</v>
      </c>
      <c r="M80" s="300">
        <v>20.131906020468264</v>
      </c>
      <c r="N80" s="300">
        <v>1.9396810357214802</v>
      </c>
      <c r="O80" s="300">
        <f>SUM(L80:N80)</f>
        <v>37.989004033678121</v>
      </c>
      <c r="P80" s="300"/>
      <c r="Q80" s="300">
        <v>16.716164513318024</v>
      </c>
      <c r="R80" s="300">
        <v>19.549213804160903</v>
      </c>
      <c r="S80" s="300">
        <v>2.0150016017488581</v>
      </c>
      <c r="T80" s="300">
        <f>SUM(Q80:S80)</f>
        <v>38.280379919227784</v>
      </c>
      <c r="U80" s="300"/>
      <c r="V80" s="300">
        <v>18.199134449434474</v>
      </c>
      <c r="W80" s="300">
        <v>18.371936850604097</v>
      </c>
      <c r="X80" s="300">
        <v>2.1688464554347551</v>
      </c>
      <c r="Y80" s="300">
        <f>SUM(V80:X80)</f>
        <v>38.739917755473321</v>
      </c>
    </row>
    <row r="81" spans="1:25" x14ac:dyDescent="0.2">
      <c r="A81" s="260" t="s">
        <v>364</v>
      </c>
      <c r="B81" s="300">
        <v>30.097608330926246</v>
      </c>
      <c r="C81" s="300">
        <v>9.2761767648829334</v>
      </c>
      <c r="D81" s="300">
        <v>3.0769590510669635</v>
      </c>
      <c r="E81" s="300">
        <f t="shared" ref="E81:E82" si="119">SUM(B81:D81)</f>
        <v>42.450744146876147</v>
      </c>
      <c r="F81" s="300"/>
      <c r="G81" s="300">
        <v>32.287050895133149</v>
      </c>
      <c r="H81" s="300">
        <v>8.3577378839685821</v>
      </c>
      <c r="I81" s="300">
        <v>3.9006287708768776</v>
      </c>
      <c r="J81" s="300">
        <f t="shared" ref="J81:J82" si="120">SUM(G81:I81)</f>
        <v>44.545417549978609</v>
      </c>
      <c r="K81" s="300"/>
      <c r="L81" s="300">
        <v>29.723355782183848</v>
      </c>
      <c r="M81" s="300">
        <v>8.8360771364448301</v>
      </c>
      <c r="N81" s="300">
        <v>4.9415630476931565</v>
      </c>
      <c r="O81" s="300">
        <f t="shared" ref="O81:O82" si="121">SUM(L81:N81)</f>
        <v>43.500995966321838</v>
      </c>
      <c r="P81" s="300"/>
      <c r="Q81" s="300">
        <v>30.301646793139565</v>
      </c>
      <c r="R81" s="300">
        <v>8.9112720580337594</v>
      </c>
      <c r="S81" s="300">
        <v>5.0447012295989921</v>
      </c>
      <c r="T81" s="300">
        <f t="shared" ref="T81:T82" si="122">SUM(Q81:S81)</f>
        <v>44.25762008077232</v>
      </c>
      <c r="U81" s="300"/>
      <c r="V81" s="300">
        <v>31.026406519191703</v>
      </c>
      <c r="W81" s="300">
        <v>9.0606646434696252</v>
      </c>
      <c r="X81" s="300">
        <v>5.2050110818654627</v>
      </c>
      <c r="Y81" s="300">
        <f t="shared" ref="Y81:Y82" si="123">SUM(V81:X81)</f>
        <v>45.292082244526796</v>
      </c>
    </row>
    <row r="82" spans="1:25" x14ac:dyDescent="0.2">
      <c r="A82" s="264" t="s">
        <v>363</v>
      </c>
      <c r="B82" s="301">
        <f>SUM(B80:B81)</f>
        <v>46.664746215009274</v>
      </c>
      <c r="C82" s="301">
        <f t="shared" ref="C82" si="124">SUM(C80:C81)</f>
        <v>30.493012480822433</v>
      </c>
      <c r="D82" s="301">
        <f t="shared" ref="D82" si="125">SUM(D80:D81)</f>
        <v>5.6162413041682271</v>
      </c>
      <c r="E82" s="301">
        <f t="shared" si="119"/>
        <v>82.77399999999993</v>
      </c>
      <c r="F82" s="301"/>
      <c r="G82" s="301">
        <f>SUM(G80:G81)</f>
        <v>49.142305044877318</v>
      </c>
      <c r="H82" s="301">
        <f t="shared" ref="H82" si="126">SUM(H80:H81)</f>
        <v>28.358115356490835</v>
      </c>
      <c r="I82" s="301">
        <f t="shared" ref="I82" si="127">SUM(I80:I81)</f>
        <v>7.4525795986317842</v>
      </c>
      <c r="J82" s="301">
        <f t="shared" si="120"/>
        <v>84.952999999999946</v>
      </c>
      <c r="K82" s="301"/>
      <c r="L82" s="301">
        <f>SUM(L80:L81)</f>
        <v>45.640772759672224</v>
      </c>
      <c r="M82" s="301">
        <f t="shared" ref="M82" si="128">SUM(M80:M81)</f>
        <v>28.967983156913093</v>
      </c>
      <c r="N82" s="301">
        <f t="shared" ref="N82" si="129">SUM(N80:N81)</f>
        <v>6.8812440834146367</v>
      </c>
      <c r="O82" s="301">
        <f t="shared" si="121"/>
        <v>81.489999999999966</v>
      </c>
      <c r="P82" s="301"/>
      <c r="Q82" s="301">
        <f>SUM(Q80:Q81)</f>
        <v>47.017811306457588</v>
      </c>
      <c r="R82" s="301">
        <f t="shared" ref="R82" si="130">SUM(R80:R81)</f>
        <v>28.460485862194663</v>
      </c>
      <c r="S82" s="301">
        <f t="shared" ref="S82" si="131">SUM(S80:S81)</f>
        <v>7.0597028313478507</v>
      </c>
      <c r="T82" s="301">
        <f t="shared" si="122"/>
        <v>82.538000000000096</v>
      </c>
      <c r="U82" s="301"/>
      <c r="V82" s="301">
        <f>SUM(V80:V81)</f>
        <v>49.225540968626177</v>
      </c>
      <c r="W82" s="301">
        <f t="shared" ref="W82" si="132">SUM(W80:W81)</f>
        <v>27.432601494073722</v>
      </c>
      <c r="X82" s="301">
        <f t="shared" ref="X82" si="133">SUM(X80:X81)</f>
        <v>7.3738575373002178</v>
      </c>
      <c r="Y82" s="301">
        <f t="shared" si="123"/>
        <v>84.032000000000124</v>
      </c>
    </row>
    <row r="83" spans="1:25" x14ac:dyDescent="0.2">
      <c r="A83" s="266"/>
      <c r="B83" s="320"/>
      <c r="C83" s="320"/>
      <c r="D83" s="320"/>
      <c r="E83" s="320"/>
      <c r="F83" s="320"/>
      <c r="G83" s="320"/>
      <c r="H83" s="320"/>
      <c r="I83" s="320"/>
      <c r="J83" s="320"/>
      <c r="K83" s="320"/>
      <c r="L83" s="320"/>
      <c r="M83" s="320"/>
      <c r="N83" s="320"/>
      <c r="O83" s="320"/>
      <c r="P83" s="320"/>
      <c r="Q83" s="320"/>
      <c r="R83" s="320"/>
      <c r="S83" s="320"/>
      <c r="T83" s="320"/>
      <c r="U83" s="320"/>
      <c r="V83" s="320"/>
      <c r="W83" s="320"/>
      <c r="X83" s="320"/>
      <c r="Y83" s="320"/>
    </row>
    <row r="84" spans="1:25" x14ac:dyDescent="0.2">
      <c r="C84" s="263"/>
    </row>
    <row r="85" spans="1:25" x14ac:dyDescent="0.2">
      <c r="A85" s="261"/>
    </row>
    <row r="86" spans="1:25" ht="15" x14ac:dyDescent="0.25">
      <c r="A86" s="265" t="str">
        <f>"Industry 10 : "&amp; name!B13</f>
        <v>Industry 10 : Transport and storage</v>
      </c>
      <c r="B86" s="374">
        <f>$B$5</f>
        <v>2015</v>
      </c>
      <c r="C86" s="374"/>
      <c r="D86" s="374"/>
      <c r="E86" s="374"/>
      <c r="F86" s="320"/>
      <c r="G86" s="374">
        <f>$G$5</f>
        <v>2019</v>
      </c>
      <c r="H86" s="374"/>
      <c r="I86" s="374"/>
      <c r="J86" s="374"/>
      <c r="K86" s="320"/>
      <c r="L86" s="374">
        <f>$L$5</f>
        <v>2020</v>
      </c>
      <c r="M86" s="374"/>
      <c r="N86" s="374"/>
      <c r="O86" s="374"/>
      <c r="P86" s="318"/>
      <c r="Q86" s="374">
        <f>$Q$5</f>
        <v>2025</v>
      </c>
      <c r="R86" s="374"/>
      <c r="S86" s="374"/>
      <c r="T86" s="374"/>
      <c r="U86" s="320"/>
      <c r="V86" s="374">
        <f>$V$5</f>
        <v>2035</v>
      </c>
      <c r="W86" s="374"/>
      <c r="X86" s="374"/>
      <c r="Y86" s="374"/>
    </row>
    <row r="87" spans="1:25" x14ac:dyDescent="0.2">
      <c r="A87" s="264"/>
      <c r="B87" s="268" t="str">
        <f>$B$6</f>
        <v>FT</v>
      </c>
      <c r="C87" s="268" t="str">
        <f>$C$6</f>
        <v>PT</v>
      </c>
      <c r="D87" s="268" t="str">
        <f>$D$6</f>
        <v>SE</v>
      </c>
      <c r="E87" s="268" t="str">
        <f>$E$6</f>
        <v>Total</v>
      </c>
      <c r="F87" s="268"/>
      <c r="G87" s="268" t="str">
        <f>$B$6</f>
        <v>FT</v>
      </c>
      <c r="H87" s="268" t="str">
        <f>$C$6</f>
        <v>PT</v>
      </c>
      <c r="I87" s="268" t="str">
        <f>$D$6</f>
        <v>SE</v>
      </c>
      <c r="J87" s="268" t="str">
        <f>$E$6</f>
        <v>Total</v>
      </c>
      <c r="K87" s="268"/>
      <c r="L87" s="268" t="str">
        <f>$L$6</f>
        <v>FT</v>
      </c>
      <c r="M87" s="268" t="str">
        <f>$M$6</f>
        <v>PT</v>
      </c>
      <c r="N87" s="268" t="str">
        <f>$N$6</f>
        <v>SE</v>
      </c>
      <c r="O87" s="268" t="str">
        <f>$O$6</f>
        <v>Total</v>
      </c>
      <c r="P87" s="268"/>
      <c r="Q87" s="268" t="str">
        <f>$L$6</f>
        <v>FT</v>
      </c>
      <c r="R87" s="268" t="str">
        <f>$M$6</f>
        <v>PT</v>
      </c>
      <c r="S87" s="268" t="str">
        <f>$N$6</f>
        <v>SE</v>
      </c>
      <c r="T87" s="268" t="str">
        <f>$O$6</f>
        <v>Total</v>
      </c>
      <c r="U87" s="268"/>
      <c r="V87" s="268" t="str">
        <f>$V$6</f>
        <v>FT</v>
      </c>
      <c r="W87" s="268" t="str">
        <f>$W$6</f>
        <v>PT</v>
      </c>
      <c r="X87" s="268" t="str">
        <f>$X$6</f>
        <v>SE</v>
      </c>
      <c r="Y87" s="268" t="str">
        <f>$Y$6</f>
        <v>Total</v>
      </c>
    </row>
    <row r="88" spans="1:25" x14ac:dyDescent="0.2">
      <c r="C88" s="319"/>
      <c r="D88" s="319"/>
      <c r="E88" s="319"/>
      <c r="F88" s="319"/>
      <c r="G88" s="319"/>
      <c r="H88" s="319"/>
      <c r="I88" s="319"/>
      <c r="J88" s="319"/>
      <c r="K88" s="319"/>
      <c r="L88" s="319"/>
      <c r="M88" s="319"/>
      <c r="N88" s="319"/>
      <c r="O88" s="319"/>
      <c r="P88" s="319"/>
      <c r="Q88" s="319"/>
      <c r="R88" s="319"/>
      <c r="S88" s="319"/>
      <c r="T88" s="319"/>
      <c r="U88" s="319"/>
      <c r="V88" s="319"/>
      <c r="W88" s="319"/>
      <c r="X88" s="319"/>
      <c r="Y88" s="319"/>
    </row>
    <row r="89" spans="1:25" x14ac:dyDescent="0.2">
      <c r="A89" s="260" t="s">
        <v>365</v>
      </c>
      <c r="B89" s="300">
        <v>3.3147258450841526</v>
      </c>
      <c r="C89" s="300">
        <v>1.9721389790454706</v>
      </c>
      <c r="D89" s="300">
        <v>7.2632111511959238E-2</v>
      </c>
      <c r="E89" s="300">
        <f>SUM(B89:D89)</f>
        <v>5.359496935641582</v>
      </c>
      <c r="F89" s="300"/>
      <c r="G89" s="300">
        <v>3.599117003031874</v>
      </c>
      <c r="H89" s="300">
        <v>2.004869784928283</v>
      </c>
      <c r="I89" s="300">
        <v>0.46925642629763209</v>
      </c>
      <c r="J89" s="300">
        <f>SUM(G89:I89)</f>
        <v>6.073243214257789</v>
      </c>
      <c r="K89" s="300"/>
      <c r="L89" s="300">
        <v>3.8192276489874586</v>
      </c>
      <c r="M89" s="300">
        <v>2.2266199397503561</v>
      </c>
      <c r="N89" s="300">
        <v>0.48757972247115949</v>
      </c>
      <c r="O89" s="300">
        <f>SUM(L89:N89)</f>
        <v>6.5334273112089738</v>
      </c>
      <c r="P89" s="300"/>
      <c r="Q89" s="300">
        <v>4.1123929237850705</v>
      </c>
      <c r="R89" s="300">
        <v>2.4162473681306964</v>
      </c>
      <c r="S89" s="300">
        <v>0.48360298457298695</v>
      </c>
      <c r="T89" s="300">
        <f>SUM(Q89:S89)</f>
        <v>7.0122432764887543</v>
      </c>
      <c r="U89" s="300"/>
      <c r="V89" s="300">
        <v>4.3228536713056336</v>
      </c>
      <c r="W89" s="300">
        <v>2.625832805916585</v>
      </c>
      <c r="X89" s="300">
        <v>0.47138486919475459</v>
      </c>
      <c r="Y89" s="300">
        <f>SUM(V89:X89)</f>
        <v>7.4200713464169734</v>
      </c>
    </row>
    <row r="90" spans="1:25" x14ac:dyDescent="0.2">
      <c r="A90" s="260" t="s">
        <v>364</v>
      </c>
      <c r="B90" s="300">
        <v>16.144701176445448</v>
      </c>
      <c r="C90" s="300">
        <v>1.4949371487847212</v>
      </c>
      <c r="D90" s="300">
        <v>3.086864739128246</v>
      </c>
      <c r="E90" s="300">
        <f t="shared" ref="E90:E91" si="134">SUM(B90:D90)</f>
        <v>20.726503064358415</v>
      </c>
      <c r="F90" s="300"/>
      <c r="G90" s="300">
        <v>15.358174638570825</v>
      </c>
      <c r="H90" s="300">
        <v>1.8631094410772755</v>
      </c>
      <c r="I90" s="300">
        <v>2.5184727060940659</v>
      </c>
      <c r="J90" s="300">
        <f t="shared" ref="J90:J91" si="135">SUM(G90:I90)</f>
        <v>19.739756785742166</v>
      </c>
      <c r="K90" s="300"/>
      <c r="L90" s="300">
        <v>16.111628754918293</v>
      </c>
      <c r="M90" s="300">
        <v>2.4100570524901692</v>
      </c>
      <c r="N90" s="300">
        <v>3.5298868813825686</v>
      </c>
      <c r="O90" s="300">
        <f t="shared" ref="O90:O91" si="136">SUM(L90:N90)</f>
        <v>22.051572688791033</v>
      </c>
      <c r="P90" s="300"/>
      <c r="Q90" s="300">
        <v>16.543252097806331</v>
      </c>
      <c r="R90" s="300">
        <v>2.5012667525515964</v>
      </c>
      <c r="S90" s="300">
        <v>3.5782378731532867</v>
      </c>
      <c r="T90" s="300">
        <f t="shared" ref="T90:T91" si="137">SUM(Q90:S90)</f>
        <v>22.622756723511216</v>
      </c>
      <c r="U90" s="300"/>
      <c r="V90" s="300">
        <v>16.288573411608208</v>
      </c>
      <c r="W90" s="300">
        <v>2.6060445355697732</v>
      </c>
      <c r="X90" s="300">
        <v>3.6693107064050934</v>
      </c>
      <c r="Y90" s="300">
        <f t="shared" ref="Y90:Y91" si="138">SUM(V90:X90)</f>
        <v>22.563928653583073</v>
      </c>
    </row>
    <row r="91" spans="1:25" x14ac:dyDescent="0.2">
      <c r="A91" s="264" t="s">
        <v>363</v>
      </c>
      <c r="B91" s="301">
        <f>SUM(B89:B90)</f>
        <v>19.459427021529599</v>
      </c>
      <c r="C91" s="301">
        <f t="shared" ref="C91" si="139">SUM(C89:C90)</f>
        <v>3.4670761278301918</v>
      </c>
      <c r="D91" s="301">
        <f t="shared" ref="D91" si="140">SUM(D89:D90)</f>
        <v>3.1594968506402052</v>
      </c>
      <c r="E91" s="301">
        <f t="shared" si="134"/>
        <v>26.085999999999999</v>
      </c>
      <c r="F91" s="301"/>
      <c r="G91" s="301">
        <f>SUM(G89:G90)</f>
        <v>18.957291641602698</v>
      </c>
      <c r="H91" s="301">
        <f t="shared" ref="H91" si="141">SUM(H89:H90)</f>
        <v>3.8679792260055583</v>
      </c>
      <c r="I91" s="301">
        <f t="shared" ref="I91" si="142">SUM(I89:I90)</f>
        <v>2.9877291323916979</v>
      </c>
      <c r="J91" s="301">
        <f t="shared" si="135"/>
        <v>25.812999999999956</v>
      </c>
      <c r="K91" s="301"/>
      <c r="L91" s="301">
        <f>SUM(L89:L90)</f>
        <v>19.93085640390575</v>
      </c>
      <c r="M91" s="301">
        <f t="shared" ref="M91" si="143">SUM(M89:M90)</f>
        <v>4.6366769922405258</v>
      </c>
      <c r="N91" s="301">
        <f t="shared" ref="N91" si="144">SUM(N89:N90)</f>
        <v>4.0174666038537277</v>
      </c>
      <c r="O91" s="301">
        <f t="shared" si="136"/>
        <v>28.585000000000001</v>
      </c>
      <c r="P91" s="301"/>
      <c r="Q91" s="301">
        <f>SUM(Q89:Q90)</f>
        <v>20.6556450215914</v>
      </c>
      <c r="R91" s="301">
        <f t="shared" ref="R91" si="145">SUM(R89:R90)</f>
        <v>4.9175141206822932</v>
      </c>
      <c r="S91" s="301">
        <f t="shared" ref="S91" si="146">SUM(S89:S90)</f>
        <v>4.0618408577262732</v>
      </c>
      <c r="T91" s="301">
        <f t="shared" si="137"/>
        <v>29.63499999999997</v>
      </c>
      <c r="U91" s="301"/>
      <c r="V91" s="301">
        <f>SUM(V89:V90)</f>
        <v>20.611427082913842</v>
      </c>
      <c r="W91" s="301">
        <f t="shared" ref="W91" si="147">SUM(W89:W90)</f>
        <v>5.2318773414863582</v>
      </c>
      <c r="X91" s="301">
        <f t="shared" ref="X91" si="148">SUM(X89:X90)</f>
        <v>4.1406955755998478</v>
      </c>
      <c r="Y91" s="301">
        <f t="shared" si="138"/>
        <v>29.984000000000052</v>
      </c>
    </row>
    <row r="92" spans="1:25" x14ac:dyDescent="0.2">
      <c r="C92" s="263"/>
    </row>
    <row r="93" spans="1:25" x14ac:dyDescent="0.2">
      <c r="C93" s="263"/>
    </row>
    <row r="94" spans="1:25" x14ac:dyDescent="0.2">
      <c r="C94" s="263"/>
    </row>
    <row r="95" spans="1:25" ht="15" x14ac:dyDescent="0.25">
      <c r="A95" s="265" t="str">
        <f>"Industry 11 : "&amp; name!B14</f>
        <v>Industry 11 : Accommodation and food</v>
      </c>
      <c r="B95" s="374">
        <f>$B$5</f>
        <v>2015</v>
      </c>
      <c r="C95" s="374"/>
      <c r="D95" s="374"/>
      <c r="E95" s="374"/>
      <c r="F95" s="320"/>
      <c r="G95" s="374">
        <f>$G$5</f>
        <v>2019</v>
      </c>
      <c r="H95" s="374"/>
      <c r="I95" s="374"/>
      <c r="J95" s="374"/>
      <c r="K95" s="320"/>
      <c r="L95" s="374">
        <f>$L$5</f>
        <v>2020</v>
      </c>
      <c r="M95" s="374"/>
      <c r="N95" s="374"/>
      <c r="O95" s="374"/>
      <c r="P95" s="318"/>
      <c r="Q95" s="374">
        <f>$Q$5</f>
        <v>2025</v>
      </c>
      <c r="R95" s="374"/>
      <c r="S95" s="374"/>
      <c r="T95" s="374"/>
      <c r="U95" s="320"/>
      <c r="V95" s="374">
        <f>$V$5</f>
        <v>2035</v>
      </c>
      <c r="W95" s="374"/>
      <c r="X95" s="374"/>
      <c r="Y95" s="374"/>
    </row>
    <row r="96" spans="1:25" x14ac:dyDescent="0.2">
      <c r="A96" s="264"/>
      <c r="B96" s="268" t="str">
        <f>$B$6</f>
        <v>FT</v>
      </c>
      <c r="C96" s="268" t="str">
        <f>$C$6</f>
        <v>PT</v>
      </c>
      <c r="D96" s="268" t="str">
        <f>$D$6</f>
        <v>SE</v>
      </c>
      <c r="E96" s="268" t="str">
        <f>$E$6</f>
        <v>Total</v>
      </c>
      <c r="F96" s="268"/>
      <c r="G96" s="268" t="str">
        <f>$B$6</f>
        <v>FT</v>
      </c>
      <c r="H96" s="268" t="str">
        <f>$C$6</f>
        <v>PT</v>
      </c>
      <c r="I96" s="268" t="str">
        <f>$D$6</f>
        <v>SE</v>
      </c>
      <c r="J96" s="268" t="str">
        <f>$E$6</f>
        <v>Total</v>
      </c>
      <c r="K96" s="268"/>
      <c r="L96" s="268" t="str">
        <f>$L$6</f>
        <v>FT</v>
      </c>
      <c r="M96" s="268" t="str">
        <f>$M$6</f>
        <v>PT</v>
      </c>
      <c r="N96" s="268" t="str">
        <f>$N$6</f>
        <v>SE</v>
      </c>
      <c r="O96" s="268" t="str">
        <f>$O$6</f>
        <v>Total</v>
      </c>
      <c r="P96" s="268"/>
      <c r="Q96" s="268" t="str">
        <f>$L$6</f>
        <v>FT</v>
      </c>
      <c r="R96" s="268" t="str">
        <f>$M$6</f>
        <v>PT</v>
      </c>
      <c r="S96" s="268" t="str">
        <f>$N$6</f>
        <v>SE</v>
      </c>
      <c r="T96" s="268" t="str">
        <f>$O$6</f>
        <v>Total</v>
      </c>
      <c r="U96" s="268"/>
      <c r="V96" s="268" t="str">
        <f>$V$6</f>
        <v>FT</v>
      </c>
      <c r="W96" s="268" t="str">
        <f>$W$6</f>
        <v>PT</v>
      </c>
      <c r="X96" s="268" t="str">
        <f>$X$6</f>
        <v>SE</v>
      </c>
      <c r="Y96" s="268" t="str">
        <f>$Y$6</f>
        <v>Total</v>
      </c>
    </row>
    <row r="97" spans="1:25" x14ac:dyDescent="0.2">
      <c r="C97" s="319"/>
      <c r="D97" s="319"/>
      <c r="E97" s="319"/>
      <c r="F97" s="319"/>
      <c r="G97" s="319"/>
      <c r="H97" s="319"/>
      <c r="I97" s="319"/>
      <c r="J97" s="319"/>
      <c r="K97" s="319"/>
      <c r="L97" s="319"/>
      <c r="M97" s="319"/>
      <c r="N97" s="319"/>
      <c r="O97" s="319"/>
      <c r="P97" s="319"/>
      <c r="Q97" s="319"/>
      <c r="R97" s="319"/>
      <c r="S97" s="319"/>
      <c r="T97" s="319"/>
      <c r="U97" s="319"/>
      <c r="V97" s="319"/>
      <c r="W97" s="319"/>
      <c r="X97" s="319"/>
      <c r="Y97" s="319"/>
    </row>
    <row r="98" spans="1:25" x14ac:dyDescent="0.2">
      <c r="A98" s="260" t="s">
        <v>365</v>
      </c>
      <c r="B98" s="300">
        <v>4.7291281573149924</v>
      </c>
      <c r="C98" s="300">
        <v>11.419774089701148</v>
      </c>
      <c r="D98" s="300">
        <v>1.5238215967331894</v>
      </c>
      <c r="E98" s="300">
        <f>SUM(B98:D98)</f>
        <v>17.672723843749328</v>
      </c>
      <c r="F98" s="300"/>
      <c r="G98" s="300">
        <v>5.7574112227092513</v>
      </c>
      <c r="H98" s="300">
        <v>13.13493005439549</v>
      </c>
      <c r="I98" s="300">
        <v>0.98947148370688631</v>
      </c>
      <c r="J98" s="300">
        <f>SUM(G98:I98)</f>
        <v>19.881812760811627</v>
      </c>
      <c r="K98" s="300"/>
      <c r="L98" s="300">
        <v>6.3994995682890741</v>
      </c>
      <c r="M98" s="300">
        <v>12.620668755504552</v>
      </c>
      <c r="N98" s="300">
        <v>0.94856585906703761</v>
      </c>
      <c r="O98" s="300">
        <f>SUM(L98:N98)</f>
        <v>19.968734182860665</v>
      </c>
      <c r="P98" s="300"/>
      <c r="Q98" s="300">
        <v>6.4900441044876072</v>
      </c>
      <c r="R98" s="300">
        <v>12.831439103980532</v>
      </c>
      <c r="S98" s="300">
        <v>1.0086385627157013</v>
      </c>
      <c r="T98" s="300">
        <f>SUM(Q98:S98)</f>
        <v>20.33012177118384</v>
      </c>
      <c r="U98" s="300"/>
      <c r="V98" s="300">
        <v>7.0673765865928422</v>
      </c>
      <c r="W98" s="300">
        <v>13.91011173578819</v>
      </c>
      <c r="X98" s="300">
        <v>1.1131522772440259</v>
      </c>
      <c r="Y98" s="300">
        <f>SUM(V98:X98)</f>
        <v>22.090640599625058</v>
      </c>
    </row>
    <row r="99" spans="1:25" x14ac:dyDescent="0.2">
      <c r="A99" s="260" t="s">
        <v>364</v>
      </c>
      <c r="B99" s="300">
        <v>6.643501493635763</v>
      </c>
      <c r="C99" s="300">
        <v>8.6305236365852185</v>
      </c>
      <c r="D99" s="300">
        <v>1.2002510260296539</v>
      </c>
      <c r="E99" s="300">
        <f t="shared" ref="E99:E100" si="149">SUM(B99:D99)</f>
        <v>16.474276156250635</v>
      </c>
      <c r="F99" s="300"/>
      <c r="G99" s="300">
        <v>6.6029595816092854</v>
      </c>
      <c r="H99" s="300">
        <v>8.4384656509821472</v>
      </c>
      <c r="I99" s="300">
        <v>0.54676200659692864</v>
      </c>
      <c r="J99" s="300">
        <f t="shared" ref="J99:J100" si="150">SUM(G99:I99)</f>
        <v>15.588187239188361</v>
      </c>
      <c r="K99" s="300"/>
      <c r="L99" s="300">
        <v>6.100701322658125</v>
      </c>
      <c r="M99" s="300">
        <v>7.6591950291520394</v>
      </c>
      <c r="N99" s="300">
        <v>0.33436946532920864</v>
      </c>
      <c r="O99" s="300">
        <f t="shared" ref="O99:O100" si="151">SUM(L99:N99)</f>
        <v>14.094265817139373</v>
      </c>
      <c r="P99" s="300"/>
      <c r="Q99" s="300">
        <v>6.188878600274391</v>
      </c>
      <c r="R99" s="300">
        <v>7.6125261284243164</v>
      </c>
      <c r="S99" s="300">
        <v>0.35047350011748596</v>
      </c>
      <c r="T99" s="300">
        <f t="shared" ref="T99:T100" si="152">SUM(Q99:S99)</f>
        <v>14.151878228816193</v>
      </c>
      <c r="U99" s="300"/>
      <c r="V99" s="300">
        <v>6.789517690223966</v>
      </c>
      <c r="W99" s="300">
        <v>8.1780764464074167</v>
      </c>
      <c r="X99" s="300">
        <v>0.385765263743515</v>
      </c>
      <c r="Y99" s="300">
        <f t="shared" ref="Y99:Y100" si="153">SUM(V99:X99)</f>
        <v>15.353359400374899</v>
      </c>
    </row>
    <row r="100" spans="1:25" x14ac:dyDescent="0.2">
      <c r="A100" s="264" t="s">
        <v>363</v>
      </c>
      <c r="B100" s="301">
        <f>SUM(B98:B99)</f>
        <v>11.372629650950756</v>
      </c>
      <c r="C100" s="301">
        <f t="shared" ref="C100" si="154">SUM(C98:C99)</f>
        <v>20.050297726286367</v>
      </c>
      <c r="D100" s="301">
        <f t="shared" ref="D100" si="155">SUM(D98:D99)</f>
        <v>2.7240726227628436</v>
      </c>
      <c r="E100" s="301">
        <f t="shared" si="149"/>
        <v>34.146999999999963</v>
      </c>
      <c r="F100" s="301"/>
      <c r="G100" s="301">
        <f>SUM(G98:G99)</f>
        <v>12.360370804318537</v>
      </c>
      <c r="H100" s="301">
        <f t="shared" ref="H100" si="156">SUM(H98:H99)</f>
        <v>21.573395705377635</v>
      </c>
      <c r="I100" s="301">
        <f t="shared" ref="I100" si="157">SUM(I98:I99)</f>
        <v>1.5362334903038151</v>
      </c>
      <c r="J100" s="301">
        <f t="shared" si="150"/>
        <v>35.469999999999985</v>
      </c>
      <c r="K100" s="301"/>
      <c r="L100" s="301">
        <f>SUM(L98:L99)</f>
        <v>12.500200890947198</v>
      </c>
      <c r="M100" s="301">
        <f t="shared" ref="M100" si="158">SUM(M98:M99)</f>
        <v>20.279863784656591</v>
      </c>
      <c r="N100" s="301">
        <f t="shared" ref="N100" si="159">SUM(N98:N99)</f>
        <v>1.2829353243962462</v>
      </c>
      <c r="O100" s="301">
        <f t="shared" si="151"/>
        <v>34.063000000000038</v>
      </c>
      <c r="P100" s="301"/>
      <c r="Q100" s="301">
        <f>SUM(Q98:Q99)</f>
        <v>12.678922704761998</v>
      </c>
      <c r="R100" s="301">
        <f t="shared" ref="R100" si="160">SUM(R98:R99)</f>
        <v>20.44396523240485</v>
      </c>
      <c r="S100" s="301">
        <f t="shared" ref="S100" si="161">SUM(S98:S99)</f>
        <v>1.3591120628331872</v>
      </c>
      <c r="T100" s="301">
        <f t="shared" si="152"/>
        <v>34.482000000000042</v>
      </c>
      <c r="U100" s="301"/>
      <c r="V100" s="301">
        <f>SUM(V98:V99)</f>
        <v>13.856894276816808</v>
      </c>
      <c r="W100" s="301">
        <f t="shared" ref="W100" si="162">SUM(W98:W99)</f>
        <v>22.088188182195609</v>
      </c>
      <c r="X100" s="301">
        <f t="shared" ref="X100" si="163">SUM(X98:X99)</f>
        <v>1.4989175409875408</v>
      </c>
      <c r="Y100" s="301">
        <f t="shared" si="153"/>
        <v>37.44399999999996</v>
      </c>
    </row>
    <row r="101" spans="1:25" x14ac:dyDescent="0.2">
      <c r="C101" s="263"/>
    </row>
    <row r="102" spans="1:25" x14ac:dyDescent="0.2">
      <c r="C102" s="263"/>
    </row>
    <row r="103" spans="1:25" x14ac:dyDescent="0.2">
      <c r="C103" s="263"/>
    </row>
    <row r="104" spans="1:25" ht="15" x14ac:dyDescent="0.25">
      <c r="A104" s="265" t="str">
        <f>"Industry 12 : "&amp; name!B15</f>
        <v>Industry 12 : Media</v>
      </c>
      <c r="B104" s="374">
        <f>$B$5</f>
        <v>2015</v>
      </c>
      <c r="C104" s="374"/>
      <c r="D104" s="374"/>
      <c r="E104" s="374"/>
      <c r="F104" s="320"/>
      <c r="G104" s="374">
        <f>$G$5</f>
        <v>2019</v>
      </c>
      <c r="H104" s="374"/>
      <c r="I104" s="374"/>
      <c r="J104" s="374"/>
      <c r="K104" s="320"/>
      <c r="L104" s="374">
        <f>$L$5</f>
        <v>2020</v>
      </c>
      <c r="M104" s="374"/>
      <c r="N104" s="374"/>
      <c r="O104" s="374"/>
      <c r="P104" s="318"/>
      <c r="Q104" s="374">
        <f>$Q$5</f>
        <v>2025</v>
      </c>
      <c r="R104" s="374"/>
      <c r="S104" s="374"/>
      <c r="T104" s="374"/>
      <c r="U104" s="320"/>
      <c r="V104" s="374">
        <f>$V$5</f>
        <v>2035</v>
      </c>
      <c r="W104" s="374"/>
      <c r="X104" s="374"/>
      <c r="Y104" s="374"/>
    </row>
    <row r="105" spans="1:25" x14ac:dyDescent="0.2">
      <c r="A105" s="264"/>
      <c r="B105" s="268" t="str">
        <f>$B$6</f>
        <v>FT</v>
      </c>
      <c r="C105" s="268" t="str">
        <f>$C$6</f>
        <v>PT</v>
      </c>
      <c r="D105" s="268" t="str">
        <f>$D$6</f>
        <v>SE</v>
      </c>
      <c r="E105" s="268" t="str">
        <f>$E$6</f>
        <v>Total</v>
      </c>
      <c r="F105" s="268"/>
      <c r="G105" s="268" t="str">
        <f>$B$6</f>
        <v>FT</v>
      </c>
      <c r="H105" s="268" t="str">
        <f>$C$6</f>
        <v>PT</v>
      </c>
      <c r="I105" s="268" t="str">
        <f>$D$6</f>
        <v>SE</v>
      </c>
      <c r="J105" s="268" t="str">
        <f>$E$6</f>
        <v>Total</v>
      </c>
      <c r="K105" s="268"/>
      <c r="L105" s="268" t="str">
        <f>$L$6</f>
        <v>FT</v>
      </c>
      <c r="M105" s="268" t="str">
        <f>$M$6</f>
        <v>PT</v>
      </c>
      <c r="N105" s="268" t="str">
        <f>$N$6</f>
        <v>SE</v>
      </c>
      <c r="O105" s="268" t="str">
        <f>$O$6</f>
        <v>Total</v>
      </c>
      <c r="P105" s="268"/>
      <c r="Q105" s="268" t="str">
        <f>$L$6</f>
        <v>FT</v>
      </c>
      <c r="R105" s="268" t="str">
        <f>$M$6</f>
        <v>PT</v>
      </c>
      <c r="S105" s="268" t="str">
        <f>$N$6</f>
        <v>SE</v>
      </c>
      <c r="T105" s="268" t="str">
        <f>$O$6</f>
        <v>Total</v>
      </c>
      <c r="U105" s="268"/>
      <c r="V105" s="268" t="str">
        <f>$V$6</f>
        <v>FT</v>
      </c>
      <c r="W105" s="268" t="str">
        <f>$W$6</f>
        <v>PT</v>
      </c>
      <c r="X105" s="268" t="str">
        <f>$X$6</f>
        <v>SE</v>
      </c>
      <c r="Y105" s="268" t="str">
        <f>$Y$6</f>
        <v>Total</v>
      </c>
    </row>
    <row r="106" spans="1:25" x14ac:dyDescent="0.2">
      <c r="C106" s="319"/>
      <c r="D106" s="319"/>
      <c r="E106" s="319"/>
      <c r="F106" s="319"/>
      <c r="G106" s="319"/>
      <c r="H106" s="319"/>
      <c r="I106" s="319"/>
      <c r="J106" s="319"/>
      <c r="K106" s="319"/>
      <c r="L106" s="319"/>
      <c r="M106" s="319"/>
      <c r="N106" s="319"/>
      <c r="O106" s="319"/>
      <c r="P106" s="319"/>
      <c r="Q106" s="319"/>
      <c r="R106" s="319"/>
      <c r="S106" s="319"/>
      <c r="T106" s="319"/>
      <c r="U106" s="319"/>
      <c r="V106" s="319"/>
      <c r="W106" s="319"/>
      <c r="X106" s="319"/>
      <c r="Y106" s="319"/>
    </row>
    <row r="107" spans="1:25" x14ac:dyDescent="0.2">
      <c r="A107" s="260" t="s">
        <v>365</v>
      </c>
      <c r="B107" s="300">
        <v>0.33494207649575675</v>
      </c>
      <c r="C107" s="300">
        <v>0.23022513661315039</v>
      </c>
      <c r="D107" s="300">
        <v>0.24848087431107391</v>
      </c>
      <c r="E107" s="300">
        <f>SUM(B107:D107)</f>
        <v>0.81364808741998107</v>
      </c>
      <c r="F107" s="300"/>
      <c r="G107" s="300">
        <v>0.28989248236304005</v>
      </c>
      <c r="H107" s="300">
        <v>0.46156906932462188</v>
      </c>
      <c r="I107" s="300">
        <v>0.65633665923042883</v>
      </c>
      <c r="J107" s="300">
        <f>SUM(G107:I107)</f>
        <v>1.4077982109180907</v>
      </c>
      <c r="K107" s="300"/>
      <c r="L107" s="300">
        <v>0.25537083333209593</v>
      </c>
      <c r="M107" s="300">
        <v>0.57088888889813272</v>
      </c>
      <c r="N107" s="300">
        <v>0.28162152776832772</v>
      </c>
      <c r="O107" s="300">
        <f>SUM(L107:N107)</f>
        <v>1.1078812499985564</v>
      </c>
      <c r="P107" s="300"/>
      <c r="Q107" s="300">
        <v>0.24885801742763286</v>
      </c>
      <c r="R107" s="300">
        <v>0.56586484576693863</v>
      </c>
      <c r="S107" s="300">
        <v>0.27259524370900023</v>
      </c>
      <c r="T107" s="300">
        <f>SUM(Q107:S107)</f>
        <v>1.0873181069035718</v>
      </c>
      <c r="U107" s="300"/>
      <c r="V107" s="300">
        <v>0.25473754345749983</v>
      </c>
      <c r="W107" s="300">
        <v>0.57488412514426335</v>
      </c>
      <c r="X107" s="300">
        <v>0.26444669756918671</v>
      </c>
      <c r="Y107" s="300">
        <f>SUM(V107:X107)</f>
        <v>1.09406836617095</v>
      </c>
    </row>
    <row r="108" spans="1:25" x14ac:dyDescent="0.2">
      <c r="A108" s="260" t="s">
        <v>364</v>
      </c>
      <c r="B108" s="300">
        <v>0.45791475409551291</v>
      </c>
      <c r="C108" s="300">
        <v>0.18331803278531086</v>
      </c>
      <c r="D108" s="300">
        <v>0.63311912569919648</v>
      </c>
      <c r="E108" s="300">
        <f t="shared" ref="E108:E109" si="164">SUM(B108:D108)</f>
        <v>1.2743519125800202</v>
      </c>
      <c r="F108" s="300"/>
      <c r="G108" s="300">
        <v>0.58229485634979916</v>
      </c>
      <c r="H108" s="300">
        <v>0.18196714261114574</v>
      </c>
      <c r="I108" s="300">
        <v>0.74593979012096501</v>
      </c>
      <c r="J108" s="300">
        <f t="shared" ref="J108:J109" si="165">SUM(G108:I108)</f>
        <v>1.5102017890819099</v>
      </c>
      <c r="K108" s="300"/>
      <c r="L108" s="300">
        <v>0.58210277777424591</v>
      </c>
      <c r="M108" s="300">
        <v>0.27295625000210688</v>
      </c>
      <c r="N108" s="300">
        <v>0.23905972222509306</v>
      </c>
      <c r="O108" s="300">
        <f t="shared" ref="O108:O109" si="166">SUM(L108:N108)</f>
        <v>1.0941187500014458</v>
      </c>
      <c r="P108" s="300"/>
      <c r="Q108" s="300">
        <v>0.56586484576394547</v>
      </c>
      <c r="R108" s="300">
        <v>0.27974193548209603</v>
      </c>
      <c r="S108" s="300">
        <v>0.23507511185038335</v>
      </c>
      <c r="T108" s="300">
        <f t="shared" ref="T108:T109" si="167">SUM(Q108:S108)</f>
        <v>1.0806818930964248</v>
      </c>
      <c r="U108" s="300"/>
      <c r="V108" s="300">
        <v>0.56798551563244271</v>
      </c>
      <c r="W108" s="300">
        <v>0.30226129779682731</v>
      </c>
      <c r="X108" s="300">
        <v>0.2406848203997804</v>
      </c>
      <c r="Y108" s="300">
        <f t="shared" ref="Y108:Y109" si="168">SUM(V108:X108)</f>
        <v>1.1109316338290505</v>
      </c>
    </row>
    <row r="109" spans="1:25" x14ac:dyDescent="0.2">
      <c r="A109" s="264" t="s">
        <v>363</v>
      </c>
      <c r="B109" s="301">
        <f>SUM(B107:B108)</f>
        <v>0.79285683059126966</v>
      </c>
      <c r="C109" s="301">
        <f t="shared" ref="C109" si="169">SUM(C107:C108)</f>
        <v>0.41354316939846125</v>
      </c>
      <c r="D109" s="301">
        <f t="shared" ref="D109" si="170">SUM(D107:D108)</f>
        <v>0.88160000001027039</v>
      </c>
      <c r="E109" s="301">
        <f t="shared" si="164"/>
        <v>2.088000000000001</v>
      </c>
      <c r="F109" s="301"/>
      <c r="G109" s="301">
        <f>SUM(G107:G108)</f>
        <v>0.87218733871283916</v>
      </c>
      <c r="H109" s="301">
        <f t="shared" ref="H109" si="171">SUM(H107:H108)</f>
        <v>0.6435362119357676</v>
      </c>
      <c r="I109" s="301">
        <f t="shared" ref="I109" si="172">SUM(I107:I108)</f>
        <v>1.4022764493513939</v>
      </c>
      <c r="J109" s="301">
        <f t="shared" si="165"/>
        <v>2.9180000000000006</v>
      </c>
      <c r="K109" s="301"/>
      <c r="L109" s="301">
        <f>SUM(L107:L108)</f>
        <v>0.83747361110634189</v>
      </c>
      <c r="M109" s="301">
        <f t="shared" ref="M109" si="173">SUM(M107:M108)</f>
        <v>0.8438451389002396</v>
      </c>
      <c r="N109" s="301">
        <f t="shared" ref="N109" si="174">SUM(N107:N108)</f>
        <v>0.5206812499934208</v>
      </c>
      <c r="O109" s="301">
        <f t="shared" si="166"/>
        <v>2.2020000000000022</v>
      </c>
      <c r="P109" s="301"/>
      <c r="Q109" s="301">
        <f>SUM(Q107:Q108)</f>
        <v>0.81472286319157838</v>
      </c>
      <c r="R109" s="301">
        <f t="shared" ref="R109" si="175">SUM(R107:R108)</f>
        <v>0.84560678124903466</v>
      </c>
      <c r="S109" s="301">
        <f t="shared" ref="S109" si="176">SUM(S107:S108)</f>
        <v>0.50767035555938356</v>
      </c>
      <c r="T109" s="301">
        <f t="shared" si="167"/>
        <v>2.1679999999999966</v>
      </c>
      <c r="U109" s="301"/>
      <c r="V109" s="301">
        <f>SUM(V107:V108)</f>
        <v>0.82272305908994259</v>
      </c>
      <c r="W109" s="301">
        <f t="shared" ref="W109" si="177">SUM(W107:W108)</f>
        <v>0.87714542294109066</v>
      </c>
      <c r="X109" s="301">
        <f t="shared" ref="X109" si="178">SUM(X107:X108)</f>
        <v>0.50513151796896705</v>
      </c>
      <c r="Y109" s="301">
        <f t="shared" si="168"/>
        <v>2.2050000000000001</v>
      </c>
    </row>
    <row r="110" spans="1:25" x14ac:dyDescent="0.2">
      <c r="C110" s="263"/>
    </row>
    <row r="111" spans="1:25" x14ac:dyDescent="0.2">
      <c r="C111" s="263"/>
    </row>
    <row r="112" spans="1:25" x14ac:dyDescent="0.2">
      <c r="A112" s="262"/>
    </row>
    <row r="113" spans="1:25" ht="15" x14ac:dyDescent="0.25">
      <c r="A113" s="265" t="str">
        <f>"Industry 13 : "&amp; name!B16</f>
        <v>Industry 13 : Information technology</v>
      </c>
      <c r="B113" s="374">
        <f>$B$5</f>
        <v>2015</v>
      </c>
      <c r="C113" s="374"/>
      <c r="D113" s="374"/>
      <c r="E113" s="374"/>
      <c r="F113" s="320"/>
      <c r="G113" s="374">
        <f>$G$5</f>
        <v>2019</v>
      </c>
      <c r="H113" s="374"/>
      <c r="I113" s="374"/>
      <c r="J113" s="374"/>
      <c r="K113" s="320"/>
      <c r="L113" s="374">
        <f>$L$5</f>
        <v>2020</v>
      </c>
      <c r="M113" s="374"/>
      <c r="N113" s="374"/>
      <c r="O113" s="374"/>
      <c r="P113" s="318"/>
      <c r="Q113" s="374">
        <f>$Q$5</f>
        <v>2025</v>
      </c>
      <c r="R113" s="374"/>
      <c r="S113" s="374"/>
      <c r="T113" s="374"/>
      <c r="U113" s="320"/>
      <c r="V113" s="374">
        <f>$V$5</f>
        <v>2035</v>
      </c>
      <c r="W113" s="374"/>
      <c r="X113" s="374"/>
      <c r="Y113" s="374"/>
    </row>
    <row r="114" spans="1:25" x14ac:dyDescent="0.2">
      <c r="A114" s="264"/>
      <c r="B114" s="268" t="str">
        <f>$B$6</f>
        <v>FT</v>
      </c>
      <c r="C114" s="268" t="str">
        <f>$C$6</f>
        <v>PT</v>
      </c>
      <c r="D114" s="268" t="str">
        <f>$D$6</f>
        <v>SE</v>
      </c>
      <c r="E114" s="268" t="str">
        <f>$E$6</f>
        <v>Total</v>
      </c>
      <c r="F114" s="268"/>
      <c r="G114" s="268" t="str">
        <f>$B$6</f>
        <v>FT</v>
      </c>
      <c r="H114" s="268" t="str">
        <f>$C$6</f>
        <v>PT</v>
      </c>
      <c r="I114" s="268" t="str">
        <f>$D$6</f>
        <v>SE</v>
      </c>
      <c r="J114" s="268" t="str">
        <f>$E$6</f>
        <v>Total</v>
      </c>
      <c r="K114" s="268"/>
      <c r="L114" s="268" t="str">
        <f>$L$6</f>
        <v>FT</v>
      </c>
      <c r="M114" s="268" t="str">
        <f>$M$6</f>
        <v>PT</v>
      </c>
      <c r="N114" s="268" t="str">
        <f>$N$6</f>
        <v>SE</v>
      </c>
      <c r="O114" s="268" t="str">
        <f>$O$6</f>
        <v>Total</v>
      </c>
      <c r="P114" s="268"/>
      <c r="Q114" s="268" t="str">
        <f>$L$6</f>
        <v>FT</v>
      </c>
      <c r="R114" s="268" t="str">
        <f>$M$6</f>
        <v>PT</v>
      </c>
      <c r="S114" s="268" t="str">
        <f>$N$6</f>
        <v>SE</v>
      </c>
      <c r="T114" s="268" t="str">
        <f>$O$6</f>
        <v>Total</v>
      </c>
      <c r="U114" s="268"/>
      <c r="V114" s="268" t="str">
        <f>$V$6</f>
        <v>FT</v>
      </c>
      <c r="W114" s="268" t="str">
        <f>$W$6</f>
        <v>PT</v>
      </c>
      <c r="X114" s="268" t="str">
        <f>$X$6</f>
        <v>SE</v>
      </c>
      <c r="Y114" s="268" t="str">
        <f>$Y$6</f>
        <v>Total</v>
      </c>
    </row>
    <row r="115" spans="1:25" x14ac:dyDescent="0.2">
      <c r="C115" s="319"/>
      <c r="D115" s="319"/>
      <c r="E115" s="319"/>
      <c r="F115" s="319"/>
      <c r="G115" s="319"/>
      <c r="H115" s="319"/>
      <c r="I115" s="319"/>
      <c r="J115" s="319"/>
      <c r="K115" s="319"/>
      <c r="L115" s="319"/>
      <c r="M115" s="319"/>
      <c r="N115" s="319"/>
      <c r="O115" s="319"/>
      <c r="P115" s="319"/>
      <c r="Q115" s="319"/>
      <c r="R115" s="319"/>
      <c r="S115" s="319"/>
      <c r="T115" s="319"/>
      <c r="U115" s="319"/>
      <c r="V115" s="319"/>
      <c r="W115" s="319"/>
      <c r="X115" s="319"/>
      <c r="Y115" s="319"/>
    </row>
    <row r="116" spans="1:25" x14ac:dyDescent="0.2">
      <c r="A116" s="260" t="s">
        <v>365</v>
      </c>
      <c r="B116" s="300">
        <v>1.1138421192721446</v>
      </c>
      <c r="C116" s="300">
        <v>0.38507453995484459</v>
      </c>
      <c r="D116" s="300">
        <v>0.1199705751604289</v>
      </c>
      <c r="E116" s="300">
        <f>SUM(B116:D116)</f>
        <v>1.6188872343874181</v>
      </c>
      <c r="F116" s="300"/>
      <c r="G116" s="300">
        <v>0.9565343975870918</v>
      </c>
      <c r="H116" s="300">
        <v>0.49179146405991553</v>
      </c>
      <c r="I116" s="300">
        <v>5.9249162099674908E-2</v>
      </c>
      <c r="J116" s="300">
        <f>SUM(G116:I116)</f>
        <v>1.5075750237466823</v>
      </c>
      <c r="K116" s="300"/>
      <c r="L116" s="300">
        <v>0.94868735819611549</v>
      </c>
      <c r="M116" s="300">
        <v>0.40632944475813071</v>
      </c>
      <c r="N116" s="300">
        <v>7.7964681706757716E-2</v>
      </c>
      <c r="O116" s="300">
        <f>SUM(L116:N116)</f>
        <v>1.4329814846610038</v>
      </c>
      <c r="P116" s="300"/>
      <c r="Q116" s="300">
        <v>1.0499868251156619</v>
      </c>
      <c r="R116" s="300">
        <v>0.43357255160162583</v>
      </c>
      <c r="S116" s="300">
        <v>8.5773240195709963E-2</v>
      </c>
      <c r="T116" s="300">
        <f>SUM(Q116:S116)</f>
        <v>1.5693326169129975</v>
      </c>
      <c r="U116" s="300"/>
      <c r="V116" s="300">
        <v>1.1803383604282747</v>
      </c>
      <c r="W116" s="300">
        <v>0.45118413135496527</v>
      </c>
      <c r="X116" s="300">
        <v>9.2696110844292037E-2</v>
      </c>
      <c r="Y116" s="300">
        <f>SUM(V116:X116)</f>
        <v>1.7242186026275319</v>
      </c>
    </row>
    <row r="117" spans="1:25" x14ac:dyDescent="0.2">
      <c r="A117" s="260" t="s">
        <v>364</v>
      </c>
      <c r="B117" s="300">
        <v>3.1040895635371313</v>
      </c>
      <c r="C117" s="300">
        <v>0.1561048537645226</v>
      </c>
      <c r="D117" s="300">
        <v>0.48691834831093977</v>
      </c>
      <c r="E117" s="300">
        <f t="shared" ref="E117:E118" si="179">SUM(B117:D117)</f>
        <v>3.7471127656125938</v>
      </c>
      <c r="F117" s="300"/>
      <c r="G117" s="300">
        <v>4.0566941123887652</v>
      </c>
      <c r="H117" s="300">
        <v>0.12868543309409344</v>
      </c>
      <c r="I117" s="300">
        <v>0.3510454307704633</v>
      </c>
      <c r="J117" s="300">
        <f t="shared" ref="J117:J118" si="180">SUM(G117:I117)</f>
        <v>4.536424976253322</v>
      </c>
      <c r="K117" s="300"/>
      <c r="L117" s="300">
        <v>3.6477169399232632</v>
      </c>
      <c r="M117" s="300">
        <v>0.20825701014877399</v>
      </c>
      <c r="N117" s="300">
        <v>0.18004456526695914</v>
      </c>
      <c r="O117" s="300">
        <f t="shared" ref="O117:O118" si="181">SUM(L117:N117)</f>
        <v>4.0360185153389967</v>
      </c>
      <c r="P117" s="300"/>
      <c r="Q117" s="300">
        <v>3.9165073337258423</v>
      </c>
      <c r="R117" s="300">
        <v>0.22696375902965463</v>
      </c>
      <c r="S117" s="300">
        <v>0.19919629033150868</v>
      </c>
      <c r="T117" s="300">
        <f t="shared" ref="T117:T118" si="182">SUM(Q117:S117)</f>
        <v>4.3426673830870053</v>
      </c>
      <c r="U117" s="300"/>
      <c r="V117" s="300">
        <v>4.1756996767777093</v>
      </c>
      <c r="W117" s="300">
        <v>0.2465196315150005</v>
      </c>
      <c r="X117" s="300">
        <v>0.21956208907975169</v>
      </c>
      <c r="Y117" s="300">
        <f t="shared" ref="Y117:Y118" si="183">SUM(V117:X117)</f>
        <v>4.6417813973724611</v>
      </c>
    </row>
    <row r="118" spans="1:25" x14ac:dyDescent="0.2">
      <c r="A118" s="264" t="s">
        <v>363</v>
      </c>
      <c r="B118" s="301">
        <f>SUM(B116:B117)</f>
        <v>4.2179316828092759</v>
      </c>
      <c r="C118" s="301">
        <f t="shared" ref="C118" si="184">SUM(C116:C117)</f>
        <v>0.54117939371936719</v>
      </c>
      <c r="D118" s="301">
        <f t="shared" ref="D118" si="185">SUM(D116:D117)</f>
        <v>0.60688892347136869</v>
      </c>
      <c r="E118" s="301">
        <f t="shared" si="179"/>
        <v>5.3660000000000112</v>
      </c>
      <c r="F118" s="301"/>
      <c r="G118" s="301">
        <f>SUM(G116:G117)</f>
        <v>5.0132285099758569</v>
      </c>
      <c r="H118" s="301">
        <f t="shared" ref="H118" si="186">SUM(H116:H117)</f>
        <v>0.620476897154009</v>
      </c>
      <c r="I118" s="301">
        <f t="shared" ref="I118" si="187">SUM(I116:I117)</f>
        <v>0.4102945928701382</v>
      </c>
      <c r="J118" s="301">
        <f t="shared" si="180"/>
        <v>6.044000000000004</v>
      </c>
      <c r="K118" s="301"/>
      <c r="L118" s="301">
        <f>SUM(L116:L117)</f>
        <v>4.5964042981193787</v>
      </c>
      <c r="M118" s="301">
        <f t="shared" ref="M118" si="188">SUM(M116:M117)</f>
        <v>0.61458645490690467</v>
      </c>
      <c r="N118" s="301">
        <f t="shared" ref="N118" si="189">SUM(N116:N117)</f>
        <v>0.25800924697371685</v>
      </c>
      <c r="O118" s="301">
        <f t="shared" si="181"/>
        <v>5.4690000000000003</v>
      </c>
      <c r="P118" s="301"/>
      <c r="Q118" s="301">
        <f>SUM(Q116:Q117)</f>
        <v>4.9664941588415044</v>
      </c>
      <c r="R118" s="301">
        <f t="shared" ref="R118" si="190">SUM(R116:R117)</f>
        <v>0.66053631063128049</v>
      </c>
      <c r="S118" s="301">
        <f t="shared" ref="S118" si="191">SUM(S116:S117)</f>
        <v>0.28496953052721863</v>
      </c>
      <c r="T118" s="301">
        <f t="shared" si="182"/>
        <v>5.9120000000000035</v>
      </c>
      <c r="U118" s="301"/>
      <c r="V118" s="301">
        <f>SUM(V116:V117)</f>
        <v>5.3560380372059839</v>
      </c>
      <c r="W118" s="301">
        <f t="shared" ref="W118" si="192">SUM(W116:W117)</f>
        <v>0.69770376286996583</v>
      </c>
      <c r="X118" s="301">
        <f t="shared" ref="X118" si="193">SUM(X116:X117)</f>
        <v>0.31225819992404374</v>
      </c>
      <c r="Y118" s="301">
        <f t="shared" si="183"/>
        <v>6.3659999999999934</v>
      </c>
    </row>
    <row r="119" spans="1:25" x14ac:dyDescent="0.2">
      <c r="A119" s="262"/>
    </row>
    <row r="120" spans="1:25" x14ac:dyDescent="0.2">
      <c r="A120" s="261"/>
    </row>
    <row r="121" spans="1:25" x14ac:dyDescent="0.2">
      <c r="C121" s="263"/>
    </row>
    <row r="122" spans="1:25" ht="15" x14ac:dyDescent="0.25">
      <c r="A122" s="265" t="str">
        <f>"Industry 14 : "&amp; name!B17</f>
        <v>Industry 14 : Finance and insurance</v>
      </c>
      <c r="B122" s="374">
        <f>$B$5</f>
        <v>2015</v>
      </c>
      <c r="C122" s="374"/>
      <c r="D122" s="374"/>
      <c r="E122" s="374"/>
      <c r="F122" s="320"/>
      <c r="G122" s="374">
        <f>$G$5</f>
        <v>2019</v>
      </c>
      <c r="H122" s="374"/>
      <c r="I122" s="374"/>
      <c r="J122" s="374"/>
      <c r="K122" s="320"/>
      <c r="L122" s="374">
        <f>$L$5</f>
        <v>2020</v>
      </c>
      <c r="M122" s="374"/>
      <c r="N122" s="374"/>
      <c r="O122" s="374"/>
      <c r="P122" s="318"/>
      <c r="Q122" s="374">
        <f>$Q$5</f>
        <v>2025</v>
      </c>
      <c r="R122" s="374"/>
      <c r="S122" s="374"/>
      <c r="T122" s="374"/>
      <c r="U122" s="320"/>
      <c r="V122" s="374">
        <f>$V$5</f>
        <v>2035</v>
      </c>
      <c r="W122" s="374"/>
      <c r="X122" s="374"/>
      <c r="Y122" s="374"/>
    </row>
    <row r="123" spans="1:25" x14ac:dyDescent="0.2">
      <c r="A123" s="264"/>
      <c r="B123" s="268" t="str">
        <f>$B$6</f>
        <v>FT</v>
      </c>
      <c r="C123" s="268" t="str">
        <f>$C$6</f>
        <v>PT</v>
      </c>
      <c r="D123" s="268" t="str">
        <f>$D$6</f>
        <v>SE</v>
      </c>
      <c r="E123" s="268" t="str">
        <f>$E$6</f>
        <v>Total</v>
      </c>
      <c r="F123" s="268"/>
      <c r="G123" s="268" t="str">
        <f>$B$6</f>
        <v>FT</v>
      </c>
      <c r="H123" s="268" t="str">
        <f>$C$6</f>
        <v>PT</v>
      </c>
      <c r="I123" s="268" t="str">
        <f>$D$6</f>
        <v>SE</v>
      </c>
      <c r="J123" s="268" t="str">
        <f>$E$6</f>
        <v>Total</v>
      </c>
      <c r="K123" s="268"/>
      <c r="L123" s="268" t="str">
        <f>$L$6</f>
        <v>FT</v>
      </c>
      <c r="M123" s="268" t="str">
        <f>$M$6</f>
        <v>PT</v>
      </c>
      <c r="N123" s="268" t="str">
        <f>$N$6</f>
        <v>SE</v>
      </c>
      <c r="O123" s="268" t="str">
        <f>$O$6</f>
        <v>Total</v>
      </c>
      <c r="P123" s="268"/>
      <c r="Q123" s="268" t="str">
        <f>$L$6</f>
        <v>FT</v>
      </c>
      <c r="R123" s="268" t="str">
        <f>$M$6</f>
        <v>PT</v>
      </c>
      <c r="S123" s="268" t="str">
        <f>$N$6</f>
        <v>SE</v>
      </c>
      <c r="T123" s="268" t="str">
        <f>$O$6</f>
        <v>Total</v>
      </c>
      <c r="U123" s="268"/>
      <c r="V123" s="268" t="str">
        <f>$V$6</f>
        <v>FT</v>
      </c>
      <c r="W123" s="268" t="str">
        <f>$W$6</f>
        <v>PT</v>
      </c>
      <c r="X123" s="268" t="str">
        <f>$X$6</f>
        <v>SE</v>
      </c>
      <c r="Y123" s="268" t="str">
        <f>$Y$6</f>
        <v>Total</v>
      </c>
    </row>
    <row r="124" spans="1:25" x14ac:dyDescent="0.2">
      <c r="C124" s="319"/>
      <c r="D124" s="319"/>
      <c r="E124" s="319"/>
      <c r="F124" s="319"/>
      <c r="G124" s="319"/>
      <c r="H124" s="319"/>
      <c r="I124" s="319"/>
      <c r="J124" s="319"/>
      <c r="K124" s="319"/>
      <c r="L124" s="319"/>
      <c r="M124" s="319"/>
      <c r="N124" s="319"/>
      <c r="O124" s="319"/>
      <c r="P124" s="319"/>
      <c r="Q124" s="319"/>
      <c r="R124" s="319"/>
      <c r="S124" s="319"/>
      <c r="T124" s="319"/>
      <c r="U124" s="319"/>
      <c r="V124" s="319"/>
      <c r="W124" s="319"/>
      <c r="X124" s="319"/>
      <c r="Y124" s="319"/>
    </row>
    <row r="125" spans="1:25" x14ac:dyDescent="0.2">
      <c r="A125" s="260" t="s">
        <v>365</v>
      </c>
      <c r="B125" s="300">
        <v>1.9494316766837456</v>
      </c>
      <c r="C125" s="300">
        <v>1.0138580867625073</v>
      </c>
      <c r="D125" s="300">
        <v>0.33263525806955374</v>
      </c>
      <c r="E125" s="300">
        <f>SUM(B125:D125)</f>
        <v>3.2959250215158065</v>
      </c>
      <c r="F125" s="300"/>
      <c r="G125" s="300">
        <v>1.5236255150236098</v>
      </c>
      <c r="H125" s="300">
        <v>0.61881074766753774</v>
      </c>
      <c r="I125" s="300">
        <v>0.17164752286565924</v>
      </c>
      <c r="J125" s="300">
        <f>SUM(G125:I125)</f>
        <v>2.3140837855568068</v>
      </c>
      <c r="K125" s="300"/>
      <c r="L125" s="300">
        <v>1.6611048516726397</v>
      </c>
      <c r="M125" s="300">
        <v>0.67964347303015782</v>
      </c>
      <c r="N125" s="300">
        <v>0.16717260096468406</v>
      </c>
      <c r="O125" s="300">
        <f>SUM(L125:N125)</f>
        <v>2.5079209256674817</v>
      </c>
      <c r="P125" s="300"/>
      <c r="Q125" s="300">
        <v>1.6342963047317063</v>
      </c>
      <c r="R125" s="300">
        <v>0.66162784058387447</v>
      </c>
      <c r="S125" s="300">
        <v>0.17196103042715674</v>
      </c>
      <c r="T125" s="300">
        <f>SUM(Q125:S125)</f>
        <v>2.4678851757427376</v>
      </c>
      <c r="U125" s="300"/>
      <c r="V125" s="300">
        <v>1.5376992072151394</v>
      </c>
      <c r="W125" s="300">
        <v>0.61668843531203954</v>
      </c>
      <c r="X125" s="300">
        <v>0.16467368725359566</v>
      </c>
      <c r="Y125" s="300">
        <f>SUM(V125:X125)</f>
        <v>2.3190613297807747</v>
      </c>
    </row>
    <row r="126" spans="1:25" x14ac:dyDescent="0.2">
      <c r="A126" s="260" t="s">
        <v>364</v>
      </c>
      <c r="B126" s="300">
        <v>2.1302245523430221</v>
      </c>
      <c r="C126" s="300">
        <v>6.1593651249554224E-2</v>
      </c>
      <c r="D126" s="300">
        <v>0.68225677489161474</v>
      </c>
      <c r="E126" s="300">
        <f t="shared" ref="E126:E127" si="194">SUM(B126:D126)</f>
        <v>2.8740749784841908</v>
      </c>
      <c r="F126" s="300"/>
      <c r="G126" s="300">
        <v>1.9049266154069382</v>
      </c>
      <c r="H126" s="300">
        <v>7.7252663049465861E-2</v>
      </c>
      <c r="I126" s="300">
        <v>0.19273693598678959</v>
      </c>
      <c r="J126" s="300">
        <f t="shared" ref="J126:J127" si="195">SUM(G126:I126)</f>
        <v>2.1749162144431935</v>
      </c>
      <c r="K126" s="300"/>
      <c r="L126" s="300">
        <v>2.0450154574561012</v>
      </c>
      <c r="M126" s="300">
        <v>0.10256055664914429</v>
      </c>
      <c r="N126" s="300">
        <v>0.29750306022726708</v>
      </c>
      <c r="O126" s="300">
        <f t="shared" ref="O126:O127" si="196">SUM(L126:N126)</f>
        <v>2.4450790743325124</v>
      </c>
      <c r="P126" s="300"/>
      <c r="Q126" s="300">
        <v>2.0207642793541747</v>
      </c>
      <c r="R126" s="300">
        <v>0.10564272605665516</v>
      </c>
      <c r="S126" s="300">
        <v>0.30870781884642662</v>
      </c>
      <c r="T126" s="300">
        <f t="shared" ref="T126:T127" si="197">SUM(Q126:S126)</f>
        <v>2.4351148242572567</v>
      </c>
      <c r="U126" s="300"/>
      <c r="V126" s="300">
        <v>1.9072653926251619</v>
      </c>
      <c r="W126" s="300">
        <v>0.10646813022631681</v>
      </c>
      <c r="X126" s="300">
        <v>0.30320514736773901</v>
      </c>
      <c r="Y126" s="300">
        <f t="shared" ref="Y126:Y127" si="198">SUM(V126:X126)</f>
        <v>2.3169386702192178</v>
      </c>
    </row>
    <row r="127" spans="1:25" x14ac:dyDescent="0.2">
      <c r="A127" s="264" t="s">
        <v>363</v>
      </c>
      <c r="B127" s="301">
        <f>SUM(B125:B126)</f>
        <v>4.0796562290267673</v>
      </c>
      <c r="C127" s="301">
        <f t="shared" ref="C127" si="199">SUM(C125:C126)</f>
        <v>1.0754517380120616</v>
      </c>
      <c r="D127" s="301">
        <f t="shared" ref="D127" si="200">SUM(D125:D126)</f>
        <v>1.0148920329611686</v>
      </c>
      <c r="E127" s="301">
        <f t="shared" si="194"/>
        <v>6.1699999999999973</v>
      </c>
      <c r="F127" s="301"/>
      <c r="G127" s="301">
        <f>SUM(G125:G126)</f>
        <v>3.428552130430548</v>
      </c>
      <c r="H127" s="301">
        <f t="shared" ref="H127" si="201">SUM(H125:H126)</f>
        <v>0.69606341071700362</v>
      </c>
      <c r="I127" s="301">
        <f t="shared" ref="I127" si="202">SUM(I125:I126)</f>
        <v>0.36438445885244886</v>
      </c>
      <c r="J127" s="301">
        <f t="shared" si="195"/>
        <v>4.4890000000000008</v>
      </c>
      <c r="K127" s="301"/>
      <c r="L127" s="301">
        <f>SUM(L125:L126)</f>
        <v>3.7061203091287407</v>
      </c>
      <c r="M127" s="301">
        <f t="shared" ref="M127" si="203">SUM(M125:M126)</f>
        <v>0.78220402967930214</v>
      </c>
      <c r="N127" s="301">
        <f t="shared" ref="N127" si="204">SUM(N125:N126)</f>
        <v>0.46467566119195114</v>
      </c>
      <c r="O127" s="301">
        <f t="shared" si="196"/>
        <v>4.9529999999999941</v>
      </c>
      <c r="P127" s="301"/>
      <c r="Q127" s="301">
        <f>SUM(Q125:Q126)</f>
        <v>3.6550605840858807</v>
      </c>
      <c r="R127" s="301">
        <f t="shared" ref="R127" si="205">SUM(R125:R126)</f>
        <v>0.76727056664052962</v>
      </c>
      <c r="S127" s="301">
        <f t="shared" ref="S127" si="206">SUM(S125:S126)</f>
        <v>0.48066884927358333</v>
      </c>
      <c r="T127" s="301">
        <f t="shared" si="197"/>
        <v>4.9029999999999943</v>
      </c>
      <c r="U127" s="301"/>
      <c r="V127" s="301">
        <f>SUM(V125:V126)</f>
        <v>3.4449645998403016</v>
      </c>
      <c r="W127" s="301">
        <f t="shared" ref="W127" si="207">SUM(W125:W126)</f>
        <v>0.72315656553835639</v>
      </c>
      <c r="X127" s="301">
        <f t="shared" ref="X127" si="208">SUM(X125:X126)</f>
        <v>0.46787883462133467</v>
      </c>
      <c r="Y127" s="301">
        <f t="shared" si="198"/>
        <v>4.6359999999999921</v>
      </c>
    </row>
    <row r="131" spans="1:25" ht="15" x14ac:dyDescent="0.25">
      <c r="A131" s="265" t="str">
        <f>"Industry 15 : "&amp; name!B18</f>
        <v>Industry 15 : Real estate</v>
      </c>
      <c r="B131" s="374">
        <f>$B$5</f>
        <v>2015</v>
      </c>
      <c r="C131" s="374"/>
      <c r="D131" s="374"/>
      <c r="E131" s="374"/>
      <c r="F131" s="320"/>
      <c r="G131" s="374">
        <f>$G$5</f>
        <v>2019</v>
      </c>
      <c r="H131" s="374"/>
      <c r="I131" s="374"/>
      <c r="J131" s="374"/>
      <c r="K131" s="320"/>
      <c r="L131" s="374">
        <f>$L$5</f>
        <v>2020</v>
      </c>
      <c r="M131" s="374"/>
      <c r="N131" s="374"/>
      <c r="O131" s="374"/>
      <c r="P131" s="318"/>
      <c r="Q131" s="374">
        <f>$Q$5</f>
        <v>2025</v>
      </c>
      <c r="R131" s="374"/>
      <c r="S131" s="374"/>
      <c r="T131" s="374"/>
      <c r="U131" s="320"/>
      <c r="V131" s="374">
        <f>$V$5</f>
        <v>2035</v>
      </c>
      <c r="W131" s="374"/>
      <c r="X131" s="374"/>
      <c r="Y131" s="374"/>
    </row>
    <row r="132" spans="1:25" x14ac:dyDescent="0.2">
      <c r="A132" s="264"/>
      <c r="B132" s="268" t="str">
        <f>$B$6</f>
        <v>FT</v>
      </c>
      <c r="C132" s="268" t="str">
        <f>$C$6</f>
        <v>PT</v>
      </c>
      <c r="D132" s="268" t="str">
        <f>$D$6</f>
        <v>SE</v>
      </c>
      <c r="E132" s="268" t="str">
        <f>$E$6</f>
        <v>Total</v>
      </c>
      <c r="F132" s="268"/>
      <c r="G132" s="268" t="str">
        <f>$B$6</f>
        <v>FT</v>
      </c>
      <c r="H132" s="268" t="str">
        <f>$C$6</f>
        <v>PT</v>
      </c>
      <c r="I132" s="268" t="str">
        <f>$D$6</f>
        <v>SE</v>
      </c>
      <c r="J132" s="268" t="str">
        <f>$E$6</f>
        <v>Total</v>
      </c>
      <c r="K132" s="268"/>
      <c r="L132" s="268" t="str">
        <f>$L$6</f>
        <v>FT</v>
      </c>
      <c r="M132" s="268" t="str">
        <f>$M$6</f>
        <v>PT</v>
      </c>
      <c r="N132" s="268" t="str">
        <f>$N$6</f>
        <v>SE</v>
      </c>
      <c r="O132" s="268" t="str">
        <f>$O$6</f>
        <v>Total</v>
      </c>
      <c r="P132" s="268"/>
      <c r="Q132" s="268" t="str">
        <f>$L$6</f>
        <v>FT</v>
      </c>
      <c r="R132" s="268" t="str">
        <f>$M$6</f>
        <v>PT</v>
      </c>
      <c r="S132" s="268" t="str">
        <f>$N$6</f>
        <v>SE</v>
      </c>
      <c r="T132" s="268" t="str">
        <f>$O$6</f>
        <v>Total</v>
      </c>
      <c r="U132" s="268"/>
      <c r="V132" s="268" t="str">
        <f>$V$6</f>
        <v>FT</v>
      </c>
      <c r="W132" s="268" t="str">
        <f>$W$6</f>
        <v>PT</v>
      </c>
      <c r="X132" s="268" t="str">
        <f>$X$6</f>
        <v>SE</v>
      </c>
      <c r="Y132" s="268" t="str">
        <f>$Y$6</f>
        <v>Total</v>
      </c>
    </row>
    <row r="133" spans="1:25" x14ac:dyDescent="0.2">
      <c r="C133" s="319"/>
      <c r="D133" s="319"/>
      <c r="E133" s="319"/>
      <c r="F133" s="319"/>
      <c r="G133" s="319"/>
      <c r="H133" s="319"/>
      <c r="I133" s="319"/>
      <c r="J133" s="319"/>
      <c r="K133" s="319"/>
      <c r="L133" s="319"/>
      <c r="M133" s="319"/>
      <c r="N133" s="319"/>
      <c r="O133" s="319"/>
      <c r="P133" s="319"/>
      <c r="Q133" s="319"/>
      <c r="R133" s="319"/>
      <c r="S133" s="319"/>
      <c r="T133" s="319"/>
      <c r="U133" s="319"/>
      <c r="V133" s="319"/>
      <c r="W133" s="319"/>
      <c r="X133" s="319"/>
      <c r="Y133" s="319"/>
    </row>
    <row r="134" spans="1:25" x14ac:dyDescent="0.2">
      <c r="A134" s="260" t="s">
        <v>365</v>
      </c>
      <c r="B134" s="300">
        <v>1.5767924611481652</v>
      </c>
      <c r="C134" s="300">
        <v>1.3631515865491834</v>
      </c>
      <c r="D134" s="300">
        <v>0.32099065007842609</v>
      </c>
      <c r="E134" s="300">
        <f>SUM(B134:D134)</f>
        <v>3.2609346977757747</v>
      </c>
      <c r="F134" s="300"/>
      <c r="G134" s="300">
        <v>1.8326516380034612</v>
      </c>
      <c r="H134" s="300">
        <v>1.6849253162507867</v>
      </c>
      <c r="I134" s="300">
        <v>0.64776743433143347</v>
      </c>
      <c r="J134" s="300">
        <f>SUM(G134:I134)</f>
        <v>4.165344388585682</v>
      </c>
      <c r="K134" s="300"/>
      <c r="L134" s="300">
        <v>2.3603294824461205</v>
      </c>
      <c r="M134" s="300">
        <v>1.081924856251429</v>
      </c>
      <c r="N134" s="300">
        <v>0.13929683591416997</v>
      </c>
      <c r="O134" s="300">
        <f>SUM(L134:N134)</f>
        <v>3.581551174611719</v>
      </c>
      <c r="P134" s="300"/>
      <c r="Q134" s="300">
        <v>2.2499105060831162</v>
      </c>
      <c r="R134" s="300">
        <v>0.95252676681248427</v>
      </c>
      <c r="S134" s="300">
        <v>0.1299517275048177</v>
      </c>
      <c r="T134" s="300">
        <f>SUM(Q134:S134)</f>
        <v>3.3323890004004184</v>
      </c>
      <c r="U134" s="300"/>
      <c r="V134" s="300">
        <v>2.552585152880412</v>
      </c>
      <c r="W134" s="300">
        <v>0.92397260816848104</v>
      </c>
      <c r="X134" s="300">
        <v>0.13876935291685366</v>
      </c>
      <c r="Y134" s="300">
        <f>SUM(V134:X134)</f>
        <v>3.6153271139657468</v>
      </c>
    </row>
    <row r="135" spans="1:25" x14ac:dyDescent="0.2">
      <c r="A135" s="260" t="s">
        <v>364</v>
      </c>
      <c r="B135" s="300">
        <v>1.9346250460176548</v>
      </c>
      <c r="C135" s="300">
        <v>0.13699271147825248</v>
      </c>
      <c r="D135" s="300">
        <v>0.41944754472832224</v>
      </c>
      <c r="E135" s="300">
        <f t="shared" ref="E135:E136" si="209">SUM(B135:D135)</f>
        <v>2.4910653022242295</v>
      </c>
      <c r="F135" s="300"/>
      <c r="G135" s="300">
        <v>1.5133783652211463</v>
      </c>
      <c r="H135" s="300">
        <v>0.60339190723085723</v>
      </c>
      <c r="I135" s="300">
        <v>0.82488533896231342</v>
      </c>
      <c r="J135" s="300">
        <f t="shared" ref="J135:J136" si="210">SUM(G135:I135)</f>
        <v>2.9416556114143169</v>
      </c>
      <c r="K135" s="300"/>
      <c r="L135" s="300">
        <v>2.6226982387214903</v>
      </c>
      <c r="M135" s="300">
        <v>0.32528977023456201</v>
      </c>
      <c r="N135" s="300">
        <v>1.1434608164322251</v>
      </c>
      <c r="O135" s="300">
        <f t="shared" ref="O135:O136" si="211">SUM(L135:N135)</f>
        <v>4.0914488253882775</v>
      </c>
      <c r="P135" s="300"/>
      <c r="Q135" s="300">
        <v>2.4124471443031399</v>
      </c>
      <c r="R135" s="300">
        <v>0.30005272007024131</v>
      </c>
      <c r="S135" s="300">
        <v>1.1071111352261989</v>
      </c>
      <c r="T135" s="300">
        <f t="shared" ref="T135:T136" si="212">SUM(Q135:S135)</f>
        <v>3.8196109995995799</v>
      </c>
      <c r="U135" s="300"/>
      <c r="V135" s="300">
        <v>2.5550907105661511</v>
      </c>
      <c r="W135" s="300">
        <v>0.32360242159039154</v>
      </c>
      <c r="X135" s="300">
        <v>1.2739797538777102</v>
      </c>
      <c r="Y135" s="300">
        <f t="shared" ref="Y135:Y136" si="213">SUM(V135:X135)</f>
        <v>4.152672886034253</v>
      </c>
    </row>
    <row r="136" spans="1:25" x14ac:dyDescent="0.2">
      <c r="A136" s="264" t="s">
        <v>363</v>
      </c>
      <c r="B136" s="301">
        <f>SUM(B134:B135)</f>
        <v>3.5114175071658202</v>
      </c>
      <c r="C136" s="301">
        <f t="shared" ref="C136" si="214">SUM(C134:C135)</f>
        <v>1.500144298027436</v>
      </c>
      <c r="D136" s="301">
        <f t="shared" ref="D136" si="215">SUM(D134:D135)</f>
        <v>0.74043819480674833</v>
      </c>
      <c r="E136" s="301">
        <f t="shared" si="209"/>
        <v>5.7520000000000051</v>
      </c>
      <c r="F136" s="301"/>
      <c r="G136" s="301">
        <f>SUM(G134:G135)</f>
        <v>3.3460300032246075</v>
      </c>
      <c r="H136" s="301">
        <f t="shared" ref="H136" si="216">SUM(H134:H135)</f>
        <v>2.288317223481644</v>
      </c>
      <c r="I136" s="301">
        <f t="shared" ref="I136" si="217">SUM(I134:I135)</f>
        <v>1.4726527732937469</v>
      </c>
      <c r="J136" s="301">
        <f t="shared" si="210"/>
        <v>7.1069999999999993</v>
      </c>
      <c r="K136" s="301"/>
      <c r="L136" s="301">
        <f>SUM(L134:L135)</f>
        <v>4.9830277211676108</v>
      </c>
      <c r="M136" s="301">
        <f t="shared" ref="M136" si="218">SUM(M134:M135)</f>
        <v>1.407214626485991</v>
      </c>
      <c r="N136" s="301">
        <f t="shared" ref="N136" si="219">SUM(N134:N135)</f>
        <v>1.282757652346395</v>
      </c>
      <c r="O136" s="301">
        <f t="shared" si="211"/>
        <v>7.6729999999999965</v>
      </c>
      <c r="P136" s="301"/>
      <c r="Q136" s="301">
        <f>SUM(Q134:Q135)</f>
        <v>4.662357650386256</v>
      </c>
      <c r="R136" s="301">
        <f t="shared" ref="R136" si="220">SUM(R134:R135)</f>
        <v>1.2525794868827256</v>
      </c>
      <c r="S136" s="301">
        <f t="shared" ref="S136" si="221">SUM(S134:S135)</f>
        <v>1.2370628627310165</v>
      </c>
      <c r="T136" s="301">
        <f t="shared" si="212"/>
        <v>7.1519999999999984</v>
      </c>
      <c r="U136" s="301"/>
      <c r="V136" s="301">
        <f>SUM(V134:V135)</f>
        <v>5.1076758634465627</v>
      </c>
      <c r="W136" s="301">
        <f t="shared" ref="W136" si="222">SUM(W134:W135)</f>
        <v>1.2475750297588726</v>
      </c>
      <c r="X136" s="301">
        <f t="shared" ref="X136" si="223">SUM(X134:X135)</f>
        <v>1.4127491067945639</v>
      </c>
      <c r="Y136" s="301">
        <f t="shared" si="213"/>
        <v>7.7679999999999989</v>
      </c>
    </row>
    <row r="137" spans="1:25" x14ac:dyDescent="0.2">
      <c r="C137" s="263"/>
    </row>
    <row r="138" spans="1:25" x14ac:dyDescent="0.2">
      <c r="A138" s="261"/>
    </row>
    <row r="139" spans="1:25" x14ac:dyDescent="0.2">
      <c r="C139" s="263"/>
    </row>
    <row r="140" spans="1:25" ht="15" x14ac:dyDescent="0.25">
      <c r="A140" s="265" t="str">
        <f>"Industry 16 : "&amp; name!B19</f>
        <v>Industry 16 : Professional services</v>
      </c>
      <c r="B140" s="374">
        <f>$B$5</f>
        <v>2015</v>
      </c>
      <c r="C140" s="374"/>
      <c r="D140" s="374"/>
      <c r="E140" s="374"/>
      <c r="F140" s="320"/>
      <c r="G140" s="374">
        <f>$G$5</f>
        <v>2019</v>
      </c>
      <c r="H140" s="374"/>
      <c r="I140" s="374"/>
      <c r="J140" s="374"/>
      <c r="K140" s="320"/>
      <c r="L140" s="374">
        <f>$L$5</f>
        <v>2020</v>
      </c>
      <c r="M140" s="374"/>
      <c r="N140" s="374"/>
      <c r="O140" s="374"/>
      <c r="P140" s="318"/>
      <c r="Q140" s="374">
        <f>$Q$5</f>
        <v>2025</v>
      </c>
      <c r="R140" s="374"/>
      <c r="S140" s="374"/>
      <c r="T140" s="374"/>
      <c r="U140" s="320"/>
      <c r="V140" s="374">
        <f>$V$5</f>
        <v>2035</v>
      </c>
      <c r="W140" s="374"/>
      <c r="X140" s="374"/>
      <c r="Y140" s="374"/>
    </row>
    <row r="141" spans="1:25" x14ac:dyDescent="0.2">
      <c r="A141" s="264"/>
      <c r="B141" s="268" t="str">
        <f>$B$6</f>
        <v>FT</v>
      </c>
      <c r="C141" s="268" t="str">
        <f>$C$6</f>
        <v>PT</v>
      </c>
      <c r="D141" s="268" t="str">
        <f>$D$6</f>
        <v>SE</v>
      </c>
      <c r="E141" s="268" t="str">
        <f>$E$6</f>
        <v>Total</v>
      </c>
      <c r="F141" s="268"/>
      <c r="G141" s="268" t="str">
        <f>$B$6</f>
        <v>FT</v>
      </c>
      <c r="H141" s="268" t="str">
        <f>$C$6</f>
        <v>PT</v>
      </c>
      <c r="I141" s="268" t="str">
        <f>$D$6</f>
        <v>SE</v>
      </c>
      <c r="J141" s="268" t="str">
        <f>$E$6</f>
        <v>Total</v>
      </c>
      <c r="K141" s="268"/>
      <c r="L141" s="268" t="str">
        <f>$L$6</f>
        <v>FT</v>
      </c>
      <c r="M141" s="268" t="str">
        <f>$M$6</f>
        <v>PT</v>
      </c>
      <c r="N141" s="268" t="str">
        <f>$N$6</f>
        <v>SE</v>
      </c>
      <c r="O141" s="268" t="str">
        <f>$O$6</f>
        <v>Total</v>
      </c>
      <c r="P141" s="268"/>
      <c r="Q141" s="268" t="str">
        <f>$L$6</f>
        <v>FT</v>
      </c>
      <c r="R141" s="268" t="str">
        <f>$M$6</f>
        <v>PT</v>
      </c>
      <c r="S141" s="268" t="str">
        <f>$N$6</f>
        <v>SE</v>
      </c>
      <c r="T141" s="268" t="str">
        <f>$O$6</f>
        <v>Total</v>
      </c>
      <c r="U141" s="268"/>
      <c r="V141" s="268" t="str">
        <f>$V$6</f>
        <v>FT</v>
      </c>
      <c r="W141" s="268" t="str">
        <f>$W$6</f>
        <v>PT</v>
      </c>
      <c r="X141" s="268" t="str">
        <f>$X$6</f>
        <v>SE</v>
      </c>
      <c r="Y141" s="268" t="str">
        <f>$Y$6</f>
        <v>Total</v>
      </c>
    </row>
    <row r="142" spans="1:25" x14ac:dyDescent="0.2">
      <c r="C142" s="319"/>
      <c r="D142" s="319"/>
      <c r="E142" s="319"/>
      <c r="F142" s="319"/>
      <c r="G142" s="319"/>
      <c r="H142" s="319"/>
      <c r="I142" s="319"/>
      <c r="J142" s="319"/>
      <c r="K142" s="319"/>
      <c r="L142" s="319"/>
      <c r="M142" s="319"/>
      <c r="N142" s="319"/>
      <c r="O142" s="319"/>
      <c r="P142" s="319"/>
      <c r="Q142" s="319"/>
      <c r="R142" s="319"/>
      <c r="S142" s="319"/>
      <c r="T142" s="319"/>
      <c r="U142" s="319"/>
      <c r="V142" s="319"/>
      <c r="W142" s="319"/>
      <c r="X142" s="319"/>
      <c r="Y142" s="319"/>
    </row>
    <row r="143" spans="1:25" x14ac:dyDescent="0.2">
      <c r="A143" s="260" t="s">
        <v>365</v>
      </c>
      <c r="B143" s="300">
        <v>5.8191495383492464</v>
      </c>
      <c r="C143" s="300">
        <v>3.7562558782926119</v>
      </c>
      <c r="D143" s="300">
        <v>2.1282242531561582</v>
      </c>
      <c r="E143" s="300">
        <f>SUM(B143:D143)</f>
        <v>11.703629669798017</v>
      </c>
      <c r="F143" s="300"/>
      <c r="G143" s="300">
        <v>7.5363925430660528</v>
      </c>
      <c r="H143" s="300">
        <v>4.5350904876093061</v>
      </c>
      <c r="I143" s="300">
        <v>2.2620352772893342</v>
      </c>
      <c r="J143" s="300">
        <f>SUM(G143:I143)</f>
        <v>14.333518307964694</v>
      </c>
      <c r="K143" s="300"/>
      <c r="L143" s="300">
        <v>8.0931179022221418</v>
      </c>
      <c r="M143" s="300">
        <v>5.3631605580917903</v>
      </c>
      <c r="N143" s="300">
        <v>3.4157554890057451</v>
      </c>
      <c r="O143" s="300">
        <f>SUM(L143:N143)</f>
        <v>16.872033949319679</v>
      </c>
      <c r="P143" s="300"/>
      <c r="Q143" s="300">
        <v>8.4397886610181629</v>
      </c>
      <c r="R143" s="300">
        <v>5.6151247120495791</v>
      </c>
      <c r="S143" s="300">
        <v>3.663405452040851</v>
      </c>
      <c r="T143" s="300">
        <f>SUM(Q143:S143)</f>
        <v>17.718318825108593</v>
      </c>
      <c r="U143" s="300"/>
      <c r="V143" s="300">
        <v>8.9692140156175668</v>
      </c>
      <c r="W143" s="300">
        <v>5.9870937632869961</v>
      </c>
      <c r="X143" s="300">
        <v>4.0849050390058324</v>
      </c>
      <c r="Y143" s="300">
        <f>SUM(V143:X143)</f>
        <v>19.041212817910395</v>
      </c>
    </row>
    <row r="144" spans="1:25" x14ac:dyDescent="0.2">
      <c r="A144" s="260" t="s">
        <v>364</v>
      </c>
      <c r="B144" s="300">
        <v>9.8044845247424188</v>
      </c>
      <c r="C144" s="300">
        <v>1.2024542996442582</v>
      </c>
      <c r="D144" s="300">
        <v>3.5734315058153303</v>
      </c>
      <c r="E144" s="300">
        <f t="shared" ref="E144:E145" si="224">SUM(B144:D144)</f>
        <v>14.580370330202006</v>
      </c>
      <c r="F144" s="300"/>
      <c r="G144" s="300">
        <v>11.530264627036225</v>
      </c>
      <c r="H144" s="300">
        <v>1.1696650095545331</v>
      </c>
      <c r="I144" s="300">
        <v>2.1895520554446004</v>
      </c>
      <c r="J144" s="300">
        <f t="shared" ref="J144:J145" si="225">SUM(G144:I144)</f>
        <v>14.889481692035359</v>
      </c>
      <c r="K144" s="300"/>
      <c r="L144" s="300">
        <v>10.802081425683218</v>
      </c>
      <c r="M144" s="300">
        <v>1.2891422978771847</v>
      </c>
      <c r="N144" s="300">
        <v>2.2787423271199447</v>
      </c>
      <c r="O144" s="300">
        <f t="shared" ref="O144:O145" si="226">SUM(L144:N144)</f>
        <v>14.369966050680347</v>
      </c>
      <c r="P144" s="300"/>
      <c r="Q144" s="300">
        <v>10.95677663435149</v>
      </c>
      <c r="R144" s="300">
        <v>1.3559119878650387</v>
      </c>
      <c r="S144" s="300">
        <v>2.383992552674878</v>
      </c>
      <c r="T144" s="300">
        <f t="shared" ref="T144:T145" si="227">SUM(Q144:S144)</f>
        <v>14.696681174891406</v>
      </c>
      <c r="U144" s="300"/>
      <c r="V144" s="300">
        <v>11.243803499023354</v>
      </c>
      <c r="W144" s="300">
        <v>1.482701047987895</v>
      </c>
      <c r="X144" s="300">
        <v>2.5512826350783535</v>
      </c>
      <c r="Y144" s="300">
        <f t="shared" ref="Y144:Y145" si="228">SUM(V144:X144)</f>
        <v>15.277787182089602</v>
      </c>
    </row>
    <row r="145" spans="1:25" x14ac:dyDescent="0.2">
      <c r="A145" s="264" t="s">
        <v>363</v>
      </c>
      <c r="B145" s="301">
        <f>SUM(B143:B144)</f>
        <v>15.623634063091664</v>
      </c>
      <c r="C145" s="301">
        <f t="shared" ref="C145" si="229">SUM(C143:C144)</f>
        <v>4.9587101779368705</v>
      </c>
      <c r="D145" s="301">
        <f t="shared" ref="D145" si="230">SUM(D143:D144)</f>
        <v>5.7016557589714889</v>
      </c>
      <c r="E145" s="301">
        <f t="shared" si="224"/>
        <v>26.284000000000027</v>
      </c>
      <c r="F145" s="301"/>
      <c r="G145" s="301">
        <f>SUM(G143:G144)</f>
        <v>19.066657170102278</v>
      </c>
      <c r="H145" s="301">
        <f t="shared" ref="H145" si="231">SUM(H143:H144)</f>
        <v>5.7047554971638395</v>
      </c>
      <c r="I145" s="301">
        <f t="shared" ref="I145" si="232">SUM(I143:I144)</f>
        <v>4.4515873327339346</v>
      </c>
      <c r="J145" s="301">
        <f t="shared" si="225"/>
        <v>29.223000000000056</v>
      </c>
      <c r="K145" s="301"/>
      <c r="L145" s="301">
        <f>SUM(L143:L144)</f>
        <v>18.89519932790536</v>
      </c>
      <c r="M145" s="301">
        <f t="shared" ref="M145" si="233">SUM(M143:M144)</f>
        <v>6.6523028559689745</v>
      </c>
      <c r="N145" s="301">
        <f t="shared" ref="N145" si="234">SUM(N143:N144)</f>
        <v>5.6944978161256898</v>
      </c>
      <c r="O145" s="301">
        <f t="shared" si="226"/>
        <v>31.242000000000026</v>
      </c>
      <c r="P145" s="301"/>
      <c r="Q145" s="301">
        <f>SUM(Q143:Q144)</f>
        <v>19.396565295369655</v>
      </c>
      <c r="R145" s="301">
        <f t="shared" ref="R145" si="235">SUM(R143:R144)</f>
        <v>6.9710366999146176</v>
      </c>
      <c r="S145" s="301">
        <f t="shared" ref="S145" si="236">SUM(S143:S144)</f>
        <v>6.0473980047157294</v>
      </c>
      <c r="T145" s="301">
        <f t="shared" si="227"/>
        <v>32.414999999999999</v>
      </c>
      <c r="U145" s="301"/>
      <c r="V145" s="301">
        <f>SUM(V143:V144)</f>
        <v>20.213017514640921</v>
      </c>
      <c r="W145" s="301">
        <f t="shared" ref="W145" si="237">SUM(W143:W144)</f>
        <v>7.4697948112748911</v>
      </c>
      <c r="X145" s="301">
        <f t="shared" ref="X145" si="238">SUM(X143:X144)</f>
        <v>6.6361876740841854</v>
      </c>
      <c r="Y145" s="301">
        <f t="shared" si="228"/>
        <v>34.318999999999996</v>
      </c>
    </row>
    <row r="146" spans="1:25" x14ac:dyDescent="0.2">
      <c r="C146" s="263"/>
    </row>
    <row r="147" spans="1:25" x14ac:dyDescent="0.2">
      <c r="A147" s="261"/>
    </row>
    <row r="148" spans="1:25" x14ac:dyDescent="0.2">
      <c r="C148" s="263"/>
    </row>
    <row r="149" spans="1:25" ht="15" x14ac:dyDescent="0.25">
      <c r="A149" s="265" t="str">
        <f>"Industry 17 : "&amp; name!B20</f>
        <v>Industry 17 : Support services</v>
      </c>
      <c r="B149" s="374">
        <f>$B$5</f>
        <v>2015</v>
      </c>
      <c r="C149" s="374"/>
      <c r="D149" s="374"/>
      <c r="E149" s="374"/>
      <c r="F149" s="320"/>
      <c r="G149" s="374">
        <f>$G$5</f>
        <v>2019</v>
      </c>
      <c r="H149" s="374"/>
      <c r="I149" s="374"/>
      <c r="J149" s="374"/>
      <c r="K149" s="320"/>
      <c r="L149" s="374">
        <f>$L$5</f>
        <v>2020</v>
      </c>
      <c r="M149" s="374"/>
      <c r="N149" s="374"/>
      <c r="O149" s="374"/>
      <c r="P149" s="318"/>
      <c r="Q149" s="374">
        <f>$Q$5</f>
        <v>2025</v>
      </c>
      <c r="R149" s="374"/>
      <c r="S149" s="374"/>
      <c r="T149" s="374"/>
      <c r="U149" s="320"/>
      <c r="V149" s="374">
        <f>$V$5</f>
        <v>2035</v>
      </c>
      <c r="W149" s="374"/>
      <c r="X149" s="374"/>
      <c r="Y149" s="374"/>
    </row>
    <row r="150" spans="1:25" x14ac:dyDescent="0.2">
      <c r="A150" s="264"/>
      <c r="B150" s="268" t="str">
        <f>$B$6</f>
        <v>FT</v>
      </c>
      <c r="C150" s="268" t="str">
        <f>$C$6</f>
        <v>PT</v>
      </c>
      <c r="D150" s="268" t="str">
        <f>$D$6</f>
        <v>SE</v>
      </c>
      <c r="E150" s="268" t="str">
        <f>$E$6</f>
        <v>Total</v>
      </c>
      <c r="F150" s="268"/>
      <c r="G150" s="268" t="str">
        <f>$B$6</f>
        <v>FT</v>
      </c>
      <c r="H150" s="268" t="str">
        <f>$C$6</f>
        <v>PT</v>
      </c>
      <c r="I150" s="268" t="str">
        <f>$D$6</f>
        <v>SE</v>
      </c>
      <c r="J150" s="268" t="str">
        <f>$E$6</f>
        <v>Total</v>
      </c>
      <c r="K150" s="268"/>
      <c r="L150" s="268" t="str">
        <f>$L$6</f>
        <v>FT</v>
      </c>
      <c r="M150" s="268" t="str">
        <f>$M$6</f>
        <v>PT</v>
      </c>
      <c r="N150" s="268" t="str">
        <f>$N$6</f>
        <v>SE</v>
      </c>
      <c r="O150" s="268" t="str">
        <f>$O$6</f>
        <v>Total</v>
      </c>
      <c r="P150" s="268"/>
      <c r="Q150" s="268" t="str">
        <f>$L$6</f>
        <v>FT</v>
      </c>
      <c r="R150" s="268" t="str">
        <f>$M$6</f>
        <v>PT</v>
      </c>
      <c r="S150" s="268" t="str">
        <f>$N$6</f>
        <v>SE</v>
      </c>
      <c r="T150" s="268" t="str">
        <f>$O$6</f>
        <v>Total</v>
      </c>
      <c r="U150" s="268"/>
      <c r="V150" s="268" t="str">
        <f>$V$6</f>
        <v>FT</v>
      </c>
      <c r="W150" s="268" t="str">
        <f>$W$6</f>
        <v>PT</v>
      </c>
      <c r="X150" s="268" t="str">
        <f>$X$6</f>
        <v>SE</v>
      </c>
      <c r="Y150" s="268" t="str">
        <f>$Y$6</f>
        <v>Total</v>
      </c>
    </row>
    <row r="151" spans="1:25" x14ac:dyDescent="0.2">
      <c r="A151" s="262"/>
      <c r="C151" s="319"/>
      <c r="D151" s="319"/>
      <c r="E151" s="319"/>
      <c r="F151" s="319"/>
      <c r="G151" s="319"/>
      <c r="H151" s="319"/>
      <c r="I151" s="319"/>
      <c r="J151" s="319"/>
      <c r="K151" s="319"/>
      <c r="L151" s="319"/>
      <c r="M151" s="319"/>
      <c r="N151" s="319"/>
      <c r="O151" s="319"/>
      <c r="P151" s="319"/>
      <c r="Q151" s="319"/>
      <c r="R151" s="319"/>
      <c r="S151" s="319"/>
      <c r="T151" s="319"/>
      <c r="U151" s="319"/>
      <c r="V151" s="319"/>
      <c r="W151" s="319"/>
      <c r="X151" s="319"/>
      <c r="Y151" s="319"/>
    </row>
    <row r="152" spans="1:25" x14ac:dyDescent="0.2">
      <c r="A152" s="260" t="s">
        <v>365</v>
      </c>
      <c r="B152" s="300">
        <v>8.3955747869210295</v>
      </c>
      <c r="C152" s="300">
        <v>6.788009794190164</v>
      </c>
      <c r="D152" s="300">
        <v>1.8177030466141504</v>
      </c>
      <c r="E152" s="300">
        <f>SUM(B152:D152)</f>
        <v>17.001287627725343</v>
      </c>
      <c r="F152" s="300"/>
      <c r="G152" s="300">
        <v>8.384053726842005</v>
      </c>
      <c r="H152" s="300">
        <v>6.0529397477273061</v>
      </c>
      <c r="I152" s="300">
        <v>2.1514556850975928</v>
      </c>
      <c r="J152" s="300">
        <f>SUM(G152:I152)</f>
        <v>16.588449159666904</v>
      </c>
      <c r="K152" s="300"/>
      <c r="L152" s="300">
        <v>7.8779928352786435</v>
      </c>
      <c r="M152" s="300">
        <v>6.8093940177147312</v>
      </c>
      <c r="N152" s="300">
        <v>2.1818466109093051</v>
      </c>
      <c r="O152" s="300">
        <f>SUM(L152:N152)</f>
        <v>16.869233463902678</v>
      </c>
      <c r="P152" s="300"/>
      <c r="Q152" s="300">
        <v>8.5821642196542296</v>
      </c>
      <c r="R152" s="300">
        <v>7.1503434194906932</v>
      </c>
      <c r="S152" s="300">
        <v>2.2961268941888751</v>
      </c>
      <c r="T152" s="300">
        <f>SUM(Q152:S152)</f>
        <v>18.028634533333801</v>
      </c>
      <c r="U152" s="300"/>
      <c r="V152" s="300">
        <v>9.3884665025330367</v>
      </c>
      <c r="W152" s="300">
        <v>7.3897965529034595</v>
      </c>
      <c r="X152" s="300">
        <v>2.4792268196982934</v>
      </c>
      <c r="Y152" s="300">
        <f>SUM(V152:X152)</f>
        <v>19.257489875134791</v>
      </c>
    </row>
    <row r="153" spans="1:25" x14ac:dyDescent="0.2">
      <c r="A153" s="260" t="s">
        <v>364</v>
      </c>
      <c r="B153" s="300">
        <v>15.958946038749922</v>
      </c>
      <c r="C153" s="300">
        <v>4.9344251862996353</v>
      </c>
      <c r="D153" s="300">
        <v>1.9333411472251139</v>
      </c>
      <c r="E153" s="300">
        <f t="shared" ref="E153:E154" si="239">SUM(B153:D153)</f>
        <v>22.82671237227467</v>
      </c>
      <c r="F153" s="300"/>
      <c r="G153" s="300">
        <v>17.304331384856496</v>
      </c>
      <c r="H153" s="300">
        <v>4.8890756514214564</v>
      </c>
      <c r="I153" s="300">
        <v>2.3061438040551212</v>
      </c>
      <c r="J153" s="300">
        <f t="shared" ref="J153:J154" si="240">SUM(G153:I153)</f>
        <v>24.499550840333075</v>
      </c>
      <c r="K153" s="300"/>
      <c r="L153" s="300">
        <v>16.594323342281161</v>
      </c>
      <c r="M153" s="300">
        <v>5.8145723169560863</v>
      </c>
      <c r="N153" s="300">
        <v>2.2968708768600954</v>
      </c>
      <c r="O153" s="300">
        <f t="shared" ref="O153:O154" si="241">SUM(L153:N153)</f>
        <v>24.70576653609734</v>
      </c>
      <c r="P153" s="300"/>
      <c r="Q153" s="300">
        <v>17.758979578944981</v>
      </c>
      <c r="R153" s="300">
        <v>6.2097561696519845</v>
      </c>
      <c r="S153" s="300">
        <v>2.419629718069304</v>
      </c>
      <c r="T153" s="300">
        <f t="shared" ref="T153:T154" si="242">SUM(Q153:S153)</f>
        <v>26.388365466666272</v>
      </c>
      <c r="U153" s="300"/>
      <c r="V153" s="300">
        <v>19.003039521622899</v>
      </c>
      <c r="W153" s="300">
        <v>6.5843591893359728</v>
      </c>
      <c r="X153" s="300">
        <v>2.5971114139063576</v>
      </c>
      <c r="Y153" s="300">
        <f t="shared" ref="Y153:Y154" si="243">SUM(V153:X153)</f>
        <v>28.184510124865231</v>
      </c>
    </row>
    <row r="154" spans="1:25" x14ac:dyDescent="0.2">
      <c r="A154" s="264" t="s">
        <v>363</v>
      </c>
      <c r="B154" s="301">
        <f>SUM(B152:B153)</f>
        <v>24.354520825670953</v>
      </c>
      <c r="C154" s="301">
        <f t="shared" ref="C154" si="244">SUM(C152:C153)</f>
        <v>11.722434980489799</v>
      </c>
      <c r="D154" s="301">
        <f t="shared" ref="D154" si="245">SUM(D152:D153)</f>
        <v>3.751044193839264</v>
      </c>
      <c r="E154" s="301">
        <f t="shared" si="239"/>
        <v>39.828000000000017</v>
      </c>
      <c r="F154" s="301"/>
      <c r="G154" s="301">
        <f>SUM(G152:G153)</f>
        <v>25.688385111698501</v>
      </c>
      <c r="H154" s="301">
        <f t="shared" ref="H154" si="246">SUM(H152:H153)</f>
        <v>10.942015399148762</v>
      </c>
      <c r="I154" s="301">
        <f t="shared" ref="I154" si="247">SUM(I152:I153)</f>
        <v>4.457599489152714</v>
      </c>
      <c r="J154" s="301">
        <f t="shared" si="240"/>
        <v>41.08799999999998</v>
      </c>
      <c r="K154" s="301"/>
      <c r="L154" s="301">
        <f>SUM(L152:L153)</f>
        <v>24.472316177559804</v>
      </c>
      <c r="M154" s="301">
        <f t="shared" ref="M154" si="248">SUM(M152:M153)</f>
        <v>12.623966334670818</v>
      </c>
      <c r="N154" s="301">
        <f t="shared" ref="N154" si="249">SUM(N152:N153)</f>
        <v>4.4787174877694005</v>
      </c>
      <c r="O154" s="301">
        <f t="shared" si="241"/>
        <v>41.575000000000024</v>
      </c>
      <c r="P154" s="301"/>
      <c r="Q154" s="301">
        <f>SUM(Q152:Q153)</f>
        <v>26.341143798599212</v>
      </c>
      <c r="R154" s="301">
        <f t="shared" ref="R154" si="250">SUM(R152:R153)</f>
        <v>13.360099589142678</v>
      </c>
      <c r="S154" s="301">
        <f t="shared" ref="S154" si="251">SUM(S152:S153)</f>
        <v>4.7157566122581791</v>
      </c>
      <c r="T154" s="301">
        <f t="shared" si="242"/>
        <v>44.417000000000073</v>
      </c>
      <c r="U154" s="301"/>
      <c r="V154" s="301">
        <f>SUM(V152:V153)</f>
        <v>28.391506024155937</v>
      </c>
      <c r="W154" s="301">
        <f t="shared" ref="W154" si="252">SUM(W152:W153)</f>
        <v>13.974155742239432</v>
      </c>
      <c r="X154" s="301">
        <f t="shared" ref="X154" si="253">SUM(X152:X153)</f>
        <v>5.076338233604651</v>
      </c>
      <c r="Y154" s="301">
        <f t="shared" si="243"/>
        <v>47.442000000000021</v>
      </c>
    </row>
    <row r="155" spans="1:25" x14ac:dyDescent="0.2">
      <c r="C155" s="263"/>
    </row>
    <row r="156" spans="1:25" x14ac:dyDescent="0.2">
      <c r="A156" s="261"/>
    </row>
    <row r="157" spans="1:25" x14ac:dyDescent="0.2">
      <c r="C157" s="263"/>
    </row>
    <row r="158" spans="1:25" ht="15" x14ac:dyDescent="0.25">
      <c r="A158" s="265" t="str">
        <f>"Industry 18 : "&amp; name!B21</f>
        <v>Industry 18 : Public admin. and defence</v>
      </c>
      <c r="B158" s="374">
        <f>$B$5</f>
        <v>2015</v>
      </c>
      <c r="C158" s="374"/>
      <c r="D158" s="374"/>
      <c r="E158" s="374"/>
      <c r="F158" s="320"/>
      <c r="G158" s="374">
        <f>$G$5</f>
        <v>2019</v>
      </c>
      <c r="H158" s="374"/>
      <c r="I158" s="374"/>
      <c r="J158" s="374"/>
      <c r="K158" s="320"/>
      <c r="L158" s="374">
        <f>$L$5</f>
        <v>2020</v>
      </c>
      <c r="M158" s="374"/>
      <c r="N158" s="374"/>
      <c r="O158" s="374"/>
      <c r="P158" s="318"/>
      <c r="Q158" s="374">
        <f>$Q$5</f>
        <v>2025</v>
      </c>
      <c r="R158" s="374"/>
      <c r="S158" s="374"/>
      <c r="T158" s="374"/>
      <c r="U158" s="320"/>
      <c r="V158" s="374">
        <f>$V$5</f>
        <v>2035</v>
      </c>
      <c r="W158" s="374"/>
      <c r="X158" s="374"/>
      <c r="Y158" s="374"/>
    </row>
    <row r="159" spans="1:25" x14ac:dyDescent="0.2">
      <c r="A159" s="264"/>
      <c r="B159" s="268" t="str">
        <f>$B$6</f>
        <v>FT</v>
      </c>
      <c r="C159" s="268" t="str">
        <f>$C$6</f>
        <v>PT</v>
      </c>
      <c r="D159" s="268" t="str">
        <f>$D$6</f>
        <v>SE</v>
      </c>
      <c r="E159" s="268" t="str">
        <f>$E$6</f>
        <v>Total</v>
      </c>
      <c r="F159" s="268"/>
      <c r="G159" s="268" t="str">
        <f>$B$6</f>
        <v>FT</v>
      </c>
      <c r="H159" s="268" t="str">
        <f>$C$6</f>
        <v>PT</v>
      </c>
      <c r="I159" s="268" t="str">
        <f>$D$6</f>
        <v>SE</v>
      </c>
      <c r="J159" s="268" t="str">
        <f>$E$6</f>
        <v>Total</v>
      </c>
      <c r="K159" s="268"/>
      <c r="L159" s="268" t="str">
        <f>$L$6</f>
        <v>FT</v>
      </c>
      <c r="M159" s="268" t="str">
        <f>$M$6</f>
        <v>PT</v>
      </c>
      <c r="N159" s="268" t="str">
        <f>$N$6</f>
        <v>SE</v>
      </c>
      <c r="O159" s="268" t="str">
        <f>$O$6</f>
        <v>Total</v>
      </c>
      <c r="P159" s="268"/>
      <c r="Q159" s="268" t="str">
        <f>$L$6</f>
        <v>FT</v>
      </c>
      <c r="R159" s="268" t="str">
        <f>$M$6</f>
        <v>PT</v>
      </c>
      <c r="S159" s="268" t="str">
        <f>$N$6</f>
        <v>SE</v>
      </c>
      <c r="T159" s="268" t="str">
        <f>$O$6</f>
        <v>Total</v>
      </c>
      <c r="U159" s="268"/>
      <c r="V159" s="268" t="str">
        <f>$V$6</f>
        <v>FT</v>
      </c>
      <c r="W159" s="268" t="str">
        <f>$W$6</f>
        <v>PT</v>
      </c>
      <c r="X159" s="268" t="str">
        <f>$X$6</f>
        <v>SE</v>
      </c>
      <c r="Y159" s="268" t="str">
        <f>$Y$6</f>
        <v>Total</v>
      </c>
    </row>
    <row r="160" spans="1:25" x14ac:dyDescent="0.2">
      <c r="A160" s="262"/>
      <c r="C160" s="319"/>
      <c r="D160" s="319"/>
      <c r="E160" s="319"/>
      <c r="F160" s="319"/>
      <c r="G160" s="319"/>
      <c r="H160" s="319"/>
      <c r="I160" s="319"/>
      <c r="J160" s="319"/>
      <c r="K160" s="319"/>
      <c r="L160" s="319"/>
      <c r="M160" s="319"/>
      <c r="N160" s="319"/>
      <c r="O160" s="319"/>
      <c r="P160" s="319"/>
      <c r="Q160" s="319"/>
      <c r="R160" s="319"/>
      <c r="S160" s="319"/>
      <c r="T160" s="319"/>
      <c r="U160" s="319"/>
      <c r="V160" s="319"/>
      <c r="W160" s="319"/>
      <c r="X160" s="319"/>
      <c r="Y160" s="319"/>
    </row>
    <row r="161" spans="1:25" x14ac:dyDescent="0.2">
      <c r="A161" s="260" t="s">
        <v>365</v>
      </c>
      <c r="B161" s="300">
        <v>5.0871838077160945</v>
      </c>
      <c r="C161" s="300">
        <v>5.1166747283750871</v>
      </c>
      <c r="D161" s="300">
        <v>0</v>
      </c>
      <c r="E161" s="300">
        <f>SUM(B161:D161)</f>
        <v>10.203858536091182</v>
      </c>
      <c r="F161" s="300"/>
      <c r="G161" s="300">
        <v>5.1501541216112816</v>
      </c>
      <c r="H161" s="300">
        <v>4.890088206994033</v>
      </c>
      <c r="I161" s="300">
        <v>0.29581380665158263</v>
      </c>
      <c r="J161" s="300">
        <f>SUM(G161:I161)</f>
        <v>10.336056135256896</v>
      </c>
      <c r="K161" s="300"/>
      <c r="L161" s="300">
        <v>5.363728285780212</v>
      </c>
      <c r="M161" s="300">
        <v>4.8912125797905066</v>
      </c>
      <c r="N161" s="300">
        <v>0.4281892326445626</v>
      </c>
      <c r="O161" s="300">
        <f>SUM(L161:N161)</f>
        <v>10.683130098215281</v>
      </c>
      <c r="P161" s="300"/>
      <c r="Q161" s="300">
        <v>5.4832868849790044</v>
      </c>
      <c r="R161" s="300">
        <v>5.0105236794323496</v>
      </c>
      <c r="S161" s="300">
        <v>0.43827980187143661</v>
      </c>
      <c r="T161" s="300">
        <f>SUM(Q161:S161)</f>
        <v>10.932090366282791</v>
      </c>
      <c r="U161" s="300"/>
      <c r="V161" s="300">
        <v>5.7332895432925159</v>
      </c>
      <c r="W161" s="300">
        <v>5.241159035274312</v>
      </c>
      <c r="X161" s="300">
        <v>0.46207987881844304</v>
      </c>
      <c r="Y161" s="300">
        <f>SUM(V161:X161)</f>
        <v>11.436528457385272</v>
      </c>
    </row>
    <row r="162" spans="1:25" x14ac:dyDescent="0.2">
      <c r="A162" s="260" t="s">
        <v>364</v>
      </c>
      <c r="B162" s="300">
        <v>6.1799862554638283</v>
      </c>
      <c r="C162" s="300">
        <v>1.0263308487414151</v>
      </c>
      <c r="D162" s="300">
        <v>0.29982435970358534</v>
      </c>
      <c r="E162" s="300">
        <f t="shared" ref="E162:E163" si="254">SUM(B162:D162)</f>
        <v>7.5061414639088291</v>
      </c>
      <c r="F162" s="300"/>
      <c r="G162" s="300">
        <v>6.0941218957827008</v>
      </c>
      <c r="H162" s="300">
        <v>0.97859854463512808</v>
      </c>
      <c r="I162" s="300">
        <v>2.2342432525869897E-4</v>
      </c>
      <c r="J162" s="300">
        <f t="shared" ref="J162:J163" si="255">SUM(G162:I162)</f>
        <v>7.0729438647430873</v>
      </c>
      <c r="K162" s="300"/>
      <c r="L162" s="300">
        <v>6.2068313098353691</v>
      </c>
      <c r="M162" s="300">
        <v>1.009833566019338</v>
      </c>
      <c r="N162" s="300">
        <v>0.15120502593002225</v>
      </c>
      <c r="O162" s="300">
        <f t="shared" ref="O162:O163" si="256">SUM(L162:N162)</f>
        <v>7.3678699017847302</v>
      </c>
      <c r="P162" s="300"/>
      <c r="Q162" s="300">
        <v>6.2172299429722697</v>
      </c>
      <c r="R162" s="300">
        <v>1.087930095810739</v>
      </c>
      <c r="S162" s="300">
        <v>0.15474959493421986</v>
      </c>
      <c r="T162" s="300">
        <f t="shared" ref="T162:T163" si="257">SUM(Q162:S162)</f>
        <v>7.4599096337172286</v>
      </c>
      <c r="U162" s="300"/>
      <c r="V162" s="300">
        <v>6.2359171885869316</v>
      </c>
      <c r="W162" s="300">
        <v>1.2549225038377458</v>
      </c>
      <c r="X162" s="300">
        <v>0.16363185019005649</v>
      </c>
      <c r="Y162" s="300">
        <f t="shared" ref="Y162:Y163" si="258">SUM(V162:X162)</f>
        <v>7.6544715426147336</v>
      </c>
    </row>
    <row r="163" spans="1:25" x14ac:dyDescent="0.2">
      <c r="A163" s="264" t="s">
        <v>363</v>
      </c>
      <c r="B163" s="301">
        <f>SUM(B161:B162)</f>
        <v>11.267170063179922</v>
      </c>
      <c r="C163" s="301">
        <f t="shared" ref="C163" si="259">SUM(C161:C162)</f>
        <v>6.1430055771165026</v>
      </c>
      <c r="D163" s="301">
        <f t="shared" ref="D163" si="260">SUM(D161:D162)</f>
        <v>0.29982435970358534</v>
      </c>
      <c r="E163" s="301">
        <f t="shared" si="254"/>
        <v>17.710000000000008</v>
      </c>
      <c r="F163" s="301"/>
      <c r="G163" s="301">
        <f>SUM(G161:G162)</f>
        <v>11.244276017393982</v>
      </c>
      <c r="H163" s="301">
        <f t="shared" ref="H163" si="261">SUM(H161:H162)</f>
        <v>5.868686751629161</v>
      </c>
      <c r="I163" s="301">
        <f t="shared" ref="I163" si="262">SUM(I161:I162)</f>
        <v>0.29603723097684131</v>
      </c>
      <c r="J163" s="301">
        <f t="shared" si="255"/>
        <v>17.408999999999985</v>
      </c>
      <c r="K163" s="301"/>
      <c r="L163" s="301">
        <f>SUM(L161:L162)</f>
        <v>11.570559595615581</v>
      </c>
      <c r="M163" s="301">
        <f t="shared" ref="M163" si="263">SUM(M161:M162)</f>
        <v>5.9010461458098451</v>
      </c>
      <c r="N163" s="301">
        <f t="shared" ref="N163" si="264">SUM(N161:N162)</f>
        <v>0.57939425857458482</v>
      </c>
      <c r="O163" s="301">
        <f t="shared" si="256"/>
        <v>18.051000000000013</v>
      </c>
      <c r="P163" s="301"/>
      <c r="Q163" s="301">
        <f>SUM(Q161:Q162)</f>
        <v>11.700516827951274</v>
      </c>
      <c r="R163" s="301">
        <f t="shared" ref="R163" si="265">SUM(R161:R162)</f>
        <v>6.0984537752430885</v>
      </c>
      <c r="S163" s="301">
        <f t="shared" ref="S163" si="266">SUM(S161:S162)</f>
        <v>0.59302939680565647</v>
      </c>
      <c r="T163" s="301">
        <f t="shared" si="257"/>
        <v>18.392000000000021</v>
      </c>
      <c r="U163" s="301"/>
      <c r="V163" s="301">
        <f>SUM(V161:V162)</f>
        <v>11.969206731879448</v>
      </c>
      <c r="W163" s="301">
        <f t="shared" ref="W163" si="267">SUM(W161:W162)</f>
        <v>6.4960815391120583</v>
      </c>
      <c r="X163" s="301">
        <f t="shared" ref="X163" si="268">SUM(X161:X162)</f>
        <v>0.62571172900849947</v>
      </c>
      <c r="Y163" s="301">
        <f t="shared" si="258"/>
        <v>19.091000000000008</v>
      </c>
    </row>
    <row r="167" spans="1:25" ht="15" x14ac:dyDescent="0.25">
      <c r="A167" s="265" t="str">
        <f>"Industry 19 : "&amp; name!B22</f>
        <v>Industry 19 : Education</v>
      </c>
      <c r="B167" s="374">
        <f>$B$5</f>
        <v>2015</v>
      </c>
      <c r="C167" s="374"/>
      <c r="D167" s="374"/>
      <c r="E167" s="374"/>
      <c r="F167" s="320"/>
      <c r="G167" s="374">
        <f>$G$5</f>
        <v>2019</v>
      </c>
      <c r="H167" s="374"/>
      <c r="I167" s="374"/>
      <c r="J167" s="374"/>
      <c r="K167" s="320"/>
      <c r="L167" s="374">
        <f>$L$5</f>
        <v>2020</v>
      </c>
      <c r="M167" s="374"/>
      <c r="N167" s="374"/>
      <c r="O167" s="374"/>
      <c r="P167" s="318"/>
      <c r="Q167" s="374">
        <f>$Q$5</f>
        <v>2025</v>
      </c>
      <c r="R167" s="374"/>
      <c r="S167" s="374"/>
      <c r="T167" s="374"/>
      <c r="U167" s="320"/>
      <c r="V167" s="374">
        <f>$V$5</f>
        <v>2035</v>
      </c>
      <c r="W167" s="374"/>
      <c r="X167" s="374"/>
      <c r="Y167" s="374"/>
    </row>
    <row r="168" spans="1:25" x14ac:dyDescent="0.2">
      <c r="A168" s="264"/>
      <c r="B168" s="268" t="str">
        <f>$B$6</f>
        <v>FT</v>
      </c>
      <c r="C168" s="268" t="str">
        <f>$C$6</f>
        <v>PT</v>
      </c>
      <c r="D168" s="268" t="str">
        <f>$D$6</f>
        <v>SE</v>
      </c>
      <c r="E168" s="268" t="str">
        <f>$E$6</f>
        <v>Total</v>
      </c>
      <c r="F168" s="268"/>
      <c r="G168" s="268" t="str">
        <f>$B$6</f>
        <v>FT</v>
      </c>
      <c r="H168" s="268" t="str">
        <f>$C$6</f>
        <v>PT</v>
      </c>
      <c r="I168" s="268" t="str">
        <f>$D$6</f>
        <v>SE</v>
      </c>
      <c r="J168" s="268" t="str">
        <f>$E$6</f>
        <v>Total</v>
      </c>
      <c r="K168" s="268"/>
      <c r="L168" s="268" t="str">
        <f>$L$6</f>
        <v>FT</v>
      </c>
      <c r="M168" s="268" t="str">
        <f>$M$6</f>
        <v>PT</v>
      </c>
      <c r="N168" s="268" t="str">
        <f>$N$6</f>
        <v>SE</v>
      </c>
      <c r="O168" s="268" t="str">
        <f>$O$6</f>
        <v>Total</v>
      </c>
      <c r="P168" s="268"/>
      <c r="Q168" s="268" t="str">
        <f>$L$6</f>
        <v>FT</v>
      </c>
      <c r="R168" s="268" t="str">
        <f>$M$6</f>
        <v>PT</v>
      </c>
      <c r="S168" s="268" t="str">
        <f>$N$6</f>
        <v>SE</v>
      </c>
      <c r="T168" s="268" t="str">
        <f>$O$6</f>
        <v>Total</v>
      </c>
      <c r="U168" s="268"/>
      <c r="V168" s="268" t="str">
        <f>$V$6</f>
        <v>FT</v>
      </c>
      <c r="W168" s="268" t="str">
        <f>$W$6</f>
        <v>PT</v>
      </c>
      <c r="X168" s="268" t="str">
        <f>$X$6</f>
        <v>SE</v>
      </c>
      <c r="Y168" s="268" t="str">
        <f>$Y$6</f>
        <v>Total</v>
      </c>
    </row>
    <row r="169" spans="1:25" x14ac:dyDescent="0.2">
      <c r="C169" s="319"/>
      <c r="D169" s="319"/>
      <c r="E169" s="319"/>
      <c r="F169" s="319"/>
      <c r="G169" s="319"/>
      <c r="H169" s="319"/>
      <c r="I169" s="319"/>
      <c r="J169" s="319"/>
      <c r="K169" s="319"/>
      <c r="L169" s="319"/>
      <c r="M169" s="319"/>
      <c r="N169" s="319"/>
      <c r="O169" s="319"/>
      <c r="P169" s="319"/>
      <c r="Q169" s="319"/>
      <c r="R169" s="319"/>
      <c r="S169" s="319"/>
      <c r="T169" s="319"/>
      <c r="U169" s="319"/>
      <c r="V169" s="319"/>
      <c r="W169" s="319"/>
      <c r="X169" s="319"/>
      <c r="Y169" s="319"/>
    </row>
    <row r="170" spans="1:25" x14ac:dyDescent="0.2">
      <c r="A170" s="260" t="s">
        <v>365</v>
      </c>
      <c r="B170" s="300">
        <v>13.384193472802982</v>
      </c>
      <c r="C170" s="300">
        <v>16.673425609103035</v>
      </c>
      <c r="D170" s="300">
        <v>2.0742645185772011</v>
      </c>
      <c r="E170" s="300">
        <f>SUM(B170:D170)</f>
        <v>32.131883600483221</v>
      </c>
      <c r="F170" s="300"/>
      <c r="G170" s="300">
        <v>11.882398586104042</v>
      </c>
      <c r="H170" s="300">
        <v>16.45631945386474</v>
      </c>
      <c r="I170" s="300">
        <v>2.7322931420715801</v>
      </c>
      <c r="J170" s="300">
        <f>SUM(G170:I170)</f>
        <v>31.071011182040362</v>
      </c>
      <c r="K170" s="300"/>
      <c r="L170" s="300">
        <v>12.037857898994394</v>
      </c>
      <c r="M170" s="300">
        <v>16.059171114979748</v>
      </c>
      <c r="N170" s="300">
        <v>2.8254546364117745</v>
      </c>
      <c r="O170" s="300">
        <f>SUM(L170:N170)</f>
        <v>30.922483650385917</v>
      </c>
      <c r="P170" s="300"/>
      <c r="Q170" s="300">
        <v>12.043044872517427</v>
      </c>
      <c r="R170" s="300">
        <v>15.378563511177211</v>
      </c>
      <c r="S170" s="300">
        <v>2.7961398163826763</v>
      </c>
      <c r="T170" s="300">
        <f>SUM(Q170:S170)</f>
        <v>30.217748200077317</v>
      </c>
      <c r="U170" s="300"/>
      <c r="V170" s="300">
        <v>12.783349278894489</v>
      </c>
      <c r="W170" s="300">
        <v>14.922220860092754</v>
      </c>
      <c r="X170" s="300">
        <v>2.8402862475980597</v>
      </c>
      <c r="Y170" s="300">
        <f>SUM(V170:X170)</f>
        <v>30.545856386585299</v>
      </c>
    </row>
    <row r="171" spans="1:25" x14ac:dyDescent="0.2">
      <c r="A171" s="260" t="s">
        <v>364</v>
      </c>
      <c r="B171" s="300">
        <v>8.890657175039383</v>
      </c>
      <c r="C171" s="300">
        <v>2.8258160733510049</v>
      </c>
      <c r="D171" s="300">
        <v>1.5546431511264054</v>
      </c>
      <c r="E171" s="300">
        <f t="shared" ref="E171" si="269">SUM(B171:D171)</f>
        <v>13.271116399516794</v>
      </c>
      <c r="F171" s="300"/>
      <c r="G171" s="300">
        <v>7.9933516776166371</v>
      </c>
      <c r="H171" s="300">
        <v>2.8279861682149718</v>
      </c>
      <c r="I171" s="300">
        <v>1.5226509721280714</v>
      </c>
      <c r="J171" s="300">
        <f t="shared" ref="J171:J172" si="270">SUM(G171:I171)</f>
        <v>12.34398881795968</v>
      </c>
      <c r="K171" s="300"/>
      <c r="L171" s="300">
        <v>7.4714976835696367</v>
      </c>
      <c r="M171" s="300">
        <v>3.1593832045375341</v>
      </c>
      <c r="N171" s="300">
        <v>1.5316354615069607</v>
      </c>
      <c r="O171" s="300">
        <f t="shared" ref="O171:O172" si="271">SUM(L171:N171)</f>
        <v>12.162516349614132</v>
      </c>
      <c r="P171" s="300"/>
      <c r="Q171" s="300">
        <v>7.2167859070382834</v>
      </c>
      <c r="R171" s="300">
        <v>3.1335341118689262</v>
      </c>
      <c r="S171" s="300">
        <v>1.5279317810155064</v>
      </c>
      <c r="T171" s="300">
        <f t="shared" ref="T171:T172" si="272">SUM(Q171:S171)</f>
        <v>11.878251799922717</v>
      </c>
      <c r="U171" s="300"/>
      <c r="V171" s="300">
        <v>7.1359615510139021</v>
      </c>
      <c r="W171" s="300">
        <v>3.2475725771226509</v>
      </c>
      <c r="X171" s="300">
        <v>1.5976094852782072</v>
      </c>
      <c r="Y171" s="300">
        <f t="shared" ref="Y171:Y172" si="273">SUM(V171:X171)</f>
        <v>11.98114361341476</v>
      </c>
    </row>
    <row r="172" spans="1:25" x14ac:dyDescent="0.2">
      <c r="A172" s="264" t="s">
        <v>363</v>
      </c>
      <c r="B172" s="301">
        <f>SUM(B170:B171)</f>
        <v>22.274850647842364</v>
      </c>
      <c r="C172" s="301">
        <f t="shared" ref="C172" si="274">SUM(C170:C171)</f>
        <v>19.499241682454041</v>
      </c>
      <c r="D172" s="301">
        <f t="shared" ref="D172" si="275">SUM(D170:D171)</f>
        <v>3.6289076697036062</v>
      </c>
      <c r="E172" s="301">
        <f>SUM(B172:D172)</f>
        <v>45.403000000000013</v>
      </c>
      <c r="F172" s="301"/>
      <c r="G172" s="301">
        <f>SUM(G170:G171)</f>
        <v>19.875750263720679</v>
      </c>
      <c r="H172" s="301">
        <f t="shared" ref="H172" si="276">SUM(H170:H171)</f>
        <v>19.284305622079714</v>
      </c>
      <c r="I172" s="301">
        <f t="shared" ref="I172" si="277">SUM(I170:I171)</f>
        <v>4.2549441141996516</v>
      </c>
      <c r="J172" s="301">
        <f t="shared" si="270"/>
        <v>43.415000000000042</v>
      </c>
      <c r="K172" s="301"/>
      <c r="L172" s="301">
        <f>SUM(L170:L171)</f>
        <v>19.50935558256403</v>
      </c>
      <c r="M172" s="301">
        <f t="shared" ref="M172" si="278">SUM(M170:M171)</f>
        <v>19.218554319517281</v>
      </c>
      <c r="N172" s="301">
        <f t="shared" ref="N172" si="279">SUM(N170:N171)</f>
        <v>4.3570900979187357</v>
      </c>
      <c r="O172" s="301">
        <f t="shared" si="271"/>
        <v>43.085000000000043</v>
      </c>
      <c r="P172" s="301"/>
      <c r="Q172" s="301">
        <f>SUM(Q170:Q171)</f>
        <v>19.25983077955571</v>
      </c>
      <c r="R172" s="301">
        <f t="shared" ref="R172" si="280">SUM(R170:R171)</f>
        <v>18.512097623046138</v>
      </c>
      <c r="S172" s="301">
        <f t="shared" ref="S172" si="281">SUM(S170:S171)</f>
        <v>4.3240715973981825</v>
      </c>
      <c r="T172" s="301">
        <f t="shared" si="272"/>
        <v>42.096000000000025</v>
      </c>
      <c r="U172" s="301"/>
      <c r="V172" s="301">
        <f>SUM(V170:V171)</f>
        <v>19.91931082990839</v>
      </c>
      <c r="W172" s="301">
        <f t="shared" ref="W172" si="282">SUM(W170:W171)</f>
        <v>18.169793437215404</v>
      </c>
      <c r="X172" s="301">
        <f t="shared" ref="X172" si="283">SUM(X170:X171)</f>
        <v>4.4378957328762674</v>
      </c>
      <c r="Y172" s="301">
        <f t="shared" si="273"/>
        <v>42.527000000000058</v>
      </c>
    </row>
    <row r="176" spans="1:25" ht="15" x14ac:dyDescent="0.25">
      <c r="A176" s="265" t="str">
        <f>"Industry 20 : "&amp; name!B23</f>
        <v>Industry 20 : Health and social work</v>
      </c>
      <c r="B176" s="374">
        <f>$B$5</f>
        <v>2015</v>
      </c>
      <c r="C176" s="374"/>
      <c r="D176" s="374"/>
      <c r="E176" s="374"/>
      <c r="F176" s="320"/>
      <c r="G176" s="374">
        <f>$G$5</f>
        <v>2019</v>
      </c>
      <c r="H176" s="374"/>
      <c r="I176" s="374"/>
      <c r="J176" s="374"/>
      <c r="K176" s="320"/>
      <c r="L176" s="374">
        <f>$L$5</f>
        <v>2020</v>
      </c>
      <c r="M176" s="374"/>
      <c r="N176" s="374"/>
      <c r="O176" s="374"/>
      <c r="P176" s="318"/>
      <c r="Q176" s="374">
        <f>$Q$5</f>
        <v>2025</v>
      </c>
      <c r="R176" s="374"/>
      <c r="S176" s="374"/>
      <c r="T176" s="374"/>
      <c r="U176" s="320"/>
      <c r="V176" s="374">
        <f>$V$5</f>
        <v>2035</v>
      </c>
      <c r="W176" s="374"/>
      <c r="X176" s="374"/>
      <c r="Y176" s="374"/>
    </row>
    <row r="177" spans="1:25" x14ac:dyDescent="0.2">
      <c r="A177" s="264"/>
      <c r="B177" s="268" t="str">
        <f>$B$6</f>
        <v>FT</v>
      </c>
      <c r="C177" s="268" t="str">
        <f>$C$6</f>
        <v>PT</v>
      </c>
      <c r="D177" s="268" t="str">
        <f>$D$6</f>
        <v>SE</v>
      </c>
      <c r="E177" s="268" t="str">
        <f>$E$6</f>
        <v>Total</v>
      </c>
      <c r="F177" s="268"/>
      <c r="G177" s="268" t="str">
        <f>$B$6</f>
        <v>FT</v>
      </c>
      <c r="H177" s="268" t="str">
        <f>$C$6</f>
        <v>PT</v>
      </c>
      <c r="I177" s="268" t="str">
        <f>$D$6</f>
        <v>SE</v>
      </c>
      <c r="J177" s="268" t="str">
        <f>$E$6</f>
        <v>Total</v>
      </c>
      <c r="K177" s="268"/>
      <c r="L177" s="268" t="str">
        <f>$L$6</f>
        <v>FT</v>
      </c>
      <c r="M177" s="268" t="str">
        <f>$M$6</f>
        <v>PT</v>
      </c>
      <c r="N177" s="268" t="str">
        <f>$N$6</f>
        <v>SE</v>
      </c>
      <c r="O177" s="268" t="str">
        <f>$O$6</f>
        <v>Total</v>
      </c>
      <c r="P177" s="268"/>
      <c r="Q177" s="268" t="str">
        <f>$L$6</f>
        <v>FT</v>
      </c>
      <c r="R177" s="268" t="str">
        <f>$M$6</f>
        <v>PT</v>
      </c>
      <c r="S177" s="268" t="str">
        <f>$N$6</f>
        <v>SE</v>
      </c>
      <c r="T177" s="268" t="str">
        <f>$O$6</f>
        <v>Total</v>
      </c>
      <c r="U177" s="268"/>
      <c r="V177" s="268" t="str">
        <f>$V$6</f>
        <v>FT</v>
      </c>
      <c r="W177" s="268" t="str">
        <f>$W$6</f>
        <v>PT</v>
      </c>
      <c r="X177" s="268" t="str">
        <f>$X$6</f>
        <v>SE</v>
      </c>
      <c r="Y177" s="268" t="str">
        <f>$Y$6</f>
        <v>Total</v>
      </c>
    </row>
    <row r="178" spans="1:25" x14ac:dyDescent="0.2">
      <c r="C178" s="319"/>
      <c r="D178" s="319"/>
      <c r="E178" s="319"/>
      <c r="F178" s="319"/>
      <c r="G178" s="319"/>
      <c r="H178" s="319"/>
      <c r="I178" s="319"/>
      <c r="J178" s="319"/>
      <c r="K178" s="319"/>
      <c r="L178" s="319"/>
      <c r="M178" s="319"/>
      <c r="N178" s="319"/>
      <c r="O178" s="319"/>
      <c r="P178" s="319"/>
      <c r="Q178" s="319"/>
      <c r="R178" s="319"/>
      <c r="S178" s="319"/>
      <c r="T178" s="319"/>
      <c r="U178" s="319"/>
      <c r="V178" s="319"/>
      <c r="W178" s="319"/>
      <c r="X178" s="319"/>
      <c r="Y178" s="319"/>
    </row>
    <row r="179" spans="1:25" x14ac:dyDescent="0.2">
      <c r="A179" s="260" t="s">
        <v>365</v>
      </c>
      <c r="B179" s="300">
        <v>23.079216609233455</v>
      </c>
      <c r="C179" s="300">
        <v>23.244166340631146</v>
      </c>
      <c r="D179" s="300">
        <v>3.3720765261587267</v>
      </c>
      <c r="E179" s="300">
        <f>SUM(B179:D179)</f>
        <v>49.695459476023331</v>
      </c>
      <c r="F179" s="300"/>
      <c r="G179" s="300">
        <v>22.946565396454851</v>
      </c>
      <c r="H179" s="300">
        <v>25.86243755566645</v>
      </c>
      <c r="I179" s="300">
        <v>4.9622977610536232</v>
      </c>
      <c r="J179" s="300">
        <f>SUM(G179:I179)</f>
        <v>53.771300713174924</v>
      </c>
      <c r="K179" s="300"/>
      <c r="L179" s="300">
        <v>25.937417447576856</v>
      </c>
      <c r="M179" s="300">
        <v>22.58222556875717</v>
      </c>
      <c r="N179" s="300">
        <v>3.3438933513893709</v>
      </c>
      <c r="O179" s="300">
        <f>SUM(L179:N179)</f>
        <v>51.863536367723398</v>
      </c>
      <c r="P179" s="300"/>
      <c r="Q179" s="300">
        <v>28.096478731422849</v>
      </c>
      <c r="R179" s="300">
        <v>23.090981187883688</v>
      </c>
      <c r="S179" s="300">
        <v>3.7359399971061373</v>
      </c>
      <c r="T179" s="300">
        <f>SUM(Q179:S179)</f>
        <v>54.92339991641267</v>
      </c>
      <c r="U179" s="300"/>
      <c r="V179" s="300">
        <v>31.07661302848647</v>
      </c>
      <c r="W179" s="300">
        <v>22.560382257429229</v>
      </c>
      <c r="X179" s="300">
        <v>4.2470836973464134</v>
      </c>
      <c r="Y179" s="300">
        <f>SUM(V179:X179)</f>
        <v>57.884078983262114</v>
      </c>
    </row>
    <row r="180" spans="1:25" x14ac:dyDescent="0.2">
      <c r="A180" s="260" t="s">
        <v>364</v>
      </c>
      <c r="B180" s="300">
        <v>8.7588307467706485</v>
      </c>
      <c r="C180" s="300">
        <v>2.8905149489982862</v>
      </c>
      <c r="D180" s="300">
        <v>1.3431948282076802</v>
      </c>
      <c r="E180" s="300">
        <f t="shared" ref="E180:E181" si="284">SUM(B180:D180)</f>
        <v>12.992540523976615</v>
      </c>
      <c r="F180" s="300"/>
      <c r="G180" s="300">
        <v>8.846491074440177</v>
      </c>
      <c r="H180" s="300">
        <v>3.0551321530392817</v>
      </c>
      <c r="I180" s="300">
        <v>0.84507605934558827</v>
      </c>
      <c r="J180" s="300">
        <f t="shared" ref="J180:J181" si="285">SUM(G180:I180)</f>
        <v>12.746699286825047</v>
      </c>
      <c r="K180" s="300"/>
      <c r="L180" s="300">
        <v>9.336820615716821</v>
      </c>
      <c r="M180" s="300">
        <v>3.2240818831141338</v>
      </c>
      <c r="N180" s="300">
        <v>0.98556113344576601</v>
      </c>
      <c r="O180" s="300">
        <f t="shared" ref="O180:O181" si="286">SUM(L180:N180)</f>
        <v>13.546463632276721</v>
      </c>
      <c r="P180" s="300"/>
      <c r="Q180" s="300">
        <v>9.8520089950516585</v>
      </c>
      <c r="R180" s="300">
        <v>3.4858049903846293</v>
      </c>
      <c r="S180" s="300">
        <v>0.98678609815114748</v>
      </c>
      <c r="T180" s="300">
        <f t="shared" ref="T180:T181" si="287">SUM(Q180:S180)</f>
        <v>14.324600083587436</v>
      </c>
      <c r="U180" s="300"/>
      <c r="V180" s="300">
        <v>10.396494871166276</v>
      </c>
      <c r="W180" s="300">
        <v>3.7990810477656942</v>
      </c>
      <c r="X180" s="300">
        <v>0.93734509780590769</v>
      </c>
      <c r="Y180" s="300">
        <f t="shared" ref="Y180:Y181" si="288">SUM(V180:X180)</f>
        <v>15.132921016737878</v>
      </c>
    </row>
    <row r="181" spans="1:25" x14ac:dyDescent="0.2">
      <c r="A181" s="264" t="s">
        <v>363</v>
      </c>
      <c r="B181" s="301">
        <f>SUM(B179:B180)</f>
        <v>31.838047356004104</v>
      </c>
      <c r="C181" s="301">
        <f t="shared" ref="C181" si="289">SUM(C179:C180)</f>
        <v>26.134681289629434</v>
      </c>
      <c r="D181" s="301">
        <f t="shared" ref="D181" si="290">SUM(D179:D180)</f>
        <v>4.7152713543664069</v>
      </c>
      <c r="E181" s="301">
        <f t="shared" si="284"/>
        <v>62.687999999999946</v>
      </c>
      <c r="F181" s="301"/>
      <c r="G181" s="301">
        <f>SUM(G179:G180)</f>
        <v>31.793056470895028</v>
      </c>
      <c r="H181" s="301">
        <f t="shared" ref="H181" si="291">SUM(H179:H180)</f>
        <v>28.917569708705731</v>
      </c>
      <c r="I181" s="301">
        <f t="shared" ref="I181" si="292">SUM(I179:I180)</f>
        <v>5.8073738203992118</v>
      </c>
      <c r="J181" s="301">
        <f t="shared" si="285"/>
        <v>66.517999999999972</v>
      </c>
      <c r="K181" s="301"/>
      <c r="L181" s="301">
        <f>SUM(L179:L180)</f>
        <v>35.27423806329368</v>
      </c>
      <c r="M181" s="301">
        <f t="shared" ref="M181" si="293">SUM(M179:M180)</f>
        <v>25.806307451871305</v>
      </c>
      <c r="N181" s="301">
        <f t="shared" ref="N181" si="294">SUM(N179:N180)</f>
        <v>4.3294544848351366</v>
      </c>
      <c r="O181" s="301">
        <f t="shared" si="286"/>
        <v>65.410000000000124</v>
      </c>
      <c r="P181" s="301"/>
      <c r="Q181" s="301">
        <f>SUM(Q179:Q180)</f>
        <v>37.948487726474511</v>
      </c>
      <c r="R181" s="301">
        <f t="shared" ref="R181" si="295">SUM(R179:R180)</f>
        <v>26.576786178268318</v>
      </c>
      <c r="S181" s="301">
        <f t="shared" ref="S181" si="296">SUM(S179:S180)</f>
        <v>4.7227260952572845</v>
      </c>
      <c r="T181" s="301">
        <f t="shared" si="287"/>
        <v>69.248000000000118</v>
      </c>
      <c r="U181" s="301"/>
      <c r="V181" s="301">
        <f>SUM(V179:V180)</f>
        <v>41.473107899652746</v>
      </c>
      <c r="W181" s="301">
        <f t="shared" ref="W181" si="297">SUM(W179:W180)</f>
        <v>26.359463305194922</v>
      </c>
      <c r="X181" s="301">
        <f t="shared" ref="X181" si="298">SUM(X179:X180)</f>
        <v>5.1844287951523214</v>
      </c>
      <c r="Y181" s="301">
        <f t="shared" si="288"/>
        <v>73.016999999999996</v>
      </c>
    </row>
    <row r="182" spans="1:25" x14ac:dyDescent="0.2">
      <c r="C182" s="263"/>
    </row>
    <row r="183" spans="1:25" x14ac:dyDescent="0.2">
      <c r="A183" s="261"/>
    </row>
    <row r="184" spans="1:25" x14ac:dyDescent="0.2">
      <c r="C184" s="263"/>
    </row>
    <row r="185" spans="1:25" ht="15" x14ac:dyDescent="0.25">
      <c r="A185" s="265" t="str">
        <f>"Industry 21 : "&amp; name!B24</f>
        <v>Industry 21 : Arts and entertainment</v>
      </c>
      <c r="B185" s="374">
        <f>$B$5</f>
        <v>2015</v>
      </c>
      <c r="C185" s="374"/>
      <c r="D185" s="374"/>
      <c r="E185" s="374"/>
      <c r="F185" s="320"/>
      <c r="G185" s="374">
        <f>$G$5</f>
        <v>2019</v>
      </c>
      <c r="H185" s="374"/>
      <c r="I185" s="374"/>
      <c r="J185" s="374"/>
      <c r="K185" s="320"/>
      <c r="L185" s="374">
        <f>$L$5</f>
        <v>2020</v>
      </c>
      <c r="M185" s="374"/>
      <c r="N185" s="374"/>
      <c r="O185" s="374"/>
      <c r="P185" s="318"/>
      <c r="Q185" s="374">
        <f>$Q$5</f>
        <v>2025</v>
      </c>
      <c r="R185" s="374"/>
      <c r="S185" s="374"/>
      <c r="T185" s="374"/>
      <c r="U185" s="320"/>
      <c r="V185" s="374">
        <f>$V$5</f>
        <v>2035</v>
      </c>
      <c r="W185" s="374"/>
      <c r="X185" s="374"/>
      <c r="Y185" s="374"/>
    </row>
    <row r="186" spans="1:25" x14ac:dyDescent="0.2">
      <c r="A186" s="264"/>
      <c r="B186" s="268" t="str">
        <f>$B$6</f>
        <v>FT</v>
      </c>
      <c r="C186" s="268" t="str">
        <f>$C$6</f>
        <v>PT</v>
      </c>
      <c r="D186" s="268" t="str">
        <f>$D$6</f>
        <v>SE</v>
      </c>
      <c r="E186" s="268" t="str">
        <f>$E$6</f>
        <v>Total</v>
      </c>
      <c r="F186" s="268"/>
      <c r="G186" s="268" t="str">
        <f>$B$6</f>
        <v>FT</v>
      </c>
      <c r="H186" s="268" t="str">
        <f>$C$6</f>
        <v>PT</v>
      </c>
      <c r="I186" s="268" t="str">
        <f>$D$6</f>
        <v>SE</v>
      </c>
      <c r="J186" s="268" t="str">
        <f>$E$6</f>
        <v>Total</v>
      </c>
      <c r="K186" s="268"/>
      <c r="L186" s="268" t="str">
        <f>$L$6</f>
        <v>FT</v>
      </c>
      <c r="M186" s="268" t="str">
        <f>$M$6</f>
        <v>PT</v>
      </c>
      <c r="N186" s="268" t="str">
        <f>$N$6</f>
        <v>SE</v>
      </c>
      <c r="O186" s="268" t="str">
        <f>$O$6</f>
        <v>Total</v>
      </c>
      <c r="P186" s="268"/>
      <c r="Q186" s="268" t="str">
        <f>$L$6</f>
        <v>FT</v>
      </c>
      <c r="R186" s="268" t="str">
        <f>$M$6</f>
        <v>PT</v>
      </c>
      <c r="S186" s="268" t="str">
        <f>$N$6</f>
        <v>SE</v>
      </c>
      <c r="T186" s="268" t="str">
        <f>$O$6</f>
        <v>Total</v>
      </c>
      <c r="U186" s="268"/>
      <c r="V186" s="268" t="str">
        <f>$V$6</f>
        <v>FT</v>
      </c>
      <c r="W186" s="268" t="str">
        <f>$W$6</f>
        <v>PT</v>
      </c>
      <c r="X186" s="268" t="str">
        <f>$X$6</f>
        <v>SE</v>
      </c>
      <c r="Y186" s="268" t="str">
        <f>$Y$6</f>
        <v>Total</v>
      </c>
    </row>
    <row r="187" spans="1:25" x14ac:dyDescent="0.2">
      <c r="A187" s="262"/>
      <c r="C187" s="319"/>
      <c r="D187" s="319"/>
      <c r="E187" s="319"/>
      <c r="F187" s="319"/>
      <c r="G187" s="319"/>
      <c r="H187" s="319"/>
      <c r="I187" s="319"/>
      <c r="J187" s="319"/>
      <c r="K187" s="319"/>
      <c r="L187" s="319"/>
      <c r="M187" s="319"/>
      <c r="N187" s="319"/>
      <c r="O187" s="319"/>
      <c r="P187" s="319"/>
      <c r="Q187" s="319"/>
      <c r="R187" s="319"/>
      <c r="S187" s="319"/>
      <c r="T187" s="319"/>
      <c r="U187" s="319"/>
      <c r="V187" s="319"/>
      <c r="W187" s="319"/>
      <c r="X187" s="319"/>
      <c r="Y187" s="319"/>
    </row>
    <row r="188" spans="1:25" x14ac:dyDescent="0.2">
      <c r="A188" s="260" t="s">
        <v>365</v>
      </c>
      <c r="B188" s="300">
        <v>1.2696783140342185</v>
      </c>
      <c r="C188" s="300">
        <v>2.4011812372531449</v>
      </c>
      <c r="D188" s="300">
        <v>0.85879843642138531</v>
      </c>
      <c r="E188" s="300">
        <f>SUM(B188:D188)</f>
        <v>4.5296579877087488</v>
      </c>
      <c r="F188" s="300"/>
      <c r="G188" s="300">
        <v>1.7710126277180458</v>
      </c>
      <c r="H188" s="300">
        <v>3.4699630869781668</v>
      </c>
      <c r="I188" s="300">
        <v>0.81703727293854145</v>
      </c>
      <c r="J188" s="300">
        <f>SUM(G188:I188)</f>
        <v>6.0580129876347533</v>
      </c>
      <c r="K188" s="300"/>
      <c r="L188" s="300">
        <v>1.8030756041917013</v>
      </c>
      <c r="M188" s="300">
        <v>2.9840385854661928</v>
      </c>
      <c r="N188" s="300">
        <v>1.2185565314881943</v>
      </c>
      <c r="O188" s="300">
        <f>SUM(L188:N188)</f>
        <v>6.005670721146088</v>
      </c>
      <c r="P188" s="300"/>
      <c r="Q188" s="300">
        <v>1.6178730828402628</v>
      </c>
      <c r="R188" s="300">
        <v>2.7748369801133013</v>
      </c>
      <c r="S188" s="300">
        <v>0.98629375722997836</v>
      </c>
      <c r="T188" s="300">
        <f>SUM(Q188:S188)</f>
        <v>5.3790038201835424</v>
      </c>
      <c r="U188" s="300"/>
      <c r="V188" s="300">
        <v>1.5402635461274976</v>
      </c>
      <c r="W188" s="300">
        <v>2.795849982284683</v>
      </c>
      <c r="X188" s="300">
        <v>1.0541072140374823</v>
      </c>
      <c r="Y188" s="300">
        <f>SUM(V188:X188)</f>
        <v>5.3902207424496629</v>
      </c>
    </row>
    <row r="189" spans="1:25" x14ac:dyDescent="0.2">
      <c r="A189" s="260" t="s">
        <v>364</v>
      </c>
      <c r="B189" s="300">
        <v>2.5057723317268952</v>
      </c>
      <c r="C189" s="300">
        <v>1.8279452753064211</v>
      </c>
      <c r="D189" s="300">
        <v>2.4286244052579375</v>
      </c>
      <c r="E189" s="300">
        <f t="shared" ref="E189:E190" si="299">SUM(B189:D189)</f>
        <v>6.7623420122912536</v>
      </c>
      <c r="F189" s="300"/>
      <c r="G189" s="300">
        <v>2.9651286713356031</v>
      </c>
      <c r="H189" s="300">
        <v>1.8931789631857412</v>
      </c>
      <c r="I189" s="300">
        <v>1.8406793778438979</v>
      </c>
      <c r="J189" s="300">
        <f t="shared" ref="J189:J190" si="300">SUM(G189:I189)</f>
        <v>6.698987012365242</v>
      </c>
      <c r="K189" s="300"/>
      <c r="L189" s="300">
        <v>2.3107906493657793</v>
      </c>
      <c r="M189" s="300">
        <v>1.7105065394692212</v>
      </c>
      <c r="N189" s="300">
        <v>1.4550320900188984</v>
      </c>
      <c r="O189" s="300">
        <f t="shared" ref="O189:O190" si="301">SUM(L189:N189)</f>
        <v>5.4763292788538989</v>
      </c>
      <c r="P189" s="300"/>
      <c r="Q189" s="300">
        <v>2.2107272537742957</v>
      </c>
      <c r="R189" s="300">
        <v>1.6697727745339532</v>
      </c>
      <c r="S189" s="300">
        <v>1.2954961515082244</v>
      </c>
      <c r="T189" s="300">
        <f t="shared" ref="T189:T190" si="302">SUM(Q189:S189)</f>
        <v>5.1759961798164733</v>
      </c>
      <c r="U189" s="300"/>
      <c r="V189" s="300">
        <v>2.2411305716026542</v>
      </c>
      <c r="W189" s="300">
        <v>1.7601866373509818</v>
      </c>
      <c r="X189" s="300">
        <v>1.3714620485966997</v>
      </c>
      <c r="Y189" s="300">
        <f t="shared" ref="Y189:Y190" si="303">SUM(V189:X189)</f>
        <v>5.3727792575503361</v>
      </c>
    </row>
    <row r="190" spans="1:25" x14ac:dyDescent="0.2">
      <c r="A190" s="264" t="s">
        <v>363</v>
      </c>
      <c r="B190" s="301">
        <f>SUM(B188:B189)</f>
        <v>3.7754506457611137</v>
      </c>
      <c r="C190" s="301">
        <f t="shared" ref="C190" si="304">SUM(C188:C189)</f>
        <v>4.2291265125595663</v>
      </c>
      <c r="D190" s="301">
        <f t="shared" ref="D190" si="305">SUM(D188:D189)</f>
        <v>3.287422841679323</v>
      </c>
      <c r="E190" s="301">
        <f t="shared" si="299"/>
        <v>11.292000000000003</v>
      </c>
      <c r="F190" s="301"/>
      <c r="G190" s="301">
        <f>SUM(G188:G189)</f>
        <v>4.7361412990536493</v>
      </c>
      <c r="H190" s="301">
        <f t="shared" ref="H190" si="306">SUM(H188:H189)</f>
        <v>5.3631420501639084</v>
      </c>
      <c r="I190" s="301">
        <f t="shared" ref="I190" si="307">SUM(I188:I189)</f>
        <v>2.6577166507824392</v>
      </c>
      <c r="J190" s="301">
        <f t="shared" si="300"/>
        <v>12.756999999999998</v>
      </c>
      <c r="K190" s="301"/>
      <c r="L190" s="301">
        <f>SUM(L188:L189)</f>
        <v>4.1138662535574806</v>
      </c>
      <c r="M190" s="301">
        <f t="shared" ref="M190" si="308">SUM(M188:M189)</f>
        <v>4.6945451249354138</v>
      </c>
      <c r="N190" s="301">
        <f t="shared" ref="N190" si="309">SUM(N188:N189)</f>
        <v>2.6735886215070925</v>
      </c>
      <c r="O190" s="301">
        <f t="shared" si="301"/>
        <v>11.481999999999989</v>
      </c>
      <c r="P190" s="301"/>
      <c r="Q190" s="301">
        <f>SUM(Q188:Q189)</f>
        <v>3.8286003366145582</v>
      </c>
      <c r="R190" s="301">
        <f t="shared" ref="R190" si="310">SUM(R188:R189)</f>
        <v>4.4446097546472547</v>
      </c>
      <c r="S190" s="301">
        <f t="shared" ref="S190" si="311">SUM(S188:S189)</f>
        <v>2.2817899087382028</v>
      </c>
      <c r="T190" s="301">
        <f t="shared" si="302"/>
        <v>10.555000000000016</v>
      </c>
      <c r="U190" s="301"/>
      <c r="V190" s="301">
        <f>SUM(V188:V189)</f>
        <v>3.7813941177301515</v>
      </c>
      <c r="W190" s="301">
        <f t="shared" ref="W190" si="312">SUM(W188:W189)</f>
        <v>4.5560366196356643</v>
      </c>
      <c r="X190" s="301">
        <f t="shared" ref="X190" si="313">SUM(X188:X189)</f>
        <v>2.4255692626341823</v>
      </c>
      <c r="Y190" s="301">
        <f t="shared" si="303"/>
        <v>10.762999999999998</v>
      </c>
    </row>
    <row r="194" spans="1:25" ht="15" x14ac:dyDescent="0.25">
      <c r="A194" s="265" t="str">
        <f>"Industry 22 : "&amp; name!B25</f>
        <v>Industry 22 : Other services</v>
      </c>
      <c r="B194" s="374">
        <f>$B$5</f>
        <v>2015</v>
      </c>
      <c r="C194" s="374"/>
      <c r="D194" s="374"/>
      <c r="E194" s="374"/>
      <c r="F194" s="320"/>
      <c r="G194" s="374">
        <f>$G$5</f>
        <v>2019</v>
      </c>
      <c r="H194" s="374"/>
      <c r="I194" s="374"/>
      <c r="J194" s="374"/>
      <c r="K194" s="320"/>
      <c r="L194" s="374">
        <f>$L$5</f>
        <v>2020</v>
      </c>
      <c r="M194" s="374"/>
      <c r="N194" s="374"/>
      <c r="O194" s="374"/>
      <c r="P194" s="318"/>
      <c r="Q194" s="374">
        <f>$Q$5</f>
        <v>2025</v>
      </c>
      <c r="R194" s="374"/>
      <c r="S194" s="374"/>
      <c r="T194" s="374"/>
      <c r="U194" s="320"/>
      <c r="V194" s="374">
        <f>$V$5</f>
        <v>2035</v>
      </c>
      <c r="W194" s="374"/>
      <c r="X194" s="374"/>
      <c r="Y194" s="374"/>
    </row>
    <row r="195" spans="1:25" x14ac:dyDescent="0.2">
      <c r="A195" s="264"/>
      <c r="B195" s="268" t="str">
        <f>$B$6</f>
        <v>FT</v>
      </c>
      <c r="C195" s="268" t="str">
        <f>$C$6</f>
        <v>PT</v>
      </c>
      <c r="D195" s="268" t="str">
        <f>$D$6</f>
        <v>SE</v>
      </c>
      <c r="E195" s="268" t="str">
        <f>$E$6</f>
        <v>Total</v>
      </c>
      <c r="F195" s="268"/>
      <c r="G195" s="268" t="str">
        <f>$B$6</f>
        <v>FT</v>
      </c>
      <c r="H195" s="268" t="str">
        <f>$C$6</f>
        <v>PT</v>
      </c>
      <c r="I195" s="268" t="str">
        <f>$D$6</f>
        <v>SE</v>
      </c>
      <c r="J195" s="268" t="str">
        <f>$E$6</f>
        <v>Total</v>
      </c>
      <c r="K195" s="268"/>
      <c r="L195" s="268" t="str">
        <f>$L$6</f>
        <v>FT</v>
      </c>
      <c r="M195" s="268" t="str">
        <f>$M$6</f>
        <v>PT</v>
      </c>
      <c r="N195" s="268" t="str">
        <f>$N$6</f>
        <v>SE</v>
      </c>
      <c r="O195" s="268" t="str">
        <f>$O$6</f>
        <v>Total</v>
      </c>
      <c r="P195" s="268"/>
      <c r="Q195" s="268" t="str">
        <f>$L$6</f>
        <v>FT</v>
      </c>
      <c r="R195" s="268" t="str">
        <f>$M$6</f>
        <v>PT</v>
      </c>
      <c r="S195" s="268" t="str">
        <f>$N$6</f>
        <v>SE</v>
      </c>
      <c r="T195" s="268" t="str">
        <f>$O$6</f>
        <v>Total</v>
      </c>
      <c r="U195" s="268"/>
      <c r="V195" s="268" t="str">
        <f>$V$6</f>
        <v>FT</v>
      </c>
      <c r="W195" s="268" t="str">
        <f>$W$6</f>
        <v>PT</v>
      </c>
      <c r="X195" s="268" t="str">
        <f>$X$6</f>
        <v>SE</v>
      </c>
      <c r="Y195" s="268" t="str">
        <f>$Y$6</f>
        <v>Total</v>
      </c>
    </row>
    <row r="196" spans="1:25" x14ac:dyDescent="0.2">
      <c r="C196" s="319"/>
      <c r="D196" s="319"/>
      <c r="E196" s="319"/>
      <c r="F196" s="319"/>
      <c r="G196" s="319"/>
      <c r="H196" s="319"/>
      <c r="I196" s="319"/>
      <c r="J196" s="319"/>
      <c r="K196" s="319"/>
      <c r="L196" s="319"/>
      <c r="M196" s="319"/>
      <c r="N196" s="319"/>
      <c r="O196" s="319"/>
      <c r="P196" s="319"/>
      <c r="Q196" s="319"/>
      <c r="R196" s="319"/>
      <c r="S196" s="319"/>
      <c r="T196" s="319"/>
      <c r="U196" s="319"/>
      <c r="V196" s="319"/>
      <c r="W196" s="319"/>
      <c r="X196" s="319"/>
      <c r="Y196" s="319"/>
    </row>
    <row r="197" spans="1:25" x14ac:dyDescent="0.2">
      <c r="A197" s="260" t="s">
        <v>365</v>
      </c>
      <c r="B197" s="300">
        <v>1.525279666969787</v>
      </c>
      <c r="C197" s="300">
        <v>3.1311724730821253</v>
      </c>
      <c r="D197" s="300">
        <v>2.7469970500503389</v>
      </c>
      <c r="E197" s="300">
        <f>SUM(B197:D197)</f>
        <v>7.4034491901022506</v>
      </c>
      <c r="F197" s="300"/>
      <c r="G197" s="300">
        <v>2.7708870905687317</v>
      </c>
      <c r="H197" s="300">
        <v>2.7503402583532179</v>
      </c>
      <c r="I197" s="300">
        <v>4.3295110791472959</v>
      </c>
      <c r="J197" s="300">
        <f>SUM(G197:I197)</f>
        <v>9.8507384280692456</v>
      </c>
      <c r="K197" s="300"/>
      <c r="L197" s="300">
        <v>2.4770581881466085</v>
      </c>
      <c r="M197" s="300">
        <v>2.4843257259550078</v>
      </c>
      <c r="N197" s="300">
        <v>5.5416147502065289</v>
      </c>
      <c r="O197" s="300">
        <f>SUM(L197:N197)</f>
        <v>10.502998664308144</v>
      </c>
      <c r="P197" s="300"/>
      <c r="Q197" s="300">
        <v>2.2040889599631956</v>
      </c>
      <c r="R197" s="300">
        <v>2.2498169466356557</v>
      </c>
      <c r="S197" s="300">
        <v>5.1059869971945142</v>
      </c>
      <c r="T197" s="300">
        <f>SUM(Q197:S197)</f>
        <v>9.5598929037933651</v>
      </c>
      <c r="U197" s="300"/>
      <c r="V197" s="300">
        <v>2.0629299244181944</v>
      </c>
      <c r="W197" s="300">
        <v>2.1349874503170216</v>
      </c>
      <c r="X197" s="300">
        <v>4.9275564735911805</v>
      </c>
      <c r="Y197" s="300">
        <f>SUM(V197:X197)</f>
        <v>9.1254738483263971</v>
      </c>
    </row>
    <row r="198" spans="1:25" x14ac:dyDescent="0.2">
      <c r="A198" s="260" t="s">
        <v>364</v>
      </c>
      <c r="B198" s="300">
        <v>1.9193395348729889</v>
      </c>
      <c r="C198" s="300">
        <v>1.1973357524107118</v>
      </c>
      <c r="D198" s="300">
        <v>1.6168755226140419</v>
      </c>
      <c r="E198" s="300">
        <f t="shared" ref="E198:E199" si="314">SUM(B198:D198)</f>
        <v>4.7335508098977428</v>
      </c>
      <c r="F198" s="300"/>
      <c r="G198" s="300">
        <v>2.9862901450432204</v>
      </c>
      <c r="H198" s="300">
        <v>0.83993643880662616</v>
      </c>
      <c r="I198" s="300">
        <v>1.6690349880808995</v>
      </c>
      <c r="J198" s="300">
        <f t="shared" ref="J198:J199" si="315">SUM(G198:I198)</f>
        <v>5.4952615719307465</v>
      </c>
      <c r="K198" s="300"/>
      <c r="L198" s="300">
        <v>2.9360852497028884</v>
      </c>
      <c r="M198" s="300">
        <v>1.109588908256711</v>
      </c>
      <c r="N198" s="300">
        <v>1.59932717773224</v>
      </c>
      <c r="O198" s="300">
        <f t="shared" ref="O198:O199" si="316">SUM(L198:N198)</f>
        <v>5.6450013356918394</v>
      </c>
      <c r="P198" s="300"/>
      <c r="Q198" s="300">
        <v>2.7852916711217164</v>
      </c>
      <c r="R198" s="300">
        <v>1.0156185850609745</v>
      </c>
      <c r="S198" s="300">
        <v>1.5151968400239444</v>
      </c>
      <c r="T198" s="300">
        <f t="shared" ref="T198:T199" si="317">SUM(Q198:S198)</f>
        <v>5.3161070962066352</v>
      </c>
      <c r="U198" s="300"/>
      <c r="V198" s="300">
        <v>2.861001013293766</v>
      </c>
      <c r="W198" s="300">
        <v>0.99860854314046987</v>
      </c>
      <c r="X198" s="300">
        <v>1.5499165952393521</v>
      </c>
      <c r="Y198" s="300">
        <f t="shared" ref="Y198:Y199" si="318">SUM(V198:X198)</f>
        <v>5.409526151673588</v>
      </c>
    </row>
    <row r="199" spans="1:25" x14ac:dyDescent="0.2">
      <c r="A199" s="264" t="s">
        <v>363</v>
      </c>
      <c r="B199" s="301">
        <f>SUM(B197:B198)</f>
        <v>3.4446192018427757</v>
      </c>
      <c r="C199" s="301">
        <f t="shared" ref="C199" si="319">SUM(C197:C198)</f>
        <v>4.3285082254928371</v>
      </c>
      <c r="D199" s="301">
        <f t="shared" ref="D199" si="320">SUM(D197:D198)</f>
        <v>4.3638725726643806</v>
      </c>
      <c r="E199" s="301">
        <f t="shared" si="314"/>
        <v>12.136999999999993</v>
      </c>
      <c r="F199" s="301"/>
      <c r="G199" s="301">
        <f>SUM(G197:G198)</f>
        <v>5.7571772356119517</v>
      </c>
      <c r="H199" s="301">
        <f t="shared" ref="H199" si="321">SUM(H197:H198)</f>
        <v>3.5902766971598439</v>
      </c>
      <c r="I199" s="301">
        <f t="shared" ref="I199" si="322">SUM(I197:I198)</f>
        <v>5.9985460672281956</v>
      </c>
      <c r="J199" s="301">
        <f t="shared" si="315"/>
        <v>15.345999999999991</v>
      </c>
      <c r="K199" s="301"/>
      <c r="L199" s="301">
        <f>SUM(L197:L198)</f>
        <v>5.4131434378494969</v>
      </c>
      <c r="M199" s="301">
        <f t="shared" ref="M199" si="323">SUM(M197:M198)</f>
        <v>3.5939146342117185</v>
      </c>
      <c r="N199" s="301">
        <f t="shared" ref="N199" si="324">SUM(N197:N198)</f>
        <v>7.1409419279387691</v>
      </c>
      <c r="O199" s="301">
        <f t="shared" si="316"/>
        <v>16.147999999999985</v>
      </c>
      <c r="P199" s="301"/>
      <c r="Q199" s="301">
        <f>SUM(Q197:Q198)</f>
        <v>4.989380631084912</v>
      </c>
      <c r="R199" s="301">
        <f t="shared" ref="R199" si="325">SUM(R197:R198)</f>
        <v>3.2654355316966299</v>
      </c>
      <c r="S199" s="301">
        <f t="shared" ref="S199" si="326">SUM(S197:S198)</f>
        <v>6.6211838372184584</v>
      </c>
      <c r="T199" s="301">
        <f t="shared" si="317"/>
        <v>14.875999999999999</v>
      </c>
      <c r="U199" s="301"/>
      <c r="V199" s="301">
        <f>SUM(V197:V198)</f>
        <v>4.92393093771196</v>
      </c>
      <c r="W199" s="301">
        <f t="shared" ref="W199" si="327">SUM(W197:W198)</f>
        <v>3.1335959934574915</v>
      </c>
      <c r="X199" s="301">
        <f t="shared" ref="X199" si="328">SUM(X197:X198)</f>
        <v>6.4774730688305322</v>
      </c>
      <c r="Y199" s="301">
        <f t="shared" si="318"/>
        <v>14.534999999999984</v>
      </c>
    </row>
    <row r="211" spans="1:3" x14ac:dyDescent="0.2">
      <c r="A211" s="261"/>
    </row>
    <row r="212" spans="1:3" x14ac:dyDescent="0.2">
      <c r="C212" s="263"/>
    </row>
    <row r="213" spans="1:3" x14ac:dyDescent="0.2">
      <c r="C213" s="263"/>
    </row>
    <row r="214" spans="1:3" x14ac:dyDescent="0.2">
      <c r="C214" s="263"/>
    </row>
    <row r="215" spans="1:3" x14ac:dyDescent="0.2">
      <c r="C215" s="263"/>
    </row>
    <row r="220" spans="1:3" x14ac:dyDescent="0.2">
      <c r="C220" s="263"/>
    </row>
    <row r="221" spans="1:3" x14ac:dyDescent="0.2">
      <c r="A221" s="262"/>
    </row>
    <row r="222" spans="1:3" x14ac:dyDescent="0.2">
      <c r="A222" s="261"/>
    </row>
    <row r="225" spans="1:3" x14ac:dyDescent="0.2">
      <c r="C225" s="263"/>
    </row>
    <row r="226" spans="1:3" x14ac:dyDescent="0.2">
      <c r="A226" s="261"/>
    </row>
    <row r="227" spans="1:3" x14ac:dyDescent="0.2">
      <c r="C227" s="263"/>
    </row>
    <row r="228" spans="1:3" x14ac:dyDescent="0.2">
      <c r="C228" s="263"/>
    </row>
    <row r="229" spans="1:3" x14ac:dyDescent="0.2">
      <c r="C229" s="263"/>
    </row>
    <row r="231" spans="1:3" x14ac:dyDescent="0.2">
      <c r="A231" s="261"/>
    </row>
    <row r="232" spans="1:3" x14ac:dyDescent="0.2">
      <c r="C232" s="263"/>
    </row>
    <row r="233" spans="1:3" x14ac:dyDescent="0.2">
      <c r="C233" s="263"/>
    </row>
    <row r="234" spans="1:3" x14ac:dyDescent="0.2">
      <c r="C234" s="263"/>
    </row>
    <row r="235" spans="1:3" x14ac:dyDescent="0.2">
      <c r="C235" s="263"/>
    </row>
    <row r="236" spans="1:3" x14ac:dyDescent="0.2">
      <c r="C236" s="263"/>
    </row>
    <row r="237" spans="1:3" x14ac:dyDescent="0.2">
      <c r="C237" s="263"/>
    </row>
    <row r="238" spans="1:3" x14ac:dyDescent="0.2">
      <c r="C238" s="263"/>
    </row>
    <row r="239" spans="1:3" x14ac:dyDescent="0.2">
      <c r="C239" s="263"/>
    </row>
    <row r="240" spans="1:3" x14ac:dyDescent="0.2">
      <c r="A240" s="261"/>
    </row>
    <row r="241" spans="1:3" x14ac:dyDescent="0.2">
      <c r="C241" s="263"/>
    </row>
    <row r="242" spans="1:3" x14ac:dyDescent="0.2">
      <c r="C242" s="263"/>
    </row>
    <row r="243" spans="1:3" x14ac:dyDescent="0.2">
      <c r="A243" s="261"/>
    </row>
    <row r="244" spans="1:3" x14ac:dyDescent="0.2">
      <c r="C244" s="263"/>
    </row>
    <row r="245" spans="1:3" x14ac:dyDescent="0.2">
      <c r="C245" s="263"/>
    </row>
    <row r="246" spans="1:3" x14ac:dyDescent="0.2">
      <c r="C246" s="263"/>
    </row>
    <row r="271" spans="1:3" x14ac:dyDescent="0.2">
      <c r="A271" s="261"/>
    </row>
    <row r="272" spans="1:3" x14ac:dyDescent="0.2">
      <c r="C272" s="263"/>
    </row>
    <row r="273" spans="1:3" x14ac:dyDescent="0.2">
      <c r="C273" s="263"/>
    </row>
    <row r="274" spans="1:3" x14ac:dyDescent="0.2">
      <c r="C274" s="263"/>
    </row>
    <row r="276" spans="1:3" x14ac:dyDescent="0.2">
      <c r="A276" s="261"/>
    </row>
    <row r="277" spans="1:3" x14ac:dyDescent="0.2">
      <c r="C277" s="263"/>
    </row>
    <row r="278" spans="1:3" x14ac:dyDescent="0.2">
      <c r="C278" s="263"/>
    </row>
    <row r="279" spans="1:3" x14ac:dyDescent="0.2">
      <c r="C279" s="263"/>
    </row>
    <row r="280" spans="1:3" x14ac:dyDescent="0.2">
      <c r="C280" s="263"/>
    </row>
    <row r="281" spans="1:3" x14ac:dyDescent="0.2">
      <c r="A281" s="261"/>
    </row>
    <row r="282" spans="1:3" x14ac:dyDescent="0.2">
      <c r="C282" s="263"/>
    </row>
    <row r="283" spans="1:3" x14ac:dyDescent="0.2">
      <c r="C283" s="263"/>
    </row>
    <row r="284" spans="1:3" x14ac:dyDescent="0.2">
      <c r="C284" s="263"/>
    </row>
    <row r="285" spans="1:3" x14ac:dyDescent="0.2">
      <c r="A285" s="262"/>
    </row>
    <row r="286" spans="1:3" x14ac:dyDescent="0.2">
      <c r="A286" s="261"/>
    </row>
    <row r="287" spans="1:3" x14ac:dyDescent="0.2">
      <c r="C287" s="263"/>
    </row>
    <row r="288" spans="1:3" x14ac:dyDescent="0.2">
      <c r="C288" s="263"/>
    </row>
    <row r="289" spans="1:3" x14ac:dyDescent="0.2">
      <c r="C289" s="263"/>
    </row>
    <row r="291" spans="1:3" x14ac:dyDescent="0.2">
      <c r="A291" s="261"/>
    </row>
    <row r="292" spans="1:3" x14ac:dyDescent="0.2">
      <c r="C292" s="263"/>
    </row>
    <row r="293" spans="1:3" x14ac:dyDescent="0.2">
      <c r="C293" s="263"/>
    </row>
    <row r="294" spans="1:3" x14ac:dyDescent="0.2">
      <c r="C294" s="263"/>
    </row>
    <row r="295" spans="1:3" x14ac:dyDescent="0.2">
      <c r="C295" s="263"/>
    </row>
    <row r="296" spans="1:3" x14ac:dyDescent="0.2">
      <c r="A296" s="261"/>
    </row>
    <row r="297" spans="1:3" x14ac:dyDescent="0.2">
      <c r="C297" s="263"/>
    </row>
    <row r="298" spans="1:3" x14ac:dyDescent="0.2">
      <c r="C298" s="263"/>
    </row>
    <row r="299" spans="1:3" x14ac:dyDescent="0.2">
      <c r="A299" s="261"/>
    </row>
    <row r="300" spans="1:3" x14ac:dyDescent="0.2">
      <c r="C300" s="263"/>
    </row>
    <row r="301" spans="1:3" x14ac:dyDescent="0.2">
      <c r="C301" s="263"/>
    </row>
    <row r="302" spans="1:3" x14ac:dyDescent="0.2">
      <c r="C302" s="263"/>
    </row>
    <row r="303" spans="1:3" x14ac:dyDescent="0.2">
      <c r="C303" s="263"/>
    </row>
    <row r="304" spans="1:3" x14ac:dyDescent="0.2">
      <c r="C304" s="263"/>
    </row>
    <row r="305" spans="1:3" x14ac:dyDescent="0.2">
      <c r="C305" s="263"/>
    </row>
    <row r="306" spans="1:3" x14ac:dyDescent="0.2">
      <c r="A306" s="261"/>
      <c r="C306" s="263"/>
    </row>
    <row r="307" spans="1:3" x14ac:dyDescent="0.2">
      <c r="C307" s="263"/>
    </row>
    <row r="308" spans="1:3" x14ac:dyDescent="0.2">
      <c r="C308" s="263"/>
    </row>
    <row r="309" spans="1:3" x14ac:dyDescent="0.2">
      <c r="C309" s="263"/>
    </row>
    <row r="310" spans="1:3" x14ac:dyDescent="0.2">
      <c r="A310" s="262"/>
    </row>
    <row r="311" spans="1:3" x14ac:dyDescent="0.2">
      <c r="A311" s="261"/>
    </row>
    <row r="312" spans="1:3" x14ac:dyDescent="0.2">
      <c r="C312" s="263"/>
    </row>
    <row r="313" spans="1:3" x14ac:dyDescent="0.2">
      <c r="C313" s="263"/>
    </row>
    <row r="314" spans="1:3" x14ac:dyDescent="0.2">
      <c r="C314" s="263"/>
    </row>
    <row r="316" spans="1:3" x14ac:dyDescent="0.2">
      <c r="A316" s="261"/>
    </row>
    <row r="317" spans="1:3" x14ac:dyDescent="0.2">
      <c r="C317" s="263"/>
    </row>
    <row r="318" spans="1:3" x14ac:dyDescent="0.2">
      <c r="C318" s="263"/>
    </row>
    <row r="319" spans="1:3" x14ac:dyDescent="0.2">
      <c r="C319" s="263"/>
    </row>
    <row r="320" spans="1:3" x14ac:dyDescent="0.2">
      <c r="A320" s="262"/>
    </row>
    <row r="321" spans="1:3" x14ac:dyDescent="0.2">
      <c r="A321" s="261"/>
    </row>
    <row r="322" spans="1:3" x14ac:dyDescent="0.2">
      <c r="C322" s="263"/>
    </row>
    <row r="323" spans="1:3" x14ac:dyDescent="0.2">
      <c r="C323" s="263"/>
    </row>
    <row r="324" spans="1:3" x14ac:dyDescent="0.2">
      <c r="C324" s="263"/>
    </row>
    <row r="326" spans="1:3" x14ac:dyDescent="0.2">
      <c r="A326" s="261"/>
    </row>
    <row r="327" spans="1:3" x14ac:dyDescent="0.2">
      <c r="A327" s="261"/>
    </row>
    <row r="328" spans="1:3" x14ac:dyDescent="0.2">
      <c r="C328" s="263"/>
    </row>
    <row r="329" spans="1:3" x14ac:dyDescent="0.2">
      <c r="C329" s="263"/>
    </row>
    <row r="330" spans="1:3" x14ac:dyDescent="0.2">
      <c r="C330" s="263"/>
    </row>
    <row r="332" spans="1:3" x14ac:dyDescent="0.2">
      <c r="A332" s="261"/>
    </row>
    <row r="333" spans="1:3" x14ac:dyDescent="0.2">
      <c r="C333" s="263"/>
    </row>
    <row r="334" spans="1:3" x14ac:dyDescent="0.2">
      <c r="C334" s="263"/>
    </row>
    <row r="335" spans="1:3" x14ac:dyDescent="0.2">
      <c r="C335" s="263"/>
    </row>
    <row r="336" spans="1:3" x14ac:dyDescent="0.2">
      <c r="C336" s="263"/>
    </row>
    <row r="337" spans="1:3" x14ac:dyDescent="0.2">
      <c r="A337" s="261"/>
    </row>
    <row r="338" spans="1:3" x14ac:dyDescent="0.2">
      <c r="C338" s="263"/>
    </row>
    <row r="339" spans="1:3" x14ac:dyDescent="0.2">
      <c r="C339" s="263"/>
    </row>
    <row r="340" spans="1:3" x14ac:dyDescent="0.2">
      <c r="C340" s="263"/>
    </row>
    <row r="341" spans="1:3" x14ac:dyDescent="0.2">
      <c r="A341" s="262"/>
    </row>
    <row r="342" spans="1:3" x14ac:dyDescent="0.2">
      <c r="A342" s="261"/>
    </row>
    <row r="343" spans="1:3" x14ac:dyDescent="0.2">
      <c r="C343" s="263"/>
    </row>
    <row r="344" spans="1:3" x14ac:dyDescent="0.2">
      <c r="C344" s="263"/>
    </row>
    <row r="345" spans="1:3" x14ac:dyDescent="0.2">
      <c r="C345" s="263"/>
    </row>
    <row r="347" spans="1:3" x14ac:dyDescent="0.2">
      <c r="A347" s="261"/>
    </row>
    <row r="348" spans="1:3" x14ac:dyDescent="0.2">
      <c r="C348" s="263"/>
    </row>
    <row r="349" spans="1:3" x14ac:dyDescent="0.2">
      <c r="C349" s="263"/>
    </row>
    <row r="350" spans="1:3" x14ac:dyDescent="0.2">
      <c r="C350" s="263"/>
    </row>
    <row r="351" spans="1:3" x14ac:dyDescent="0.2">
      <c r="C351" s="263"/>
    </row>
    <row r="352" spans="1:3" x14ac:dyDescent="0.2">
      <c r="A352" s="261"/>
    </row>
    <row r="353" spans="1:3" x14ac:dyDescent="0.2">
      <c r="C353" s="263"/>
    </row>
    <row r="354" spans="1:3" x14ac:dyDescent="0.2">
      <c r="C354" s="263"/>
    </row>
    <row r="355" spans="1:3" x14ac:dyDescent="0.2">
      <c r="A355" s="261"/>
    </row>
    <row r="356" spans="1:3" x14ac:dyDescent="0.2">
      <c r="C356" s="263"/>
    </row>
    <row r="357" spans="1:3" x14ac:dyDescent="0.2">
      <c r="C357" s="263"/>
    </row>
    <row r="358" spans="1:3" x14ac:dyDescent="0.2">
      <c r="C358" s="263"/>
    </row>
    <row r="359" spans="1:3" x14ac:dyDescent="0.2">
      <c r="C359" s="263"/>
    </row>
    <row r="361" spans="1:3" x14ac:dyDescent="0.2">
      <c r="A361" s="261"/>
    </row>
    <row r="362" spans="1:3" x14ac:dyDescent="0.2">
      <c r="C362" s="263"/>
    </row>
    <row r="363" spans="1:3" x14ac:dyDescent="0.2">
      <c r="C363" s="263"/>
    </row>
    <row r="364" spans="1:3" x14ac:dyDescent="0.2">
      <c r="C364" s="263"/>
    </row>
    <row r="365" spans="1:3" x14ac:dyDescent="0.2">
      <c r="A365" s="262"/>
    </row>
    <row r="366" spans="1:3" x14ac:dyDescent="0.2">
      <c r="A366" s="261"/>
    </row>
    <row r="367" spans="1:3" x14ac:dyDescent="0.2">
      <c r="C367" s="263"/>
    </row>
    <row r="368" spans="1:3" x14ac:dyDescent="0.2">
      <c r="C368" s="263"/>
    </row>
    <row r="369" spans="1:3" x14ac:dyDescent="0.2">
      <c r="C369" s="263"/>
    </row>
    <row r="371" spans="1:3" x14ac:dyDescent="0.2">
      <c r="A371" s="261"/>
    </row>
    <row r="372" spans="1:3" x14ac:dyDescent="0.2">
      <c r="C372" s="263"/>
    </row>
    <row r="373" spans="1:3" x14ac:dyDescent="0.2">
      <c r="C373" s="263"/>
    </row>
    <row r="374" spans="1:3" x14ac:dyDescent="0.2">
      <c r="C374" s="263"/>
    </row>
    <row r="376" spans="1:3" x14ac:dyDescent="0.2">
      <c r="A376" s="261"/>
    </row>
    <row r="377" spans="1:3" x14ac:dyDescent="0.2">
      <c r="C377" s="263"/>
    </row>
    <row r="378" spans="1:3" x14ac:dyDescent="0.2">
      <c r="C378" s="263"/>
    </row>
    <row r="379" spans="1:3" x14ac:dyDescent="0.2">
      <c r="C379" s="263"/>
    </row>
    <row r="380" spans="1:3" x14ac:dyDescent="0.2">
      <c r="C380" s="263"/>
    </row>
    <row r="381" spans="1:3" x14ac:dyDescent="0.2">
      <c r="A381" s="261"/>
    </row>
    <row r="382" spans="1:3" x14ac:dyDescent="0.2">
      <c r="C382" s="263"/>
    </row>
    <row r="383" spans="1:3" x14ac:dyDescent="0.2">
      <c r="A383" s="261"/>
    </row>
    <row r="384" spans="1:3" x14ac:dyDescent="0.2">
      <c r="C384" s="263"/>
    </row>
    <row r="385" spans="1:3" x14ac:dyDescent="0.2">
      <c r="C385" s="263"/>
    </row>
    <row r="386" spans="1:3" x14ac:dyDescent="0.2">
      <c r="C386" s="263"/>
    </row>
    <row r="388" spans="1:3" x14ac:dyDescent="0.2">
      <c r="A388" s="261"/>
    </row>
    <row r="389" spans="1:3" x14ac:dyDescent="0.2">
      <c r="C389" s="263"/>
    </row>
    <row r="390" spans="1:3" x14ac:dyDescent="0.2">
      <c r="C390" s="263"/>
    </row>
    <row r="391" spans="1:3" x14ac:dyDescent="0.2">
      <c r="C391" s="263"/>
    </row>
    <row r="392" spans="1:3" x14ac:dyDescent="0.2">
      <c r="C392" s="263"/>
    </row>
    <row r="393" spans="1:3" x14ac:dyDescent="0.2">
      <c r="A393" s="261"/>
    </row>
    <row r="394" spans="1:3" x14ac:dyDescent="0.2">
      <c r="C394" s="263"/>
    </row>
    <row r="395" spans="1:3" x14ac:dyDescent="0.2">
      <c r="C395" s="263"/>
    </row>
    <row r="396" spans="1:3" x14ac:dyDescent="0.2">
      <c r="C396" s="263"/>
    </row>
    <row r="397" spans="1:3" x14ac:dyDescent="0.2">
      <c r="A397" s="262"/>
    </row>
    <row r="398" spans="1:3" x14ac:dyDescent="0.2">
      <c r="A398" s="261"/>
    </row>
    <row r="399" spans="1:3" x14ac:dyDescent="0.2">
      <c r="C399" s="263"/>
    </row>
    <row r="400" spans="1:3" x14ac:dyDescent="0.2">
      <c r="C400" s="263"/>
    </row>
    <row r="401" spans="1:3" x14ac:dyDescent="0.2">
      <c r="C401" s="263"/>
    </row>
    <row r="403" spans="1:3" x14ac:dyDescent="0.2">
      <c r="A403" s="261"/>
    </row>
    <row r="404" spans="1:3" x14ac:dyDescent="0.2">
      <c r="C404" s="263"/>
    </row>
    <row r="405" spans="1:3" x14ac:dyDescent="0.2">
      <c r="C405" s="263"/>
    </row>
    <row r="406" spans="1:3" x14ac:dyDescent="0.2">
      <c r="C406" s="263"/>
    </row>
    <row r="407" spans="1:3" x14ac:dyDescent="0.2">
      <c r="C407" s="263"/>
    </row>
    <row r="408" spans="1:3" x14ac:dyDescent="0.2">
      <c r="A408" s="261"/>
    </row>
    <row r="409" spans="1:3" x14ac:dyDescent="0.2">
      <c r="C409" s="263"/>
    </row>
    <row r="410" spans="1:3" x14ac:dyDescent="0.2">
      <c r="C410" s="263"/>
    </row>
    <row r="411" spans="1:3" x14ac:dyDescent="0.2">
      <c r="A411" s="261"/>
    </row>
    <row r="412" spans="1:3" x14ac:dyDescent="0.2">
      <c r="C412" s="263"/>
    </row>
    <row r="413" spans="1:3" x14ac:dyDescent="0.2">
      <c r="C413" s="263"/>
    </row>
    <row r="414" spans="1:3" x14ac:dyDescent="0.2">
      <c r="C414" s="263"/>
    </row>
    <row r="415" spans="1:3" x14ac:dyDescent="0.2">
      <c r="C415" s="263"/>
    </row>
    <row r="416" spans="1:3" x14ac:dyDescent="0.2">
      <c r="C416" s="263"/>
    </row>
    <row r="417" spans="1:3" x14ac:dyDescent="0.2">
      <c r="C417" s="263"/>
    </row>
    <row r="418" spans="1:3" x14ac:dyDescent="0.2">
      <c r="A418" s="261"/>
      <c r="C418" s="263"/>
    </row>
    <row r="419" spans="1:3" x14ac:dyDescent="0.2">
      <c r="C419" s="263"/>
    </row>
    <row r="420" spans="1:3" x14ac:dyDescent="0.2">
      <c r="C420" s="263"/>
    </row>
    <row r="421" spans="1:3" x14ac:dyDescent="0.2">
      <c r="C421" s="263"/>
    </row>
    <row r="422" spans="1:3" x14ac:dyDescent="0.2">
      <c r="A422" s="262"/>
    </row>
    <row r="423" spans="1:3" x14ac:dyDescent="0.2">
      <c r="A423" s="261"/>
    </row>
    <row r="424" spans="1:3" x14ac:dyDescent="0.2">
      <c r="C424" s="263"/>
    </row>
    <row r="425" spans="1:3" x14ac:dyDescent="0.2">
      <c r="C425" s="263"/>
    </row>
    <row r="426" spans="1:3" x14ac:dyDescent="0.2">
      <c r="C426" s="263"/>
    </row>
    <row r="428" spans="1:3" x14ac:dyDescent="0.2">
      <c r="A428" s="261"/>
    </row>
    <row r="429" spans="1:3" x14ac:dyDescent="0.2">
      <c r="C429" s="263"/>
    </row>
    <row r="430" spans="1:3" x14ac:dyDescent="0.2">
      <c r="C430" s="263"/>
    </row>
    <row r="431" spans="1:3" x14ac:dyDescent="0.2">
      <c r="C431" s="263"/>
    </row>
    <row r="432" spans="1:3" x14ac:dyDescent="0.2">
      <c r="A432" s="262"/>
    </row>
    <row r="433" spans="1:3" x14ac:dyDescent="0.2">
      <c r="A433" s="261"/>
    </row>
    <row r="434" spans="1:3" x14ac:dyDescent="0.2">
      <c r="C434" s="263"/>
    </row>
    <row r="435" spans="1:3" x14ac:dyDescent="0.2">
      <c r="C435" s="263"/>
    </row>
    <row r="436" spans="1:3" x14ac:dyDescent="0.2">
      <c r="C436" s="263"/>
    </row>
    <row r="438" spans="1:3" x14ac:dyDescent="0.2">
      <c r="A438" s="261"/>
    </row>
    <row r="439" spans="1:3" x14ac:dyDescent="0.2">
      <c r="A439" s="261"/>
    </row>
    <row r="440" spans="1:3" x14ac:dyDescent="0.2">
      <c r="C440" s="263"/>
    </row>
    <row r="441" spans="1:3" x14ac:dyDescent="0.2">
      <c r="C441" s="263"/>
    </row>
    <row r="442" spans="1:3" x14ac:dyDescent="0.2">
      <c r="C442" s="263"/>
    </row>
    <row r="444" spans="1:3" x14ac:dyDescent="0.2">
      <c r="A444" s="261"/>
    </row>
    <row r="445" spans="1:3" x14ac:dyDescent="0.2">
      <c r="C445" s="263"/>
    </row>
    <row r="446" spans="1:3" x14ac:dyDescent="0.2">
      <c r="C446" s="263"/>
    </row>
    <row r="447" spans="1:3" x14ac:dyDescent="0.2">
      <c r="C447" s="263"/>
    </row>
    <row r="448" spans="1:3" x14ac:dyDescent="0.2">
      <c r="C448" s="263"/>
    </row>
    <row r="449" spans="1:3" x14ac:dyDescent="0.2">
      <c r="A449" s="261"/>
    </row>
    <row r="450" spans="1:3" x14ac:dyDescent="0.2">
      <c r="C450" s="263"/>
    </row>
    <row r="451" spans="1:3" x14ac:dyDescent="0.2">
      <c r="C451" s="263"/>
    </row>
    <row r="452" spans="1:3" x14ac:dyDescent="0.2">
      <c r="C452" s="263"/>
    </row>
    <row r="453" spans="1:3" x14ac:dyDescent="0.2">
      <c r="A453" s="262"/>
    </row>
    <row r="454" spans="1:3" x14ac:dyDescent="0.2">
      <c r="A454" s="261"/>
    </row>
    <row r="455" spans="1:3" x14ac:dyDescent="0.2">
      <c r="C455" s="263"/>
    </row>
    <row r="456" spans="1:3" x14ac:dyDescent="0.2">
      <c r="C456" s="263"/>
    </row>
    <row r="457" spans="1:3" x14ac:dyDescent="0.2">
      <c r="C457" s="263"/>
    </row>
    <row r="459" spans="1:3" x14ac:dyDescent="0.2">
      <c r="A459" s="261"/>
    </row>
    <row r="460" spans="1:3" x14ac:dyDescent="0.2">
      <c r="C460" s="263"/>
    </row>
    <row r="461" spans="1:3" x14ac:dyDescent="0.2">
      <c r="C461" s="263"/>
    </row>
    <row r="462" spans="1:3" x14ac:dyDescent="0.2">
      <c r="C462" s="263"/>
    </row>
    <row r="463" spans="1:3" x14ac:dyDescent="0.2">
      <c r="C463" s="263"/>
    </row>
    <row r="464" spans="1:3" x14ac:dyDescent="0.2">
      <c r="A464" s="261"/>
    </row>
    <row r="465" spans="1:25" x14ac:dyDescent="0.2">
      <c r="C465" s="263"/>
    </row>
    <row r="466" spans="1:25" x14ac:dyDescent="0.2">
      <c r="C466" s="263"/>
    </row>
    <row r="467" spans="1:25" x14ac:dyDescent="0.2">
      <c r="A467" s="261"/>
    </row>
    <row r="468" spans="1:25" x14ac:dyDescent="0.2">
      <c r="C468" s="263"/>
    </row>
    <row r="469" spans="1:25" x14ac:dyDescent="0.2">
      <c r="C469" s="263"/>
    </row>
    <row r="470" spans="1:25" x14ac:dyDescent="0.2">
      <c r="C470" s="263"/>
    </row>
    <row r="471" spans="1:25" x14ac:dyDescent="0.2">
      <c r="A471" s="261"/>
    </row>
    <row r="472" spans="1:25" x14ac:dyDescent="0.2">
      <c r="C472" s="263"/>
    </row>
    <row r="473" spans="1:25" x14ac:dyDescent="0.2">
      <c r="C473" s="263"/>
    </row>
    <row r="474" spans="1:25" x14ac:dyDescent="0.2">
      <c r="A474" s="264"/>
      <c r="B474" s="315"/>
      <c r="C474" s="315"/>
      <c r="D474" s="315"/>
      <c r="E474" s="315"/>
      <c r="F474" s="315"/>
      <c r="G474" s="315"/>
      <c r="H474" s="315"/>
      <c r="I474" s="315"/>
      <c r="J474" s="315"/>
      <c r="K474" s="315"/>
      <c r="L474" s="315"/>
      <c r="M474" s="315"/>
      <c r="N474" s="315"/>
      <c r="O474" s="315"/>
      <c r="P474" s="315"/>
      <c r="Q474" s="315"/>
      <c r="R474" s="315"/>
      <c r="S474" s="315"/>
      <c r="T474" s="315"/>
      <c r="U474" s="315"/>
      <c r="V474" s="315"/>
      <c r="W474" s="315"/>
      <c r="X474" s="315"/>
      <c r="Y474" s="315"/>
    </row>
    <row r="475" spans="1:25" x14ac:dyDescent="0.2">
      <c r="A475" s="262"/>
    </row>
    <row r="476" spans="1:25" x14ac:dyDescent="0.2">
      <c r="A476" s="261"/>
    </row>
    <row r="477" spans="1:25" x14ac:dyDescent="0.2">
      <c r="C477" s="263"/>
    </row>
    <row r="478" spans="1:25" x14ac:dyDescent="0.2">
      <c r="C478" s="263"/>
    </row>
    <row r="479" spans="1:25" x14ac:dyDescent="0.2">
      <c r="A479" s="264"/>
      <c r="B479" s="315"/>
      <c r="C479" s="315"/>
      <c r="D479" s="315"/>
      <c r="E479" s="315"/>
      <c r="F479" s="315"/>
      <c r="G479" s="315"/>
      <c r="H479" s="315"/>
      <c r="I479" s="315"/>
      <c r="J479" s="315"/>
      <c r="K479" s="315"/>
      <c r="L479" s="315"/>
      <c r="M479" s="315"/>
      <c r="N479" s="315"/>
      <c r="O479" s="315"/>
      <c r="P479" s="315"/>
      <c r="Q479" s="315"/>
      <c r="R479" s="315"/>
      <c r="S479" s="315"/>
      <c r="T479" s="315"/>
      <c r="U479" s="315"/>
      <c r="V479" s="315"/>
      <c r="W479" s="315"/>
      <c r="X479" s="315"/>
      <c r="Y479" s="315"/>
    </row>
    <row r="480" spans="1:25" x14ac:dyDescent="0.2">
      <c r="A480" s="262"/>
    </row>
    <row r="481" spans="1:3" x14ac:dyDescent="0.2">
      <c r="A481" s="261"/>
    </row>
    <row r="482" spans="1:3" x14ac:dyDescent="0.2">
      <c r="C482" s="263"/>
    </row>
    <row r="483" spans="1:3" x14ac:dyDescent="0.2">
      <c r="C483" s="263"/>
    </row>
    <row r="484" spans="1:3" x14ac:dyDescent="0.2">
      <c r="C484" s="263"/>
    </row>
    <row r="486" spans="1:3" x14ac:dyDescent="0.2">
      <c r="A486" s="261"/>
    </row>
    <row r="487" spans="1:3" x14ac:dyDescent="0.2">
      <c r="C487" s="263"/>
    </row>
    <row r="488" spans="1:3" x14ac:dyDescent="0.2">
      <c r="C488" s="263"/>
    </row>
    <row r="489" spans="1:3" x14ac:dyDescent="0.2">
      <c r="C489" s="263"/>
    </row>
    <row r="490" spans="1:3" x14ac:dyDescent="0.2">
      <c r="C490" s="263"/>
    </row>
    <row r="491" spans="1:3" x14ac:dyDescent="0.2">
      <c r="A491" s="261"/>
    </row>
    <row r="492" spans="1:3" x14ac:dyDescent="0.2">
      <c r="C492" s="263"/>
    </row>
    <row r="493" spans="1:3" x14ac:dyDescent="0.2">
      <c r="C493" s="263"/>
    </row>
    <row r="494" spans="1:3" x14ac:dyDescent="0.2">
      <c r="C494" s="263"/>
    </row>
    <row r="495" spans="1:3" x14ac:dyDescent="0.2">
      <c r="A495" s="261"/>
    </row>
    <row r="496" spans="1:3" x14ac:dyDescent="0.2">
      <c r="C496" s="263"/>
    </row>
    <row r="497" spans="1:3" x14ac:dyDescent="0.2">
      <c r="C497" s="263"/>
    </row>
    <row r="498" spans="1:3" x14ac:dyDescent="0.2">
      <c r="C498" s="263"/>
    </row>
    <row r="500" spans="1:3" x14ac:dyDescent="0.2">
      <c r="A500" s="261"/>
    </row>
    <row r="501" spans="1:3" x14ac:dyDescent="0.2">
      <c r="C501" s="263"/>
    </row>
    <row r="502" spans="1:3" x14ac:dyDescent="0.2">
      <c r="C502" s="263"/>
    </row>
    <row r="503" spans="1:3" x14ac:dyDescent="0.2">
      <c r="C503" s="263"/>
    </row>
    <row r="504" spans="1:3" x14ac:dyDescent="0.2">
      <c r="C504" s="263"/>
    </row>
    <row r="505" spans="1:3" x14ac:dyDescent="0.2">
      <c r="A505" s="261"/>
    </row>
    <row r="506" spans="1:3" x14ac:dyDescent="0.2">
      <c r="C506" s="263"/>
    </row>
    <row r="507" spans="1:3" x14ac:dyDescent="0.2">
      <c r="C507" s="263"/>
    </row>
    <row r="508" spans="1:3" x14ac:dyDescent="0.2">
      <c r="C508" s="263"/>
    </row>
    <row r="509" spans="1:3" x14ac:dyDescent="0.2">
      <c r="A509" s="262"/>
    </row>
    <row r="510" spans="1:3" x14ac:dyDescent="0.2">
      <c r="A510" s="261"/>
    </row>
    <row r="511" spans="1:3" x14ac:dyDescent="0.2">
      <c r="C511" s="263"/>
    </row>
    <row r="512" spans="1:3" x14ac:dyDescent="0.2">
      <c r="C512" s="263"/>
    </row>
    <row r="513" spans="1:3" x14ac:dyDescent="0.2">
      <c r="C513" s="263"/>
    </row>
    <row r="515" spans="1:3" x14ac:dyDescent="0.2">
      <c r="A515" s="261"/>
    </row>
    <row r="516" spans="1:3" x14ac:dyDescent="0.2">
      <c r="C516" s="263"/>
    </row>
    <row r="517" spans="1:3" x14ac:dyDescent="0.2">
      <c r="C517" s="263"/>
    </row>
    <row r="518" spans="1:3" x14ac:dyDescent="0.2">
      <c r="C518" s="263"/>
    </row>
    <row r="519" spans="1:3" x14ac:dyDescent="0.2">
      <c r="C519" s="263"/>
    </row>
    <row r="520" spans="1:3" x14ac:dyDescent="0.2">
      <c r="A520" s="261"/>
    </row>
    <row r="521" spans="1:3" x14ac:dyDescent="0.2">
      <c r="C521" s="263"/>
    </row>
    <row r="522" spans="1:3" x14ac:dyDescent="0.2">
      <c r="C522" s="263"/>
    </row>
    <row r="523" spans="1:3" x14ac:dyDescent="0.2">
      <c r="A523" s="261"/>
    </row>
    <row r="524" spans="1:3" x14ac:dyDescent="0.2">
      <c r="C524" s="263"/>
    </row>
    <row r="525" spans="1:3" x14ac:dyDescent="0.2">
      <c r="C525" s="263"/>
    </row>
    <row r="526" spans="1:3" x14ac:dyDescent="0.2">
      <c r="C526" s="263"/>
    </row>
    <row r="527" spans="1:3" x14ac:dyDescent="0.2">
      <c r="C527" s="263"/>
    </row>
    <row r="528" spans="1:3" x14ac:dyDescent="0.2">
      <c r="C528" s="263"/>
    </row>
    <row r="529" spans="1:3" x14ac:dyDescent="0.2">
      <c r="C529" s="263"/>
    </row>
    <row r="530" spans="1:3" x14ac:dyDescent="0.2">
      <c r="A530" s="261"/>
      <c r="C530" s="263"/>
    </row>
    <row r="531" spans="1:3" x14ac:dyDescent="0.2">
      <c r="C531" s="263"/>
    </row>
    <row r="532" spans="1:3" x14ac:dyDescent="0.2">
      <c r="C532" s="263"/>
    </row>
    <row r="533" spans="1:3" x14ac:dyDescent="0.2">
      <c r="C533" s="263"/>
    </row>
    <row r="534" spans="1:3" x14ac:dyDescent="0.2">
      <c r="A534" s="262"/>
    </row>
    <row r="535" spans="1:3" x14ac:dyDescent="0.2">
      <c r="A535" s="261"/>
    </row>
    <row r="536" spans="1:3" x14ac:dyDescent="0.2">
      <c r="C536" s="263"/>
    </row>
    <row r="537" spans="1:3" x14ac:dyDescent="0.2">
      <c r="C537" s="263"/>
    </row>
    <row r="538" spans="1:3" x14ac:dyDescent="0.2">
      <c r="C538" s="263"/>
    </row>
    <row r="540" spans="1:3" x14ac:dyDescent="0.2">
      <c r="A540" s="261"/>
    </row>
    <row r="541" spans="1:3" x14ac:dyDescent="0.2">
      <c r="C541" s="263"/>
    </row>
    <row r="542" spans="1:3" x14ac:dyDescent="0.2">
      <c r="C542" s="263"/>
    </row>
    <row r="543" spans="1:3" x14ac:dyDescent="0.2">
      <c r="C543" s="263"/>
    </row>
    <row r="544" spans="1:3" x14ac:dyDescent="0.2">
      <c r="A544" s="262"/>
    </row>
    <row r="545" spans="1:3" x14ac:dyDescent="0.2">
      <c r="A545" s="261"/>
    </row>
    <row r="546" spans="1:3" x14ac:dyDescent="0.2">
      <c r="C546" s="263"/>
    </row>
    <row r="547" spans="1:3" x14ac:dyDescent="0.2">
      <c r="C547" s="263"/>
    </row>
    <row r="548" spans="1:3" x14ac:dyDescent="0.2">
      <c r="C548" s="263"/>
    </row>
    <row r="550" spans="1:3" x14ac:dyDescent="0.2">
      <c r="A550" s="261"/>
    </row>
    <row r="551" spans="1:3" x14ac:dyDescent="0.2">
      <c r="A551" s="261"/>
    </row>
    <row r="552" spans="1:3" x14ac:dyDescent="0.2">
      <c r="C552" s="263"/>
    </row>
    <row r="553" spans="1:3" x14ac:dyDescent="0.2">
      <c r="C553" s="263"/>
    </row>
    <row r="554" spans="1:3" x14ac:dyDescent="0.2">
      <c r="C554" s="263"/>
    </row>
    <row r="556" spans="1:3" x14ac:dyDescent="0.2">
      <c r="A556" s="261"/>
    </row>
    <row r="557" spans="1:3" x14ac:dyDescent="0.2">
      <c r="C557" s="263"/>
    </row>
    <row r="558" spans="1:3" x14ac:dyDescent="0.2">
      <c r="C558" s="263"/>
    </row>
    <row r="559" spans="1:3" x14ac:dyDescent="0.2">
      <c r="C559" s="263"/>
    </row>
    <row r="560" spans="1:3" x14ac:dyDescent="0.2">
      <c r="C560" s="263"/>
    </row>
    <row r="561" spans="1:3" x14ac:dyDescent="0.2">
      <c r="A561" s="261"/>
    </row>
    <row r="562" spans="1:3" x14ac:dyDescent="0.2">
      <c r="C562" s="263"/>
    </row>
    <row r="563" spans="1:3" x14ac:dyDescent="0.2">
      <c r="C563" s="263"/>
    </row>
    <row r="564" spans="1:3" x14ac:dyDescent="0.2">
      <c r="C564" s="263"/>
    </row>
    <row r="565" spans="1:3" x14ac:dyDescent="0.2">
      <c r="A565" s="262"/>
    </row>
    <row r="566" spans="1:3" x14ac:dyDescent="0.2">
      <c r="A566" s="261"/>
    </row>
    <row r="567" spans="1:3" x14ac:dyDescent="0.2">
      <c r="C567" s="263"/>
    </row>
    <row r="568" spans="1:3" x14ac:dyDescent="0.2">
      <c r="C568" s="263"/>
    </row>
    <row r="569" spans="1:3" x14ac:dyDescent="0.2">
      <c r="C569" s="263"/>
    </row>
    <row r="571" spans="1:3" x14ac:dyDescent="0.2">
      <c r="A571" s="261"/>
    </row>
    <row r="572" spans="1:3" x14ac:dyDescent="0.2">
      <c r="C572" s="263"/>
    </row>
    <row r="573" spans="1:3" x14ac:dyDescent="0.2">
      <c r="C573" s="263"/>
    </row>
    <row r="574" spans="1:3" x14ac:dyDescent="0.2">
      <c r="C574" s="263"/>
    </row>
    <row r="575" spans="1:3" x14ac:dyDescent="0.2">
      <c r="C575" s="263"/>
    </row>
    <row r="576" spans="1:3" x14ac:dyDescent="0.2">
      <c r="A576" s="261"/>
    </row>
    <row r="577" spans="1:3" x14ac:dyDescent="0.2">
      <c r="C577" s="263"/>
    </row>
    <row r="578" spans="1:3" x14ac:dyDescent="0.2">
      <c r="C578" s="263"/>
    </row>
    <row r="579" spans="1:3" x14ac:dyDescent="0.2">
      <c r="A579" s="261"/>
    </row>
    <row r="580" spans="1:3" x14ac:dyDescent="0.2">
      <c r="C580" s="263"/>
    </row>
    <row r="581" spans="1:3" x14ac:dyDescent="0.2">
      <c r="C581" s="263"/>
    </row>
    <row r="582" spans="1:3" x14ac:dyDescent="0.2">
      <c r="C582" s="263"/>
    </row>
    <row r="583" spans="1:3" x14ac:dyDescent="0.2">
      <c r="C583" s="263"/>
    </row>
    <row r="585" spans="1:3" x14ac:dyDescent="0.2">
      <c r="A585" s="261"/>
    </row>
    <row r="586" spans="1:3" x14ac:dyDescent="0.2">
      <c r="C586" s="263"/>
    </row>
    <row r="587" spans="1:3" x14ac:dyDescent="0.2">
      <c r="C587" s="263"/>
    </row>
    <row r="588" spans="1:3" x14ac:dyDescent="0.2">
      <c r="C588" s="263"/>
    </row>
    <row r="589" spans="1:3" x14ac:dyDescent="0.2">
      <c r="A589" s="262"/>
    </row>
    <row r="590" spans="1:3" x14ac:dyDescent="0.2">
      <c r="A590" s="261"/>
    </row>
    <row r="591" spans="1:3" x14ac:dyDescent="0.2">
      <c r="C591" s="263"/>
    </row>
    <row r="592" spans="1:3" x14ac:dyDescent="0.2">
      <c r="C592" s="263"/>
    </row>
    <row r="593" spans="1:3" x14ac:dyDescent="0.2">
      <c r="C593" s="263"/>
    </row>
    <row r="595" spans="1:3" x14ac:dyDescent="0.2">
      <c r="A595" s="261"/>
    </row>
    <row r="596" spans="1:3" x14ac:dyDescent="0.2">
      <c r="C596" s="263"/>
    </row>
    <row r="597" spans="1:3" x14ac:dyDescent="0.2">
      <c r="C597" s="263"/>
    </row>
    <row r="598" spans="1:3" x14ac:dyDescent="0.2">
      <c r="C598" s="263"/>
    </row>
    <row r="600" spans="1:3" x14ac:dyDescent="0.2">
      <c r="A600" s="261"/>
    </row>
    <row r="601" spans="1:3" x14ac:dyDescent="0.2">
      <c r="C601" s="263"/>
    </row>
    <row r="602" spans="1:3" x14ac:dyDescent="0.2">
      <c r="C602" s="263"/>
    </row>
    <row r="603" spans="1:3" x14ac:dyDescent="0.2">
      <c r="C603" s="263"/>
    </row>
    <row r="604" spans="1:3" x14ac:dyDescent="0.2">
      <c r="C604" s="263"/>
    </row>
    <row r="605" spans="1:3" x14ac:dyDescent="0.2">
      <c r="A605" s="261"/>
    </row>
    <row r="606" spans="1:3" x14ac:dyDescent="0.2">
      <c r="C606" s="263"/>
    </row>
    <row r="607" spans="1:3" x14ac:dyDescent="0.2">
      <c r="A607" s="261"/>
    </row>
    <row r="608" spans="1:3" x14ac:dyDescent="0.2">
      <c r="C608" s="263"/>
    </row>
    <row r="609" spans="1:3" x14ac:dyDescent="0.2">
      <c r="C609" s="263"/>
    </row>
    <row r="610" spans="1:3" x14ac:dyDescent="0.2">
      <c r="C610" s="263"/>
    </row>
    <row r="612" spans="1:3" x14ac:dyDescent="0.2">
      <c r="A612" s="261"/>
    </row>
    <row r="613" spans="1:3" x14ac:dyDescent="0.2">
      <c r="C613" s="263"/>
    </row>
    <row r="614" spans="1:3" x14ac:dyDescent="0.2">
      <c r="C614" s="263"/>
    </row>
    <row r="615" spans="1:3" x14ac:dyDescent="0.2">
      <c r="C615" s="263"/>
    </row>
    <row r="616" spans="1:3" x14ac:dyDescent="0.2">
      <c r="C616" s="263"/>
    </row>
    <row r="617" spans="1:3" x14ac:dyDescent="0.2">
      <c r="A617" s="261"/>
    </row>
    <row r="618" spans="1:3" x14ac:dyDescent="0.2">
      <c r="C618" s="263"/>
    </row>
    <row r="619" spans="1:3" x14ac:dyDescent="0.2">
      <c r="C619" s="263"/>
    </row>
    <row r="620" spans="1:3" x14ac:dyDescent="0.2">
      <c r="C620" s="263"/>
    </row>
    <row r="621" spans="1:3" x14ac:dyDescent="0.2">
      <c r="A621" s="262"/>
    </row>
    <row r="622" spans="1:3" x14ac:dyDescent="0.2">
      <c r="A622" s="261"/>
    </row>
    <row r="623" spans="1:3" x14ac:dyDescent="0.2">
      <c r="C623" s="263"/>
    </row>
    <row r="624" spans="1:3" x14ac:dyDescent="0.2">
      <c r="C624" s="263"/>
    </row>
    <row r="625" spans="1:3" x14ac:dyDescent="0.2">
      <c r="C625" s="263"/>
    </row>
    <row r="627" spans="1:3" x14ac:dyDescent="0.2">
      <c r="A627" s="261"/>
    </row>
    <row r="628" spans="1:3" x14ac:dyDescent="0.2">
      <c r="C628" s="263"/>
    </row>
    <row r="629" spans="1:3" x14ac:dyDescent="0.2">
      <c r="C629" s="263"/>
    </row>
    <row r="630" spans="1:3" x14ac:dyDescent="0.2">
      <c r="C630" s="263"/>
    </row>
    <row r="631" spans="1:3" x14ac:dyDescent="0.2">
      <c r="C631" s="263"/>
    </row>
    <row r="632" spans="1:3" x14ac:dyDescent="0.2">
      <c r="A632" s="261"/>
    </row>
    <row r="633" spans="1:3" x14ac:dyDescent="0.2">
      <c r="C633" s="263"/>
    </row>
    <row r="634" spans="1:3" x14ac:dyDescent="0.2">
      <c r="C634" s="263"/>
    </row>
    <row r="635" spans="1:3" x14ac:dyDescent="0.2">
      <c r="A635" s="261"/>
    </row>
    <row r="636" spans="1:3" x14ac:dyDescent="0.2">
      <c r="C636" s="263"/>
    </row>
    <row r="637" spans="1:3" x14ac:dyDescent="0.2">
      <c r="C637" s="263"/>
    </row>
    <row r="638" spans="1:3" x14ac:dyDescent="0.2">
      <c r="C638" s="263"/>
    </row>
    <row r="639" spans="1:3" x14ac:dyDescent="0.2">
      <c r="C639" s="263"/>
    </row>
    <row r="640" spans="1:3" x14ac:dyDescent="0.2">
      <c r="C640" s="263"/>
    </row>
    <row r="641" spans="1:3" x14ac:dyDescent="0.2">
      <c r="C641" s="263"/>
    </row>
    <row r="642" spans="1:3" x14ac:dyDescent="0.2">
      <c r="A642" s="261"/>
      <c r="C642" s="263"/>
    </row>
    <row r="643" spans="1:3" x14ac:dyDescent="0.2">
      <c r="C643" s="263"/>
    </row>
    <row r="644" spans="1:3" x14ac:dyDescent="0.2">
      <c r="C644" s="263"/>
    </row>
    <row r="645" spans="1:3" x14ac:dyDescent="0.2">
      <c r="C645" s="263"/>
    </row>
    <row r="646" spans="1:3" x14ac:dyDescent="0.2">
      <c r="A646" s="262"/>
    </row>
    <row r="647" spans="1:3" x14ac:dyDescent="0.2">
      <c r="A647" s="261"/>
    </row>
    <row r="648" spans="1:3" x14ac:dyDescent="0.2">
      <c r="C648" s="263"/>
    </row>
    <row r="649" spans="1:3" x14ac:dyDescent="0.2">
      <c r="C649" s="263"/>
    </row>
    <row r="650" spans="1:3" x14ac:dyDescent="0.2">
      <c r="C650" s="263"/>
    </row>
    <row r="652" spans="1:3" x14ac:dyDescent="0.2">
      <c r="A652" s="261"/>
    </row>
    <row r="653" spans="1:3" x14ac:dyDescent="0.2">
      <c r="C653" s="263"/>
    </row>
    <row r="654" spans="1:3" x14ac:dyDescent="0.2">
      <c r="C654" s="263"/>
    </row>
    <row r="655" spans="1:3" x14ac:dyDescent="0.2">
      <c r="C655" s="263"/>
    </row>
    <row r="656" spans="1:3" x14ac:dyDescent="0.2">
      <c r="A656" s="262"/>
    </row>
    <row r="657" spans="1:3" x14ac:dyDescent="0.2">
      <c r="A657" s="261"/>
    </row>
    <row r="658" spans="1:3" x14ac:dyDescent="0.2">
      <c r="C658" s="263"/>
    </row>
    <row r="659" spans="1:3" x14ac:dyDescent="0.2">
      <c r="C659" s="263"/>
    </row>
    <row r="660" spans="1:3" x14ac:dyDescent="0.2">
      <c r="C660" s="263"/>
    </row>
    <row r="662" spans="1:3" x14ac:dyDescent="0.2">
      <c r="A662" s="261"/>
    </row>
    <row r="663" spans="1:3" x14ac:dyDescent="0.2">
      <c r="A663" s="261"/>
    </row>
    <row r="664" spans="1:3" x14ac:dyDescent="0.2">
      <c r="C664" s="263"/>
    </row>
    <row r="665" spans="1:3" x14ac:dyDescent="0.2">
      <c r="C665" s="263"/>
    </row>
    <row r="666" spans="1:3" x14ac:dyDescent="0.2">
      <c r="C666" s="263"/>
    </row>
    <row r="668" spans="1:3" x14ac:dyDescent="0.2">
      <c r="A668" s="261"/>
    </row>
    <row r="669" spans="1:3" x14ac:dyDescent="0.2">
      <c r="C669" s="263"/>
    </row>
    <row r="670" spans="1:3" x14ac:dyDescent="0.2">
      <c r="C670" s="263"/>
    </row>
    <row r="671" spans="1:3" x14ac:dyDescent="0.2">
      <c r="C671" s="263"/>
    </row>
    <row r="672" spans="1:3" x14ac:dyDescent="0.2">
      <c r="C672" s="263"/>
    </row>
    <row r="673" spans="1:3" x14ac:dyDescent="0.2">
      <c r="A673" s="261"/>
    </row>
    <row r="674" spans="1:3" x14ac:dyDescent="0.2">
      <c r="C674" s="263"/>
    </row>
    <row r="675" spans="1:3" x14ac:dyDescent="0.2">
      <c r="C675" s="263"/>
    </row>
    <row r="676" spans="1:3" x14ac:dyDescent="0.2">
      <c r="C676" s="263"/>
    </row>
    <row r="677" spans="1:3" x14ac:dyDescent="0.2">
      <c r="A677" s="262"/>
    </row>
    <row r="678" spans="1:3" x14ac:dyDescent="0.2">
      <c r="A678" s="261"/>
    </row>
    <row r="679" spans="1:3" x14ac:dyDescent="0.2">
      <c r="C679" s="263"/>
    </row>
    <row r="680" spans="1:3" x14ac:dyDescent="0.2">
      <c r="C680" s="263"/>
    </row>
    <row r="681" spans="1:3" x14ac:dyDescent="0.2">
      <c r="C681" s="263"/>
    </row>
    <row r="683" spans="1:3" x14ac:dyDescent="0.2">
      <c r="A683" s="261"/>
    </row>
    <row r="684" spans="1:3" x14ac:dyDescent="0.2">
      <c r="C684" s="263"/>
    </row>
    <row r="685" spans="1:3" x14ac:dyDescent="0.2">
      <c r="C685" s="263"/>
    </row>
    <row r="686" spans="1:3" x14ac:dyDescent="0.2">
      <c r="C686" s="263"/>
    </row>
    <row r="687" spans="1:3" x14ac:dyDescent="0.2">
      <c r="C687" s="263"/>
    </row>
    <row r="688" spans="1:3" x14ac:dyDescent="0.2">
      <c r="A688" s="261"/>
    </row>
    <row r="689" spans="1:3" x14ac:dyDescent="0.2">
      <c r="C689" s="263"/>
    </row>
    <row r="690" spans="1:3" x14ac:dyDescent="0.2">
      <c r="C690" s="263"/>
    </row>
    <row r="691" spans="1:3" x14ac:dyDescent="0.2">
      <c r="A691" s="261"/>
    </row>
    <row r="692" spans="1:3" x14ac:dyDescent="0.2">
      <c r="C692" s="263"/>
    </row>
    <row r="693" spans="1:3" x14ac:dyDescent="0.2">
      <c r="C693" s="263"/>
    </row>
    <row r="694" spans="1:3" x14ac:dyDescent="0.2">
      <c r="C694" s="263"/>
    </row>
  </sheetData>
  <mergeCells count="110">
    <mergeCell ref="L194:O194"/>
    <mergeCell ref="V194:Y194"/>
    <mergeCell ref="B158:E158"/>
    <mergeCell ref="L158:O158"/>
    <mergeCell ref="V158:Y158"/>
    <mergeCell ref="B185:E185"/>
    <mergeCell ref="L185:O185"/>
    <mergeCell ref="V185:Y185"/>
    <mergeCell ref="B167:E167"/>
    <mergeCell ref="L167:O167"/>
    <mergeCell ref="V167:Y167"/>
    <mergeCell ref="B176:E176"/>
    <mergeCell ref="L176:O176"/>
    <mergeCell ref="V176:Y176"/>
    <mergeCell ref="G158:J158"/>
    <mergeCell ref="G185:J185"/>
    <mergeCell ref="Q185:T185"/>
    <mergeCell ref="Q176:T176"/>
    <mergeCell ref="G194:J194"/>
    <mergeCell ref="Q194:T194"/>
    <mergeCell ref="Q158:T158"/>
    <mergeCell ref="G167:J167"/>
    <mergeCell ref="Q167:T167"/>
    <mergeCell ref="G176:J176"/>
    <mergeCell ref="B194:E194"/>
    <mergeCell ref="B122:E122"/>
    <mergeCell ref="L122:O122"/>
    <mergeCell ref="V122:Y122"/>
    <mergeCell ref="L104:O104"/>
    <mergeCell ref="V104:Y104"/>
    <mergeCell ref="B113:E113"/>
    <mergeCell ref="L113:O113"/>
    <mergeCell ref="V113:Y113"/>
    <mergeCell ref="G104:J104"/>
    <mergeCell ref="Q104:T104"/>
    <mergeCell ref="G113:J113"/>
    <mergeCell ref="Q113:T113"/>
    <mergeCell ref="G122:J122"/>
    <mergeCell ref="Q122:T122"/>
    <mergeCell ref="V140:Y140"/>
    <mergeCell ref="B131:E131"/>
    <mergeCell ref="L131:O131"/>
    <mergeCell ref="V131:Y131"/>
    <mergeCell ref="B149:E149"/>
    <mergeCell ref="L149:O149"/>
    <mergeCell ref="V149:Y149"/>
    <mergeCell ref="B140:E140"/>
    <mergeCell ref="L140:O140"/>
    <mergeCell ref="G131:J131"/>
    <mergeCell ref="Q131:T131"/>
    <mergeCell ref="G140:J140"/>
    <mergeCell ref="Q140:T140"/>
    <mergeCell ref="G149:J149"/>
    <mergeCell ref="Q149:T149"/>
    <mergeCell ref="V95:Y95"/>
    <mergeCell ref="B104:E104"/>
    <mergeCell ref="B77:E77"/>
    <mergeCell ref="L77:O77"/>
    <mergeCell ref="V77:Y77"/>
    <mergeCell ref="B86:E86"/>
    <mergeCell ref="L86:O86"/>
    <mergeCell ref="V86:Y86"/>
    <mergeCell ref="B95:E95"/>
    <mergeCell ref="L95:O95"/>
    <mergeCell ref="G95:J95"/>
    <mergeCell ref="Q95:T95"/>
    <mergeCell ref="G77:J77"/>
    <mergeCell ref="Q77:T77"/>
    <mergeCell ref="G86:J86"/>
    <mergeCell ref="Q86:T86"/>
    <mergeCell ref="B68:E68"/>
    <mergeCell ref="L68:O68"/>
    <mergeCell ref="V68:Y68"/>
    <mergeCell ref="L14:O14"/>
    <mergeCell ref="V14:Y14"/>
    <mergeCell ref="B23:E23"/>
    <mergeCell ref="L23:O23"/>
    <mergeCell ref="V23:Y23"/>
    <mergeCell ref="B41:E41"/>
    <mergeCell ref="L41:O41"/>
    <mergeCell ref="V41:Y41"/>
    <mergeCell ref="B50:E50"/>
    <mergeCell ref="L50:O50"/>
    <mergeCell ref="V50:Y50"/>
    <mergeCell ref="G14:J14"/>
    <mergeCell ref="Q14:T14"/>
    <mergeCell ref="G68:J68"/>
    <mergeCell ref="Q68:T68"/>
    <mergeCell ref="G41:J41"/>
    <mergeCell ref="Q41:T41"/>
    <mergeCell ref="G50:J50"/>
    <mergeCell ref="Q50:T50"/>
    <mergeCell ref="G59:J59"/>
    <mergeCell ref="Q59:T59"/>
    <mergeCell ref="B5:E5"/>
    <mergeCell ref="L5:O5"/>
    <mergeCell ref="V5:Y5"/>
    <mergeCell ref="B59:E59"/>
    <mergeCell ref="L59:O59"/>
    <mergeCell ref="V59:Y59"/>
    <mergeCell ref="B32:E32"/>
    <mergeCell ref="L32:O32"/>
    <mergeCell ref="V32:Y32"/>
    <mergeCell ref="B14:E14"/>
    <mergeCell ref="G5:J5"/>
    <mergeCell ref="Q5:T5"/>
    <mergeCell ref="G23:J23"/>
    <mergeCell ref="Q23:T23"/>
    <mergeCell ref="G32:J32"/>
    <mergeCell ref="Q32:T32"/>
  </mergeCells>
  <pageMargins left="0.7" right="0.7" top="0.75" bottom="0.75" header="0.3" footer="0.3"/>
  <pageSetup paperSize="9" scale="68" fitToHeight="0" orientation="landscape" r:id="rId1"/>
  <rowBreaks count="7" manualBreakCount="7">
    <brk id="40" max="24" man="1"/>
    <brk id="82" max="24" man="1"/>
    <brk id="112" max="24" man="1"/>
    <brk id="139" max="24" man="1"/>
    <brk id="166" max="24" man="1"/>
    <brk id="199" max="24" man="1"/>
    <brk id="304" max="24" man="1"/>
  </rowBreaks>
  <colBreaks count="1" manualBreakCount="1">
    <brk id="25" max="1048575" man="1"/>
  </colBreaks>
  <drawing r:id="rId2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A00-000000000000}">
  <sheetPr codeName="Sheet13"/>
  <dimension ref="A1:P43"/>
  <sheetViews>
    <sheetView zoomScale="75" zoomScaleNormal="75" workbookViewId="0"/>
  </sheetViews>
  <sheetFormatPr defaultRowHeight="12.75" x14ac:dyDescent="0.2"/>
  <cols>
    <col min="1" max="1" width="11" style="81" bestFit="1" customWidth="1"/>
    <col min="2" max="9" width="9.140625" style="81"/>
    <col min="10" max="10" width="17.5703125" style="81" customWidth="1"/>
    <col min="11" max="11" width="8.28515625" style="81" customWidth="1"/>
    <col min="12" max="12" width="28.140625" customWidth="1"/>
    <col min="13" max="14" width="10.140625" customWidth="1"/>
  </cols>
  <sheetData>
    <row r="1" spans="1:16" ht="15.75" x14ac:dyDescent="0.25">
      <c r="A1" s="80" t="str">
        <f>CONCATENATE("Industry Figure 1  Growth in Employment by Industry Group (SIC 2007), ",M6," and ",N6,", ",Info!B5)</f>
        <v>Industry Figure 1  Growth in Employment by Industry Group (SIC 2007), 2015-2020 and 2020-2035, Greater Lincolnshire</v>
      </c>
    </row>
    <row r="2" spans="1:16" x14ac:dyDescent="0.2">
      <c r="A2" s="182" t="s">
        <v>515</v>
      </c>
    </row>
    <row r="3" spans="1:16" x14ac:dyDescent="0.2">
      <c r="L3" s="46" t="s">
        <v>441</v>
      </c>
    </row>
    <row r="5" spans="1:16" x14ac:dyDescent="0.2">
      <c r="L5" s="30" t="s">
        <v>406</v>
      </c>
    </row>
    <row r="6" spans="1:16" x14ac:dyDescent="0.2">
      <c r="L6" s="13"/>
      <c r="M6" s="16" t="str">
        <f>'Ind T4'!B87</f>
        <v>2015-2020</v>
      </c>
      <c r="N6" s="16" t="str">
        <f>'Ind T4'!C87</f>
        <v>2020-2035</v>
      </c>
      <c r="O6" s="16"/>
      <c r="P6" s="16"/>
    </row>
    <row r="7" spans="1:16" x14ac:dyDescent="0.2">
      <c r="L7" s="1" t="str">
        <f>'Ind T4'!A83</f>
        <v>All industries</v>
      </c>
      <c r="M7">
        <f>'Ind T4'!B122</f>
        <v>0.52241841326523542</v>
      </c>
      <c r="N7">
        <f>'Ind T4'!C122</f>
        <v>0.23020070827648453</v>
      </c>
    </row>
    <row r="8" spans="1:16" x14ac:dyDescent="0.2">
      <c r="L8" s="13"/>
    </row>
    <row r="9" spans="1:16" x14ac:dyDescent="0.2">
      <c r="L9" s="13" t="str">
        <f>'Ind T4'!A81</f>
        <v>Health and social work</v>
      </c>
      <c r="M9">
        <f>'Ind T4'!B120</f>
        <v>0.85372583391500889</v>
      </c>
      <c r="N9">
        <f>'Ind T4'!C120</f>
        <v>0.73614390667773311</v>
      </c>
    </row>
    <row r="10" spans="1:16" x14ac:dyDescent="0.2">
      <c r="L10" s="13" t="str">
        <f>'Ind T4'!A80</f>
        <v>Education</v>
      </c>
      <c r="M10">
        <f>'Ind T4'!B119</f>
        <v>-1.0425924003481191</v>
      </c>
      <c r="N10">
        <f>'Ind T4'!C119</f>
        <v>-8.6867184314753931E-2</v>
      </c>
    </row>
    <row r="11" spans="1:16" x14ac:dyDescent="0.2">
      <c r="L11" s="13" t="str">
        <f>'Ind T4'!A79</f>
        <v>Public admin. and defence</v>
      </c>
      <c r="M11">
        <f>'Ind T4'!B118</f>
        <v>0.38216104240964555</v>
      </c>
      <c r="N11">
        <f>'Ind T4'!C118</f>
        <v>0.37413772037970805</v>
      </c>
    </row>
    <row r="12" spans="1:16" x14ac:dyDescent="0.2">
      <c r="L12" s="1" t="str">
        <f>CONCATENATE("[",'Ind T4'!A78,"]")</f>
        <v>[Non-marketed services]</v>
      </c>
      <c r="M12">
        <f>'Ind T4'!B117</f>
        <v>0.11816145712943982</v>
      </c>
      <c r="N12">
        <f>'Ind T4'!C117</f>
        <v>0.41393123653759023</v>
      </c>
    </row>
    <row r="13" spans="1:16" x14ac:dyDescent="0.2">
      <c r="L13" s="13"/>
    </row>
    <row r="14" spans="1:16" x14ac:dyDescent="0.2">
      <c r="L14" s="13" t="str">
        <f>'Ind T4'!A76</f>
        <v>Other services</v>
      </c>
      <c r="M14" s="13">
        <f>'Ind T4'!B115</f>
        <v>5.8769635748112004</v>
      </c>
      <c r="N14" s="13">
        <f>'Ind T4'!C115</f>
        <v>-0.69912248152874668</v>
      </c>
    </row>
    <row r="15" spans="1:16" x14ac:dyDescent="0.2">
      <c r="L15" s="13" t="str">
        <f>'Ind T4'!A75</f>
        <v>Arts and entertainment</v>
      </c>
      <c r="M15" s="13">
        <f>'Ind T4'!B114</f>
        <v>0.33427909766676756</v>
      </c>
      <c r="N15" s="13">
        <f>'Ind T4'!C114</f>
        <v>-0.43018049795472413</v>
      </c>
    </row>
    <row r="16" spans="1:16" x14ac:dyDescent="0.2">
      <c r="L16" s="13" t="str">
        <f>'Ind T4'!A74</f>
        <v>Support services</v>
      </c>
      <c r="M16" s="13">
        <f>'Ind T4'!B113</f>
        <v>0.86227319318181728</v>
      </c>
      <c r="N16" s="13">
        <f>'Ind T4'!C113</f>
        <v>0.88394315485351704</v>
      </c>
    </row>
    <row r="17" spans="12:14" x14ac:dyDescent="0.2">
      <c r="L17" s="13" t="str">
        <f>'Ind T4'!A73</f>
        <v>Professional services</v>
      </c>
      <c r="M17" s="13">
        <f>'Ind T4'!B112</f>
        <v>3.5164748013454039</v>
      </c>
      <c r="N17" s="13">
        <f>'Ind T4'!C112</f>
        <v>0.62820359543860338</v>
      </c>
    </row>
    <row r="18" spans="12:14" x14ac:dyDescent="0.2">
      <c r="L18" s="13" t="str">
        <f>'Ind T4'!A72</f>
        <v>Real estate</v>
      </c>
      <c r="M18" s="13">
        <f>'Ind T4'!B111</f>
        <v>5.9325103520040168</v>
      </c>
      <c r="N18" s="13">
        <f>'Ind T4'!C111</f>
        <v>8.2067375480954219E-2</v>
      </c>
    </row>
    <row r="19" spans="12:14" x14ac:dyDescent="0.2">
      <c r="L19" t="str">
        <f>'Ind T4'!A71</f>
        <v>Finance and insurance</v>
      </c>
      <c r="M19">
        <f>'Ind T4'!B110</f>
        <v>-4.298965413581235</v>
      </c>
      <c r="N19">
        <f>'Ind T4'!C110</f>
        <v>-0.43997279222682817</v>
      </c>
    </row>
    <row r="20" spans="12:14" x14ac:dyDescent="0.2">
      <c r="L20" t="str">
        <f>'Ind T4'!A70</f>
        <v>Information technology</v>
      </c>
      <c r="M20">
        <f>'Ind T4'!B109</f>
        <v>0.38098455531154762</v>
      </c>
      <c r="N20">
        <f>'Ind T4'!C109</f>
        <v>1.0176467915485432</v>
      </c>
    </row>
    <row r="21" spans="12:14" x14ac:dyDescent="0.2">
      <c r="L21" t="str">
        <f>'Ind T4'!A69</f>
        <v>Media</v>
      </c>
      <c r="M21">
        <f>'Ind T4'!B108</f>
        <v>1.0688592856978429</v>
      </c>
      <c r="N21">
        <f>'Ind T4'!C108</f>
        <v>9.0768825795173314E-3</v>
      </c>
    </row>
    <row r="22" spans="12:14" x14ac:dyDescent="0.2">
      <c r="L22" s="1" t="str">
        <f>CONCATENATE("[",'Ind T4'!A68,"]")</f>
        <v>[Business and other services]</v>
      </c>
      <c r="M22">
        <f>'Ind T4'!B107</f>
        <v>2.0831300155521371</v>
      </c>
      <c r="N22">
        <f>'Ind T4'!C107</f>
        <v>0.39158638240996968</v>
      </c>
    </row>
    <row r="23" spans="12:14" x14ac:dyDescent="0.2">
      <c r="L23" s="13"/>
    </row>
    <row r="24" spans="12:14" x14ac:dyDescent="0.2">
      <c r="L24" s="13" t="str">
        <f>'Ind T4'!A66</f>
        <v>Accommodation and food</v>
      </c>
      <c r="M24">
        <f>'Ind T4'!B105</f>
        <v>-4.9247533670215837E-2</v>
      </c>
      <c r="N24">
        <f>'Ind T4'!C105</f>
        <v>0.63289256999830013</v>
      </c>
    </row>
    <row r="25" spans="12:14" x14ac:dyDescent="0.2">
      <c r="L25" s="13" t="str">
        <f>'Ind T4'!A65</f>
        <v>Transport and storage</v>
      </c>
      <c r="M25">
        <f>'Ind T4'!B104</f>
        <v>1.8465076100194988</v>
      </c>
      <c r="N25">
        <f>'Ind T4'!C104</f>
        <v>0.31905323709113809</v>
      </c>
    </row>
    <row r="26" spans="12:14" x14ac:dyDescent="0.2">
      <c r="L26" s="13" t="str">
        <f>'Ind T4'!A64</f>
        <v>Wholesale and retail trade</v>
      </c>
      <c r="M26">
        <f>'Ind T4'!B103</f>
        <v>-0.31218546632629796</v>
      </c>
      <c r="N26">
        <f>'Ind T4'!C103</f>
        <v>0.20499225808650046</v>
      </c>
    </row>
    <row r="27" spans="12:14" x14ac:dyDescent="0.2">
      <c r="L27" s="1" t="str">
        <f>CONCATENATE("[",'Ind T4'!A63,"]")</f>
        <v>[Trade, accomod. and transport]</v>
      </c>
      <c r="M27">
        <f>'Ind T4'!B102</f>
        <v>0.15767605598384637</v>
      </c>
      <c r="N27">
        <f>'Ind T4'!C102</f>
        <v>0.33088214164520569</v>
      </c>
    </row>
    <row r="28" spans="12:14" x14ac:dyDescent="0.2">
      <c r="L28" s="13"/>
    </row>
    <row r="29" spans="12:14" x14ac:dyDescent="0.2">
      <c r="L29" s="1" t="str">
        <f>CONCATENATE("[",'Ind T4'!A61,"]")</f>
        <v>[Construction]</v>
      </c>
      <c r="M29">
        <f>'Ind T4'!B100</f>
        <v>-0.70780153476213137</v>
      </c>
      <c r="N29">
        <f>'Ind T4'!C100</f>
        <v>0.30797859160296426</v>
      </c>
    </row>
    <row r="30" spans="12:14" x14ac:dyDescent="0.2">
      <c r="L30" s="13"/>
    </row>
    <row r="31" spans="12:14" x14ac:dyDescent="0.2">
      <c r="L31" s="13" t="str">
        <f>'Ind T4'!A59</f>
        <v>Rest of manufacturing</v>
      </c>
      <c r="M31">
        <f>'Ind T4'!B98</f>
        <v>-0.22743178542734555</v>
      </c>
      <c r="N31">
        <f>'Ind T4'!C98</f>
        <v>-1.1903309956480146</v>
      </c>
    </row>
    <row r="32" spans="12:14" x14ac:dyDescent="0.2">
      <c r="L32" s="13" t="str">
        <f>'Ind T4'!A58</f>
        <v>Engineering</v>
      </c>
      <c r="M32">
        <f>'Ind T4'!B97</f>
        <v>-6.9712148201588438</v>
      </c>
      <c r="N32">
        <f>'Ind T4'!C97</f>
        <v>-0.75337970548389199</v>
      </c>
    </row>
    <row r="33" spans="12:14" x14ac:dyDescent="0.2">
      <c r="L33" s="13" t="str">
        <f>'Ind T4'!A57</f>
        <v>Food drink and tobacco</v>
      </c>
      <c r="M33">
        <f>'Ind T4'!B96</f>
        <v>1.5465537797197948</v>
      </c>
      <c r="N33">
        <f>'Ind T4'!C96</f>
        <v>0.2814572920113223</v>
      </c>
    </row>
    <row r="34" spans="12:14" x14ac:dyDescent="0.2">
      <c r="L34" s="1" t="str">
        <f>CONCATENATE("[",'Ind T4'!A56,"]")</f>
        <v>[Manufacturing]</v>
      </c>
      <c r="M34">
        <f>'Ind T4'!B95</f>
        <v>-0.27840156966945084</v>
      </c>
      <c r="N34">
        <f>'Ind T4'!C95</f>
        <v>-0.60005766449598985</v>
      </c>
    </row>
    <row r="35" spans="12:14" x14ac:dyDescent="0.2">
      <c r="L35" s="13"/>
    </row>
    <row r="36" spans="12:14" x14ac:dyDescent="0.2">
      <c r="L36" s="13" t="str">
        <f>'Ind T4'!A54</f>
        <v>Water and sewerage</v>
      </c>
      <c r="M36">
        <f>'Ind T4'!B93</f>
        <v>-1.799950452106891</v>
      </c>
      <c r="N36">
        <f>'Ind T4'!C93</f>
        <v>0.6874606591248833</v>
      </c>
    </row>
    <row r="37" spans="12:14" x14ac:dyDescent="0.2">
      <c r="L37" s="13" t="str">
        <f>'Ind T4'!A53</f>
        <v>Electricity and gas</v>
      </c>
      <c r="M37">
        <f>'Ind T4'!B92</f>
        <v>0.33696582569997524</v>
      </c>
      <c r="N37">
        <f>'Ind T4'!C92</f>
        <v>-0.27303690777481515</v>
      </c>
    </row>
    <row r="38" spans="12:14" x14ac:dyDescent="0.2">
      <c r="L38" s="13" t="str">
        <f>'Ind T4'!A52</f>
        <v>Mining and quarrying</v>
      </c>
      <c r="M38">
        <f>'Ind T4'!B91</f>
        <v>5.3645494647709846</v>
      </c>
      <c r="N38">
        <f>'Ind T4'!C91</f>
        <v>-3.4917539161036459</v>
      </c>
    </row>
    <row r="39" spans="12:14" x14ac:dyDescent="0.2">
      <c r="L39" s="45" t="str">
        <f>'Ind T4'!A51</f>
        <v>Agriculture</v>
      </c>
      <c r="M39">
        <f>'Ind T4'!B90</f>
        <v>2.9559045328480638</v>
      </c>
      <c r="N39">
        <f>'Ind T4'!C90</f>
        <v>-0.21288641698670174</v>
      </c>
    </row>
    <row r="40" spans="12:14" x14ac:dyDescent="0.2">
      <c r="L40" s="1" t="str">
        <f>CONCATENATE("[",'Ind T4'!A50,"]")</f>
        <v>[Primary sector and utilities]</v>
      </c>
      <c r="M40">
        <f>'Ind T4'!B89</f>
        <v>1.6951135220768965</v>
      </c>
      <c r="N40">
        <f>'Ind T4'!C89</f>
        <v>-0.11546214798360266</v>
      </c>
    </row>
    <row r="43" spans="12:14" x14ac:dyDescent="0.2">
      <c r="L43" t="str">
        <f>REPT(" ",11)</f>
        <v xml:space="preserve">           </v>
      </c>
    </row>
  </sheetData>
  <phoneticPr fontId="4" type="noConversion"/>
  <conditionalFormatting sqref="O18:P18 O25:P25 L6:P6 L8:P8 L13:P13 L23:P23 L28:N28 L30:N30">
    <cfRule type="cellIs" dxfId="12" priority="1" stopIfTrue="1" operator="equal">
      <formula>0</formula>
    </cfRule>
  </conditionalFormatting>
  <pageMargins left="0.55118110236220474" right="0.55118110236220474" top="0.98425196850393704" bottom="0.98425196850393704" header="0.51181102362204722" footer="0.51181102362204722"/>
  <pageSetup paperSize="9" scale="90" orientation="portrait" r:id="rId1"/>
  <headerFooter alignWithMargins="0"/>
  <drawing r:id="rId2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B00-000000000000}">
  <sheetPr codeName="Sheet14"/>
  <dimension ref="A1:CR268"/>
  <sheetViews>
    <sheetView zoomScale="75" zoomScaleNormal="75" workbookViewId="0"/>
  </sheetViews>
  <sheetFormatPr defaultRowHeight="12.75" x14ac:dyDescent="0.2"/>
  <cols>
    <col min="1" max="1" width="17" style="81" customWidth="1"/>
    <col min="2" max="10" width="9.140625" style="81"/>
    <col min="11" max="11" width="24.5703125" style="81" customWidth="1"/>
    <col min="12" max="12" width="25.5703125" customWidth="1"/>
    <col min="13" max="13" width="5.42578125" bestFit="1" customWidth="1"/>
    <col min="14" max="14" width="5.140625" bestFit="1" customWidth="1"/>
    <col min="15" max="22" width="5.42578125" bestFit="1" customWidth="1"/>
    <col min="23" max="23" width="5.85546875" bestFit="1" customWidth="1"/>
    <col min="24" max="24" width="5.42578125" bestFit="1" customWidth="1"/>
    <col min="25" max="33" width="5.85546875" bestFit="1" customWidth="1"/>
    <col min="34" max="34" width="5.42578125" bestFit="1" customWidth="1"/>
    <col min="35" max="38" width="5.85546875" bestFit="1" customWidth="1"/>
    <col min="39" max="40" width="7.5703125" customWidth="1"/>
    <col min="41" max="41" width="6.85546875" customWidth="1"/>
    <col min="42" max="42" width="7.140625" customWidth="1"/>
    <col min="43" max="43" width="7.5703125" customWidth="1"/>
    <col min="44" max="44" width="7.140625" customWidth="1"/>
    <col min="45" max="47" width="7.5703125" customWidth="1"/>
    <col min="48" max="48" width="7.140625" customWidth="1"/>
    <col min="49" max="52" width="7.5703125" customWidth="1"/>
    <col min="53" max="53" width="6.85546875" customWidth="1"/>
    <col min="54" max="57" width="7.5703125" customWidth="1"/>
    <col min="58" max="58" width="7.140625" customWidth="1"/>
    <col min="59" max="59" width="7.5703125" customWidth="1"/>
    <col min="60" max="60" width="6.5703125" customWidth="1"/>
    <col min="61" max="63" width="7.5703125" customWidth="1"/>
    <col min="64" max="64" width="2.42578125" customWidth="1"/>
    <col min="65" max="65" width="6.28515625" customWidth="1"/>
    <col min="66" max="66" width="19.42578125" customWidth="1"/>
  </cols>
  <sheetData>
    <row r="1" spans="1:96" ht="15.75" x14ac:dyDescent="0.25">
      <c r="A1" s="80" t="str">
        <f>CONCATENATE("Industry Figure 2  Employment by Industry (SIC 2007), ",$M$2,"-",$O$2,", ",Info!B5)</f>
        <v>Industry Figure 2  Employment by Industry (SIC 2007), 2010-2035, Greater Lincolnshire</v>
      </c>
      <c r="L1" s="46"/>
    </row>
    <row r="2" spans="1:96" x14ac:dyDescent="0.2">
      <c r="A2" s="182" t="s">
        <v>515</v>
      </c>
      <c r="L2" s="16" t="s">
        <v>29</v>
      </c>
      <c r="M2" s="48">
        <f>M4</f>
        <v>2010</v>
      </c>
      <c r="N2" s="47" t="s">
        <v>28</v>
      </c>
      <c r="O2" s="48">
        <f>MAX(Q4:BQ4)</f>
        <v>2035</v>
      </c>
    </row>
    <row r="3" spans="1:96" x14ac:dyDescent="0.2">
      <c r="L3" s="16"/>
      <c r="M3" s="16"/>
      <c r="N3" s="47"/>
      <c r="O3" s="16"/>
    </row>
    <row r="4" spans="1:96" x14ac:dyDescent="0.2">
      <c r="L4" s="13"/>
      <c r="M4" s="48">
        <v>2010</v>
      </c>
      <c r="N4" s="48">
        <v>2011</v>
      </c>
      <c r="O4" s="48">
        <v>2012</v>
      </c>
      <c r="P4" s="48">
        <v>2013</v>
      </c>
      <c r="Q4" s="48">
        <v>2014</v>
      </c>
      <c r="R4" s="48">
        <v>2015</v>
      </c>
      <c r="S4" s="48">
        <v>2016</v>
      </c>
      <c r="T4" s="48">
        <v>2017</v>
      </c>
      <c r="U4" s="48">
        <v>2018</v>
      </c>
      <c r="V4" s="48">
        <v>2019</v>
      </c>
      <c r="W4" s="48">
        <v>2020</v>
      </c>
      <c r="X4" s="48">
        <v>2021</v>
      </c>
      <c r="Y4" s="48">
        <v>2022</v>
      </c>
      <c r="Z4" s="48">
        <v>2023</v>
      </c>
      <c r="AA4" s="48">
        <v>2024</v>
      </c>
      <c r="AB4" s="48">
        <v>2025</v>
      </c>
      <c r="AC4" s="48">
        <v>2026</v>
      </c>
      <c r="AD4" s="48">
        <v>2027</v>
      </c>
      <c r="AE4" s="48">
        <v>2028</v>
      </c>
      <c r="AF4" s="48">
        <v>2029</v>
      </c>
      <c r="AG4" s="48">
        <v>2030</v>
      </c>
      <c r="AH4" s="48">
        <v>2031</v>
      </c>
      <c r="AI4" s="48">
        <v>2032</v>
      </c>
      <c r="AJ4" s="48">
        <v>2033</v>
      </c>
      <c r="AK4" s="48">
        <v>2034</v>
      </c>
      <c r="AL4" s="48">
        <v>2035</v>
      </c>
      <c r="AM4" s="48">
        <f t="shared" ref="AM4" si="0">BP4</f>
        <v>0</v>
      </c>
      <c r="AN4" s="10"/>
      <c r="AO4" s="10"/>
      <c r="AP4" s="10"/>
      <c r="AQ4" s="48"/>
      <c r="AR4" s="48"/>
      <c r="AS4" s="48"/>
      <c r="AT4" s="48"/>
      <c r="AU4" s="48"/>
      <c r="AV4" s="48"/>
      <c r="AW4" s="48"/>
      <c r="AX4" s="48"/>
      <c r="AY4" s="48"/>
      <c r="AZ4" s="48"/>
      <c r="BA4" s="48"/>
      <c r="BB4" s="48"/>
      <c r="BC4" s="48"/>
      <c r="BD4" s="48"/>
      <c r="BE4" s="48"/>
      <c r="BF4" s="48"/>
      <c r="BG4" s="48"/>
      <c r="BH4" s="48"/>
      <c r="BI4" s="48"/>
      <c r="BJ4" s="48"/>
      <c r="BK4" s="48"/>
      <c r="BL4" s="48"/>
      <c r="BM4" s="48"/>
      <c r="BN4" s="48"/>
      <c r="BO4" s="48"/>
      <c r="BP4" s="48"/>
      <c r="BQ4" s="10"/>
      <c r="BS4" s="48"/>
      <c r="BT4" s="48"/>
      <c r="BU4" s="48"/>
      <c r="BV4" s="48"/>
      <c r="BW4" s="48"/>
      <c r="BX4" s="48"/>
      <c r="BY4" s="48"/>
      <c r="BZ4" s="48"/>
      <c r="CA4" s="48"/>
      <c r="CB4" s="48"/>
      <c r="CC4" s="48"/>
      <c r="CD4" s="48"/>
      <c r="CE4" s="48"/>
      <c r="CF4" s="48"/>
      <c r="CG4" s="48"/>
      <c r="CH4" s="48"/>
      <c r="CI4" s="48"/>
      <c r="CJ4" s="48"/>
      <c r="CK4" s="48"/>
      <c r="CL4" s="48"/>
      <c r="CM4" s="48"/>
      <c r="CN4" s="48"/>
      <c r="CO4" s="48"/>
      <c r="CP4" s="48"/>
      <c r="CQ4" s="48"/>
      <c r="CR4" s="48"/>
    </row>
    <row r="5" spans="1:96" x14ac:dyDescent="0.2">
      <c r="L5" s="1" t="str">
        <f>'Ind T4'!A7</f>
        <v>Primary sector and utilities</v>
      </c>
      <c r="M5" s="11">
        <f>SUM(M6:M9)</f>
        <v>17.247999999999983</v>
      </c>
      <c r="N5" s="11">
        <f t="shared" ref="N5:AL5" si="1">SUM(N6:N9)</f>
        <v>20.988000000000035</v>
      </c>
      <c r="O5" s="11">
        <f t="shared" si="1"/>
        <v>23.626000000000001</v>
      </c>
      <c r="P5" s="11">
        <f t="shared" si="1"/>
        <v>21.20600000000001</v>
      </c>
      <c r="Q5" s="11">
        <f t="shared" si="1"/>
        <v>18.76600000000002</v>
      </c>
      <c r="R5" s="11">
        <f t="shared" si="1"/>
        <v>19.640000000000022</v>
      </c>
      <c r="S5" s="11">
        <f t="shared" si="1"/>
        <v>19.928000000000029</v>
      </c>
      <c r="T5" s="11">
        <f t="shared" si="1"/>
        <v>21.581000000000031</v>
      </c>
      <c r="U5" s="11">
        <f t="shared" si="1"/>
        <v>21.871000000000038</v>
      </c>
      <c r="V5" s="11">
        <f t="shared" si="1"/>
        <v>18.652999999999963</v>
      </c>
      <c r="W5" s="11">
        <f t="shared" si="1"/>
        <v>21.362000000000037</v>
      </c>
      <c r="X5" s="11">
        <f t="shared" si="1"/>
        <v>21.167999999999989</v>
      </c>
      <c r="Y5" s="11">
        <f t="shared" si="1"/>
        <v>21.085000000000015</v>
      </c>
      <c r="Z5" s="11">
        <f t="shared" si="1"/>
        <v>21.094000000000012</v>
      </c>
      <c r="AA5" s="11">
        <f t="shared" si="1"/>
        <v>21.234999999999999</v>
      </c>
      <c r="AB5" s="11">
        <f t="shared" si="1"/>
        <v>21.268000000000029</v>
      </c>
      <c r="AC5" s="11">
        <f t="shared" si="1"/>
        <v>21.285</v>
      </c>
      <c r="AD5" s="11">
        <f t="shared" si="1"/>
        <v>21.276000000000021</v>
      </c>
      <c r="AE5" s="11">
        <f t="shared" si="1"/>
        <v>21.248000000000037</v>
      </c>
      <c r="AF5" s="11">
        <f t="shared" si="1"/>
        <v>21.212999999999958</v>
      </c>
      <c r="AG5" s="11">
        <f t="shared" si="1"/>
        <v>21.182999999999975</v>
      </c>
      <c r="AH5" s="11">
        <f t="shared" si="1"/>
        <v>21.147000000000013</v>
      </c>
      <c r="AI5" s="11">
        <f t="shared" si="1"/>
        <v>21.109999999999985</v>
      </c>
      <c r="AJ5" s="11">
        <f t="shared" si="1"/>
        <v>21.072000000000003</v>
      </c>
      <c r="AK5" s="11">
        <f t="shared" si="1"/>
        <v>21.033000000000015</v>
      </c>
      <c r="AL5" s="11">
        <f t="shared" si="1"/>
        <v>20.995000000000033</v>
      </c>
      <c r="AM5" s="11"/>
      <c r="AN5" s="11"/>
      <c r="AO5" s="11"/>
      <c r="AP5" s="11"/>
      <c r="AQ5" s="11"/>
      <c r="AR5" s="11"/>
      <c r="AS5" s="11"/>
      <c r="AT5" s="11"/>
      <c r="AU5" s="11"/>
      <c r="AV5" s="11"/>
      <c r="AW5" s="11"/>
      <c r="AX5" s="11"/>
      <c r="AY5" s="11"/>
      <c r="AZ5" s="11"/>
      <c r="BA5" s="11"/>
      <c r="BB5" s="11"/>
      <c r="BC5" s="11"/>
      <c r="BD5" s="11"/>
      <c r="BE5" s="11"/>
      <c r="BF5" s="11"/>
      <c r="BG5" s="11"/>
      <c r="BH5" s="11"/>
      <c r="BI5" s="11"/>
      <c r="BJ5" s="11"/>
      <c r="BK5" s="11"/>
      <c r="BL5" s="11"/>
      <c r="BM5" s="11"/>
      <c r="BN5" s="11"/>
      <c r="BO5" s="11"/>
      <c r="BP5" s="11"/>
      <c r="BQ5" s="11"/>
      <c r="BS5" s="11"/>
      <c r="BT5" s="11"/>
      <c r="BU5" s="11"/>
      <c r="BV5" s="11"/>
      <c r="BW5" s="11"/>
      <c r="BX5" s="11"/>
      <c r="BY5" s="11"/>
      <c r="BZ5" s="11"/>
      <c r="CA5" s="11"/>
      <c r="CB5" s="11"/>
      <c r="CC5" s="11"/>
      <c r="CD5" s="11"/>
      <c r="CE5" s="11"/>
      <c r="CF5" s="11"/>
      <c r="CG5" s="11"/>
      <c r="CH5" s="11"/>
      <c r="CI5" s="11"/>
      <c r="CJ5" s="11"/>
      <c r="CK5" s="11"/>
      <c r="CL5" s="11"/>
      <c r="CM5" s="11"/>
      <c r="CN5" s="11"/>
      <c r="CO5" s="11"/>
      <c r="CP5" s="11"/>
      <c r="CQ5" s="11"/>
      <c r="CR5" s="11"/>
    </row>
    <row r="6" spans="1:96" x14ac:dyDescent="0.2">
      <c r="L6" s="83" t="str">
        <f>'Ind T4'!A8</f>
        <v>Agriculture</v>
      </c>
      <c r="M6" s="11">
        <v>11.098999999999979</v>
      </c>
      <c r="N6" s="11">
        <v>14.375000000000034</v>
      </c>
      <c r="O6" s="11">
        <v>16.556999999999995</v>
      </c>
      <c r="P6" s="11">
        <v>14.324000000000005</v>
      </c>
      <c r="Q6" s="11">
        <v>11.130000000000026</v>
      </c>
      <c r="R6" s="11">
        <v>12.392000000000024</v>
      </c>
      <c r="S6" s="11">
        <v>13.015000000000036</v>
      </c>
      <c r="T6" s="11">
        <v>14.435000000000025</v>
      </c>
      <c r="U6" s="11">
        <v>14.459000000000037</v>
      </c>
      <c r="V6" s="11">
        <v>11.259999999999964</v>
      </c>
      <c r="W6" s="11">
        <v>14.335000000000026</v>
      </c>
      <c r="X6" s="11">
        <v>14.327999999999992</v>
      </c>
      <c r="Y6" s="11">
        <v>14.327000000000025</v>
      </c>
      <c r="Z6" s="11">
        <v>14.324000000000002</v>
      </c>
      <c r="AA6" s="11">
        <v>14.297999999999995</v>
      </c>
      <c r="AB6" s="11">
        <v>14.250000000000018</v>
      </c>
      <c r="AC6" s="11">
        <v>14.213000000000005</v>
      </c>
      <c r="AD6" s="11">
        <v>14.175000000000018</v>
      </c>
      <c r="AE6" s="11">
        <v>14.133000000000031</v>
      </c>
      <c r="AF6" s="11">
        <v>14.091999999999969</v>
      </c>
      <c r="AG6" s="11">
        <v>14.058999999999966</v>
      </c>
      <c r="AH6" s="11">
        <v>14.025000000000004</v>
      </c>
      <c r="AI6" s="11">
        <v>13.990999999999987</v>
      </c>
      <c r="AJ6" s="11">
        <v>13.956000000000005</v>
      </c>
      <c r="AK6" s="172">
        <v>13.920000000000012</v>
      </c>
      <c r="AL6" s="11">
        <v>13.884000000000032</v>
      </c>
      <c r="AM6" s="11"/>
      <c r="AN6" s="11"/>
      <c r="AO6" s="11"/>
      <c r="AP6" s="11"/>
      <c r="AQ6" s="11"/>
      <c r="AR6" s="11"/>
      <c r="AS6" s="11"/>
      <c r="AT6" s="11"/>
      <c r="AU6" s="11"/>
      <c r="AV6" s="11"/>
      <c r="AW6" s="11"/>
      <c r="AX6" s="11"/>
      <c r="AY6" s="11"/>
      <c r="AZ6" s="11"/>
      <c r="BA6" s="11"/>
      <c r="BB6" s="11"/>
      <c r="BC6" s="11"/>
      <c r="BD6" s="11"/>
      <c r="BE6" s="11"/>
      <c r="BF6" s="11"/>
      <c r="BG6" s="11"/>
      <c r="BH6" s="11"/>
      <c r="BI6" s="11"/>
      <c r="BJ6" s="11"/>
      <c r="BK6" s="11"/>
      <c r="BL6" s="11"/>
      <c r="BM6" s="11"/>
      <c r="BN6" s="11"/>
      <c r="BO6" s="11"/>
      <c r="BP6" s="11"/>
      <c r="BQ6" s="11"/>
      <c r="BS6" s="11"/>
      <c r="BT6" s="11"/>
      <c r="BU6" s="11"/>
      <c r="BV6" s="11"/>
      <c r="BW6" s="11"/>
      <c r="BX6" s="11"/>
      <c r="BY6" s="11"/>
      <c r="BZ6" s="11"/>
      <c r="CA6" s="11"/>
      <c r="CB6" s="11"/>
      <c r="CC6" s="11"/>
      <c r="CD6" s="11"/>
      <c r="CE6" s="11"/>
      <c r="CF6" s="11"/>
      <c r="CG6" s="11"/>
      <c r="CH6" s="11"/>
      <c r="CI6" s="11"/>
      <c r="CJ6" s="11"/>
      <c r="CK6" s="11"/>
      <c r="CL6" s="11"/>
      <c r="CM6" s="11"/>
      <c r="CN6" s="11"/>
      <c r="CO6" s="11"/>
      <c r="CP6" s="11"/>
      <c r="CQ6" s="11"/>
      <c r="CR6" s="11"/>
    </row>
    <row r="7" spans="1:96" x14ac:dyDescent="0.2">
      <c r="L7" s="83" t="str">
        <f>'Ind T4'!A9</f>
        <v>Mining and quarrying</v>
      </c>
      <c r="M7" s="11">
        <v>0.8539999999999992</v>
      </c>
      <c r="N7" s="11">
        <v>0.97799999999999998</v>
      </c>
      <c r="O7" s="11">
        <v>0.87499999999999634</v>
      </c>
      <c r="P7" s="11">
        <v>0.46600000000000069</v>
      </c>
      <c r="Q7" s="11">
        <v>0.58699999999999997</v>
      </c>
      <c r="R7" s="11">
        <v>0.70999999999999963</v>
      </c>
      <c r="S7" s="11">
        <v>0.84599999999999898</v>
      </c>
      <c r="T7" s="11">
        <v>0.83600000000000141</v>
      </c>
      <c r="U7" s="11">
        <v>0.98599999999999843</v>
      </c>
      <c r="V7" s="11">
        <v>0.93399999999999828</v>
      </c>
      <c r="W7" s="11">
        <v>0.92199999999999949</v>
      </c>
      <c r="X7" s="11">
        <v>0.876000000000001</v>
      </c>
      <c r="Y7" s="11">
        <v>0.85799999999999965</v>
      </c>
      <c r="Z7" s="11">
        <v>0.81899999999999684</v>
      </c>
      <c r="AA7" s="11">
        <v>0.7790000000000008</v>
      </c>
      <c r="AB7" s="11">
        <v>0.747</v>
      </c>
      <c r="AC7" s="11">
        <v>0.7200000000000002</v>
      </c>
      <c r="AD7" s="11">
        <v>0.69499999999999984</v>
      </c>
      <c r="AE7" s="11">
        <v>0.67100000000000037</v>
      </c>
      <c r="AF7" s="11">
        <v>0.64899999999999947</v>
      </c>
      <c r="AG7" s="11">
        <v>0.62999999999999845</v>
      </c>
      <c r="AH7" s="11">
        <v>0.60900000000000265</v>
      </c>
      <c r="AI7" s="11">
        <v>0.59000000000000052</v>
      </c>
      <c r="AJ7" s="11">
        <v>0.57299999999999895</v>
      </c>
      <c r="AK7" s="172">
        <v>0.55600000000000105</v>
      </c>
      <c r="AL7" s="11">
        <v>0.54099999999999993</v>
      </c>
      <c r="AM7" s="11"/>
      <c r="AN7" s="11"/>
      <c r="AO7" s="11"/>
      <c r="AP7" s="11"/>
      <c r="AQ7" s="11"/>
      <c r="AR7" s="11"/>
      <c r="AS7" s="11"/>
      <c r="AT7" s="11"/>
      <c r="AU7" s="11"/>
      <c r="AV7" s="11"/>
      <c r="AW7" s="11"/>
      <c r="AX7" s="11"/>
      <c r="AY7" s="11"/>
      <c r="AZ7" s="11"/>
      <c r="BA7" s="11"/>
      <c r="BB7" s="11"/>
      <c r="BC7" s="11"/>
      <c r="BD7" s="11"/>
      <c r="BE7" s="11"/>
      <c r="BF7" s="11"/>
      <c r="BG7" s="11"/>
      <c r="BH7" s="11"/>
      <c r="BI7" s="11"/>
      <c r="BJ7" s="11"/>
      <c r="BK7" s="11"/>
      <c r="BL7" s="11"/>
      <c r="BM7" s="11"/>
      <c r="BN7" s="11"/>
      <c r="BO7" s="11"/>
      <c r="BP7" s="11"/>
      <c r="BQ7" s="11"/>
      <c r="BS7" s="11"/>
      <c r="BT7" s="11"/>
      <c r="BU7" s="11"/>
      <c r="BV7" s="11"/>
      <c r="BW7" s="11"/>
      <c r="BX7" s="11"/>
      <c r="BY7" s="11"/>
      <c r="BZ7" s="11"/>
      <c r="CA7" s="11"/>
      <c r="CB7" s="11"/>
      <c r="CC7" s="11"/>
      <c r="CD7" s="11"/>
      <c r="CE7" s="11"/>
      <c r="CF7" s="11"/>
      <c r="CG7" s="11"/>
      <c r="CH7" s="11"/>
      <c r="CI7" s="11"/>
      <c r="CJ7" s="11"/>
      <c r="CK7" s="11"/>
      <c r="CL7" s="11"/>
      <c r="CM7" s="11"/>
      <c r="CN7" s="11"/>
      <c r="CO7" s="11"/>
      <c r="CP7" s="11"/>
      <c r="CQ7" s="11"/>
      <c r="CR7" s="11"/>
    </row>
    <row r="8" spans="1:96" x14ac:dyDescent="0.2">
      <c r="L8" s="83" t="str">
        <f>'Ind T4'!A10</f>
        <v>Electricity and gas</v>
      </c>
      <c r="M8" s="11">
        <v>1.2300000000000029</v>
      </c>
      <c r="N8" s="11">
        <v>1.236</v>
      </c>
      <c r="O8" s="11">
        <v>1.6920000000000006</v>
      </c>
      <c r="P8" s="11">
        <v>1.394000000000003</v>
      </c>
      <c r="Q8" s="11">
        <v>1.4419999999999955</v>
      </c>
      <c r="R8" s="11">
        <v>1.297000000000003</v>
      </c>
      <c r="S8" s="11">
        <v>1.2290000000000001</v>
      </c>
      <c r="T8" s="11">
        <v>1.2920000000000031</v>
      </c>
      <c r="U8" s="11">
        <v>1.4069999999999978</v>
      </c>
      <c r="V8" s="11">
        <v>1.3590000000000013</v>
      </c>
      <c r="W8" s="11">
        <v>1.3190000000000015</v>
      </c>
      <c r="X8" s="11">
        <v>1.3050000000000006</v>
      </c>
      <c r="Y8" s="11">
        <v>1.2830000000000001</v>
      </c>
      <c r="Z8" s="11">
        <v>1.2780000000000002</v>
      </c>
      <c r="AA8" s="11">
        <v>1.2759999999999996</v>
      </c>
      <c r="AB8" s="11">
        <v>1.2739999999999985</v>
      </c>
      <c r="AC8" s="11">
        <v>1.2720000000000002</v>
      </c>
      <c r="AD8" s="11">
        <v>1.2700000000000038</v>
      </c>
      <c r="AE8" s="11">
        <v>1.268999999999999</v>
      </c>
      <c r="AF8" s="11">
        <v>1.2679999999999993</v>
      </c>
      <c r="AG8" s="11">
        <v>1.2670000000000012</v>
      </c>
      <c r="AH8" s="11">
        <v>1.2670000000000017</v>
      </c>
      <c r="AI8" s="11">
        <v>1.2660000000000056</v>
      </c>
      <c r="AJ8" s="11">
        <v>1.2659999999999991</v>
      </c>
      <c r="AK8" s="172">
        <v>1.2660000000000036</v>
      </c>
      <c r="AL8" s="11">
        <v>1.2660000000000007</v>
      </c>
      <c r="AM8" s="11"/>
      <c r="AN8" s="11"/>
      <c r="AO8" s="11"/>
      <c r="AP8" s="11"/>
      <c r="AQ8" s="11"/>
      <c r="AR8" s="11"/>
      <c r="AS8" s="11"/>
      <c r="AT8" s="11"/>
      <c r="AU8" s="11"/>
      <c r="AV8" s="11"/>
      <c r="AW8" s="11"/>
      <c r="AX8" s="11"/>
      <c r="AY8" s="11"/>
      <c r="AZ8" s="11"/>
      <c r="BA8" s="11"/>
      <c r="BB8" s="11"/>
      <c r="BC8" s="11"/>
      <c r="BD8" s="11"/>
      <c r="BE8" s="11"/>
      <c r="BF8" s="11"/>
      <c r="BG8" s="11"/>
      <c r="BH8" s="11"/>
      <c r="BI8" s="11"/>
      <c r="BJ8" s="11"/>
      <c r="BK8" s="11"/>
      <c r="BL8" s="11"/>
      <c r="BM8" s="11"/>
      <c r="BN8" s="11"/>
      <c r="BO8" s="11"/>
      <c r="BP8" s="11"/>
      <c r="BQ8" s="11"/>
      <c r="BS8" s="11"/>
      <c r="BT8" s="11"/>
      <c r="BU8" s="11"/>
      <c r="BV8" s="11"/>
      <c r="BW8" s="11"/>
      <c r="BX8" s="11"/>
      <c r="BY8" s="11"/>
      <c r="BZ8" s="11"/>
      <c r="CA8" s="11"/>
      <c r="CB8" s="11"/>
      <c r="CC8" s="11"/>
      <c r="CD8" s="11"/>
      <c r="CE8" s="11"/>
      <c r="CF8" s="11"/>
      <c r="CG8" s="11"/>
      <c r="CH8" s="11"/>
      <c r="CI8" s="11"/>
      <c r="CJ8" s="11"/>
      <c r="CK8" s="11"/>
      <c r="CL8" s="11"/>
      <c r="CM8" s="11"/>
      <c r="CN8" s="11"/>
      <c r="CO8" s="11"/>
      <c r="CP8" s="11"/>
      <c r="CQ8" s="11"/>
      <c r="CR8" s="11"/>
    </row>
    <row r="9" spans="1:96" x14ac:dyDescent="0.2">
      <c r="L9" s="83" t="str">
        <f>'Ind T4'!A11</f>
        <v>Water and sewerage</v>
      </c>
      <c r="M9" s="11">
        <v>4.0650000000000031</v>
      </c>
      <c r="N9" s="11">
        <v>4.3990000000000009</v>
      </c>
      <c r="O9" s="11">
        <v>4.5020000000000087</v>
      </c>
      <c r="P9" s="11">
        <v>5.0220000000000038</v>
      </c>
      <c r="Q9" s="11">
        <v>5.6069999999999993</v>
      </c>
      <c r="R9" s="11">
        <v>5.2409999999999943</v>
      </c>
      <c r="S9" s="11">
        <v>4.8379999999999939</v>
      </c>
      <c r="T9" s="11">
        <v>5.0180000000000025</v>
      </c>
      <c r="U9" s="11">
        <v>5.0190000000000063</v>
      </c>
      <c r="V9" s="11">
        <v>5.1000000000000014</v>
      </c>
      <c r="W9" s="11">
        <v>4.7860000000000129</v>
      </c>
      <c r="X9" s="11">
        <v>4.6589999999999945</v>
      </c>
      <c r="Y9" s="11">
        <v>4.6169999999999884</v>
      </c>
      <c r="Z9" s="11">
        <v>4.6730000000000116</v>
      </c>
      <c r="AA9" s="11">
        <v>4.8820000000000059</v>
      </c>
      <c r="AB9" s="11">
        <v>4.9970000000000159</v>
      </c>
      <c r="AC9" s="11">
        <v>5.0799999999999947</v>
      </c>
      <c r="AD9" s="11">
        <v>5.1359999999999983</v>
      </c>
      <c r="AE9" s="11">
        <v>5.1750000000000043</v>
      </c>
      <c r="AF9" s="11">
        <v>5.2039999999999891</v>
      </c>
      <c r="AG9" s="11">
        <v>5.2270000000000092</v>
      </c>
      <c r="AH9" s="11">
        <v>5.2460000000000058</v>
      </c>
      <c r="AI9" s="11">
        <v>5.2629999999999919</v>
      </c>
      <c r="AJ9" s="11">
        <v>5.2770000000000019</v>
      </c>
      <c r="AK9" s="172">
        <v>5.2910000000000004</v>
      </c>
      <c r="AL9" s="11">
        <v>5.3039999999999985</v>
      </c>
      <c r="AM9" s="11"/>
      <c r="AN9" s="11"/>
      <c r="AO9" s="11"/>
      <c r="AP9" s="11"/>
      <c r="AQ9" s="11"/>
      <c r="AR9" s="11"/>
      <c r="AS9" s="11"/>
      <c r="AT9" s="11"/>
      <c r="AU9" s="11"/>
      <c r="AV9" s="11"/>
      <c r="AW9" s="11"/>
      <c r="AX9" s="11"/>
      <c r="AY9" s="11"/>
      <c r="AZ9" s="11"/>
      <c r="BA9" s="11"/>
      <c r="BB9" s="11"/>
      <c r="BC9" s="11"/>
      <c r="BD9" s="11"/>
      <c r="BE9" s="11"/>
      <c r="BF9" s="11"/>
      <c r="BG9" s="11"/>
      <c r="BH9" s="11"/>
      <c r="BI9" s="11"/>
      <c r="BJ9" s="11"/>
      <c r="BK9" s="11"/>
      <c r="BL9" s="11"/>
      <c r="BM9" s="11"/>
      <c r="BN9" s="11"/>
      <c r="BO9" s="11"/>
      <c r="BP9" s="11"/>
      <c r="BQ9" s="11"/>
      <c r="BS9" s="11"/>
      <c r="BT9" s="11"/>
      <c r="BU9" s="11"/>
      <c r="BV9" s="11"/>
      <c r="BW9" s="11"/>
      <c r="BX9" s="11"/>
      <c r="BY9" s="11"/>
      <c r="BZ9" s="11"/>
      <c r="CA9" s="11"/>
      <c r="CB9" s="11"/>
      <c r="CC9" s="11"/>
      <c r="CD9" s="11"/>
      <c r="CE9" s="11"/>
      <c r="CF9" s="11"/>
      <c r="CG9" s="11"/>
      <c r="CH9" s="11"/>
      <c r="CI9" s="11"/>
      <c r="CJ9" s="11"/>
      <c r="CK9" s="11"/>
      <c r="CL9" s="11"/>
      <c r="CM9" s="11"/>
      <c r="CN9" s="11"/>
      <c r="CO9" s="11"/>
      <c r="CP9" s="11"/>
      <c r="CQ9" s="11"/>
      <c r="CR9" s="11"/>
    </row>
    <row r="10" spans="1:96" x14ac:dyDescent="0.2">
      <c r="L10" s="13"/>
      <c r="AK10" s="172"/>
      <c r="AP10" s="11"/>
      <c r="BF10" s="11"/>
      <c r="BG10" s="11"/>
      <c r="BH10" s="11"/>
      <c r="BI10" s="11"/>
      <c r="BJ10" s="11"/>
      <c r="BK10" s="11"/>
      <c r="BL10" s="11"/>
      <c r="BM10" s="11"/>
      <c r="BN10" s="11"/>
      <c r="BO10" s="11"/>
      <c r="BP10" s="11"/>
      <c r="BQ10" s="11"/>
      <c r="BS10" s="11"/>
      <c r="BT10" s="11"/>
      <c r="BU10" s="11"/>
      <c r="BV10" s="11"/>
      <c r="BW10" s="11"/>
      <c r="BX10" s="11"/>
      <c r="BY10" s="11"/>
      <c r="BZ10" s="11"/>
      <c r="CA10" s="11"/>
      <c r="CB10" s="11"/>
      <c r="CC10" s="11"/>
      <c r="CD10" s="11"/>
      <c r="CE10" s="11"/>
      <c r="CF10" s="11"/>
      <c r="CG10" s="11"/>
      <c r="CH10" s="11"/>
      <c r="CI10" s="11"/>
      <c r="CJ10" s="11"/>
      <c r="CK10" s="11"/>
      <c r="CL10" s="11"/>
      <c r="CM10" s="11"/>
      <c r="CN10" s="11"/>
      <c r="CO10" s="11"/>
      <c r="CP10" s="11"/>
      <c r="CQ10" s="11"/>
      <c r="CR10" s="11"/>
    </row>
    <row r="11" spans="1:96" x14ac:dyDescent="0.2">
      <c r="L11" s="1" t="str">
        <f>'Ind T4'!A13</f>
        <v>Manufacturing</v>
      </c>
      <c r="M11" s="11">
        <f t="shared" ref="M11:Q11" si="2">SUM(M12:M14)</f>
        <v>62.335000000000129</v>
      </c>
      <c r="N11" s="11">
        <f t="shared" si="2"/>
        <v>63.039999999999992</v>
      </c>
      <c r="O11" s="11">
        <f t="shared" si="2"/>
        <v>62.527000000000051</v>
      </c>
      <c r="P11" s="11">
        <f t="shared" si="2"/>
        <v>61.847000000000037</v>
      </c>
      <c r="Q11" s="11">
        <f t="shared" si="2"/>
        <v>63.708999999999911</v>
      </c>
      <c r="R11" s="11">
        <f t="shared" ref="R11" si="3">SUM(R12:R14)</f>
        <v>68.989000000000146</v>
      </c>
      <c r="S11" s="11">
        <f t="shared" ref="S11" si="4">SUM(S12:S14)</f>
        <v>65.387999999999906</v>
      </c>
      <c r="T11" s="11">
        <f t="shared" ref="T11" si="5">SUM(T12:T14)</f>
        <v>71.400999999999925</v>
      </c>
      <c r="U11" s="11">
        <f t="shared" ref="U11" si="6">SUM(U12:U14)</f>
        <v>74.370000000000047</v>
      </c>
      <c r="V11" s="11">
        <f t="shared" ref="V11" si="7">SUM(V12:V14)</f>
        <v>67.950999999999979</v>
      </c>
      <c r="W11" s="11">
        <f t="shared" ref="W11" si="8">SUM(W12:W14)</f>
        <v>68.03400000000002</v>
      </c>
      <c r="X11" s="11">
        <f t="shared" ref="X11" si="9">SUM(X12:X14)</f>
        <v>67.930999999999997</v>
      </c>
      <c r="Y11" s="11">
        <f t="shared" ref="Y11" si="10">SUM(Y12:Y14)</f>
        <v>67.490999999999985</v>
      </c>
      <c r="Z11" s="11">
        <f t="shared" ref="Z11" si="11">SUM(Z12:Z14)</f>
        <v>66.89500000000001</v>
      </c>
      <c r="AA11" s="11">
        <f t="shared" ref="AA11" si="12">SUM(AA12:AA14)</f>
        <v>66.452000000000112</v>
      </c>
      <c r="AB11" s="11">
        <f t="shared" ref="AB11" si="13">SUM(AB12:AB14)</f>
        <v>65.943999999999946</v>
      </c>
      <c r="AC11" s="11">
        <f t="shared" ref="AC11" si="14">SUM(AC12:AC14)</f>
        <v>65.491000000000156</v>
      </c>
      <c r="AD11" s="11">
        <f>SUM(AD12:AD14)</f>
        <v>65.028999999999897</v>
      </c>
      <c r="AE11" s="11">
        <f t="shared" ref="AE11" si="15">SUM(AE12:AE14)</f>
        <v>64.592000000000041</v>
      </c>
      <c r="AF11" s="11">
        <f t="shared" ref="AF11" si="16">SUM(AF12:AF14)</f>
        <v>64.174000000000021</v>
      </c>
      <c r="AG11" s="11">
        <f t="shared" ref="AG11:AL11" si="17">SUM(AG12:AG14)</f>
        <v>63.819000000000109</v>
      </c>
      <c r="AH11" s="11">
        <f t="shared" si="17"/>
        <v>63.463999999999949</v>
      </c>
      <c r="AI11" s="11">
        <f t="shared" si="17"/>
        <v>63.120000000000033</v>
      </c>
      <c r="AJ11" s="11">
        <f t="shared" si="17"/>
        <v>62.788000000000004</v>
      </c>
      <c r="AK11" s="11">
        <f t="shared" si="17"/>
        <v>62.466000000000101</v>
      </c>
      <c r="AL11" s="11">
        <f t="shared" si="17"/>
        <v>62.16099999999998</v>
      </c>
      <c r="AM11" s="11"/>
      <c r="AN11" s="11"/>
      <c r="AO11" s="11"/>
      <c r="AP11" s="11"/>
      <c r="AQ11" s="11"/>
      <c r="AR11" s="11"/>
      <c r="AS11" s="11"/>
      <c r="AT11" s="11"/>
      <c r="AU11" s="11"/>
      <c r="AV11" s="11"/>
      <c r="AW11" s="11"/>
      <c r="AX11" s="11"/>
      <c r="AY11" s="11"/>
      <c r="AZ11" s="11"/>
      <c r="BA11" s="11"/>
      <c r="BB11" s="11"/>
      <c r="BC11" s="11"/>
      <c r="BD11" s="11"/>
      <c r="BE11" s="11"/>
      <c r="BF11" s="11"/>
      <c r="BG11" s="11"/>
      <c r="BH11" s="11"/>
      <c r="BI11" s="11"/>
      <c r="BJ11" s="11"/>
      <c r="BK11" s="11"/>
      <c r="BL11" s="11"/>
      <c r="BM11" s="11"/>
      <c r="BN11" s="11"/>
      <c r="BO11" s="11"/>
      <c r="BP11" s="11"/>
      <c r="BQ11" s="11"/>
      <c r="BS11" s="11"/>
      <c r="BT11" s="11"/>
      <c r="BU11" s="11"/>
      <c r="BV11" s="11"/>
      <c r="BW11" s="11"/>
      <c r="BX11" s="11"/>
      <c r="BY11" s="11"/>
      <c r="BZ11" s="11"/>
      <c r="CA11" s="11"/>
      <c r="CB11" s="11"/>
      <c r="CC11" s="11"/>
      <c r="CD11" s="11"/>
      <c r="CE11" s="11"/>
      <c r="CF11" s="11"/>
      <c r="CG11" s="11"/>
      <c r="CH11" s="11"/>
      <c r="CI11" s="11"/>
      <c r="CJ11" s="11"/>
      <c r="CK11" s="11"/>
      <c r="CL11" s="11"/>
      <c r="CM11" s="11"/>
      <c r="CN11" s="11"/>
      <c r="CO11" s="11"/>
      <c r="CP11" s="11"/>
      <c r="CQ11" s="11"/>
      <c r="CR11" s="11"/>
    </row>
    <row r="12" spans="1:96" x14ac:dyDescent="0.2">
      <c r="L12" s="83" t="str">
        <f>'Ind T4'!A14</f>
        <v>Food drink and tobacco</v>
      </c>
      <c r="M12" s="11">
        <v>20.941000000000003</v>
      </c>
      <c r="N12" s="11">
        <v>19.639999999999972</v>
      </c>
      <c r="O12" s="11">
        <v>20.678000000000061</v>
      </c>
      <c r="P12" s="11">
        <v>21.252000000000017</v>
      </c>
      <c r="Q12" s="11">
        <v>21.216999999999935</v>
      </c>
      <c r="R12" s="11">
        <v>22.367999999999988</v>
      </c>
      <c r="S12" s="11">
        <v>24.907000000000011</v>
      </c>
      <c r="T12" s="11">
        <v>25.79999999999994</v>
      </c>
      <c r="U12" s="11">
        <v>26.809999999999974</v>
      </c>
      <c r="V12" s="11">
        <v>24.064000000000018</v>
      </c>
      <c r="W12" s="11">
        <v>24.152000000000037</v>
      </c>
      <c r="X12" s="11">
        <v>24.376999999999949</v>
      </c>
      <c r="Y12" s="11">
        <v>24.668999999999958</v>
      </c>
      <c r="Z12" s="11">
        <v>24.884999999999973</v>
      </c>
      <c r="AA12" s="11">
        <v>24.971999999999987</v>
      </c>
      <c r="AB12" s="11">
        <v>24.98199999999995</v>
      </c>
      <c r="AC12" s="11">
        <v>24.993000000000034</v>
      </c>
      <c r="AD12" s="11">
        <v>24.998999999999985</v>
      </c>
      <c r="AE12" s="11">
        <v>25.005000000000038</v>
      </c>
      <c r="AF12" s="11">
        <v>25.011000000000013</v>
      </c>
      <c r="AG12" s="11">
        <v>25.040000000000024</v>
      </c>
      <c r="AH12" s="11">
        <v>25.07200000000001</v>
      </c>
      <c r="AI12" s="11">
        <v>25.104000000000013</v>
      </c>
      <c r="AJ12" s="11">
        <v>25.134999999999994</v>
      </c>
      <c r="AK12" s="172">
        <v>25.164000000000058</v>
      </c>
      <c r="AL12" s="11">
        <v>25.192000000000025</v>
      </c>
      <c r="AM12" s="11"/>
      <c r="AN12" s="11"/>
      <c r="AO12" s="11"/>
      <c r="AP12" s="11"/>
      <c r="AQ12" s="11"/>
      <c r="AR12" s="11"/>
      <c r="AS12" s="11"/>
      <c r="AT12" s="11"/>
      <c r="AU12" s="11"/>
      <c r="AV12" s="11"/>
      <c r="AW12" s="11"/>
      <c r="AX12" s="11"/>
      <c r="AY12" s="11"/>
      <c r="AZ12" s="11"/>
      <c r="BA12" s="11"/>
      <c r="BB12" s="11"/>
      <c r="BC12" s="11"/>
      <c r="BD12" s="11"/>
      <c r="BE12" s="11"/>
      <c r="BF12" s="11"/>
      <c r="BG12" s="11"/>
      <c r="BH12" s="11"/>
      <c r="BI12" s="11"/>
      <c r="BJ12" s="11"/>
      <c r="BK12" s="11"/>
      <c r="BL12" s="11"/>
      <c r="BM12" s="11"/>
      <c r="BN12" s="11"/>
      <c r="BO12" s="11"/>
      <c r="BP12" s="11"/>
      <c r="BQ12" s="11"/>
      <c r="BS12" s="11"/>
      <c r="BT12" s="11"/>
      <c r="BU12" s="11"/>
      <c r="BV12" s="11"/>
      <c r="BW12" s="11"/>
      <c r="BX12" s="11"/>
      <c r="BY12" s="11"/>
      <c r="BZ12" s="11"/>
      <c r="CA12" s="11"/>
      <c r="CB12" s="11"/>
      <c r="CC12" s="11"/>
      <c r="CD12" s="11"/>
      <c r="CE12" s="11"/>
      <c r="CF12" s="11"/>
      <c r="CG12" s="11"/>
      <c r="CH12" s="11"/>
      <c r="CI12" s="11"/>
      <c r="CJ12" s="11"/>
      <c r="CK12" s="11"/>
      <c r="CL12" s="11"/>
      <c r="CM12" s="11"/>
      <c r="CN12" s="11"/>
      <c r="CO12" s="11"/>
      <c r="CP12" s="11"/>
      <c r="CQ12" s="11"/>
      <c r="CR12" s="11"/>
    </row>
    <row r="13" spans="1:96" x14ac:dyDescent="0.2">
      <c r="L13" s="83" t="str">
        <f>'Ind T4'!A15</f>
        <v>Engineering</v>
      </c>
      <c r="M13" s="11">
        <v>5.4530000000000118</v>
      </c>
      <c r="N13" s="11">
        <v>5.7210000000000303</v>
      </c>
      <c r="O13" s="11">
        <v>6.8670000000000053</v>
      </c>
      <c r="P13" s="11">
        <v>6.7619999999999951</v>
      </c>
      <c r="Q13" s="11">
        <v>7.687000000000018</v>
      </c>
      <c r="R13" s="11">
        <v>7.5750000000000162</v>
      </c>
      <c r="S13" s="11">
        <v>5.8700000000000099</v>
      </c>
      <c r="T13" s="11">
        <v>6.2859999999999996</v>
      </c>
      <c r="U13" s="11">
        <v>7.3489999999999887</v>
      </c>
      <c r="V13" s="11">
        <v>5.5139999999999878</v>
      </c>
      <c r="W13" s="11">
        <v>5.2779999999999863</v>
      </c>
      <c r="X13" s="11">
        <v>5.3669999999999938</v>
      </c>
      <c r="Y13" s="11">
        <v>5.3150000000000031</v>
      </c>
      <c r="Z13" s="11">
        <v>5.3039999999999967</v>
      </c>
      <c r="AA13" s="11">
        <v>5.2749999999999879</v>
      </c>
      <c r="AB13" s="11">
        <v>5.2490000000000068</v>
      </c>
      <c r="AC13" s="11">
        <v>5.1930000000000032</v>
      </c>
      <c r="AD13" s="11">
        <v>5.1369999999999889</v>
      </c>
      <c r="AE13" s="11">
        <v>5.0820000000000025</v>
      </c>
      <c r="AF13" s="11">
        <v>5.0270000000000143</v>
      </c>
      <c r="AG13" s="11">
        <v>4.9759999999999938</v>
      </c>
      <c r="AH13" s="11">
        <v>4.9240000000000004</v>
      </c>
      <c r="AI13" s="11">
        <v>4.8709999999999969</v>
      </c>
      <c r="AJ13" s="11">
        <v>4.8179999999999952</v>
      </c>
      <c r="AK13" s="172">
        <v>4.7650000000000077</v>
      </c>
      <c r="AL13" s="11">
        <v>4.7119999999999918</v>
      </c>
      <c r="AM13" s="11"/>
      <c r="AN13" s="11"/>
      <c r="AO13" s="11"/>
      <c r="AP13" s="11"/>
      <c r="AQ13" s="11"/>
      <c r="AR13" s="11"/>
      <c r="AS13" s="11"/>
      <c r="AT13" s="11"/>
      <c r="AU13" s="11"/>
      <c r="AV13" s="11"/>
      <c r="AW13" s="11"/>
      <c r="AX13" s="11"/>
      <c r="AY13" s="11"/>
      <c r="AZ13" s="11"/>
      <c r="BA13" s="11"/>
      <c r="BB13" s="11"/>
      <c r="BC13" s="11"/>
      <c r="BD13" s="11"/>
      <c r="BE13" s="11"/>
      <c r="BF13" s="11"/>
      <c r="BG13" s="11"/>
      <c r="BH13" s="11"/>
      <c r="BI13" s="11"/>
      <c r="BJ13" s="11"/>
      <c r="BK13" s="11"/>
      <c r="BL13" s="11"/>
      <c r="BM13" s="11"/>
      <c r="BN13" s="11"/>
      <c r="BO13" s="11"/>
      <c r="BP13" s="11"/>
      <c r="BQ13" s="11"/>
      <c r="BS13" s="11"/>
      <c r="BT13" s="11"/>
      <c r="BU13" s="11"/>
      <c r="BV13" s="11"/>
      <c r="BW13" s="11"/>
      <c r="BX13" s="11"/>
      <c r="BY13" s="11"/>
      <c r="BZ13" s="11"/>
      <c r="CA13" s="11"/>
      <c r="CB13" s="11"/>
      <c r="CC13" s="11"/>
      <c r="CD13" s="11"/>
      <c r="CE13" s="11"/>
      <c r="CF13" s="11"/>
      <c r="CG13" s="11"/>
      <c r="CH13" s="11"/>
      <c r="CI13" s="11"/>
      <c r="CJ13" s="11"/>
      <c r="CK13" s="11"/>
      <c r="CL13" s="11"/>
      <c r="CM13" s="11"/>
      <c r="CN13" s="11"/>
      <c r="CO13" s="11"/>
      <c r="CP13" s="11"/>
      <c r="CQ13" s="11"/>
      <c r="CR13" s="11"/>
    </row>
    <row r="14" spans="1:96" x14ac:dyDescent="0.2">
      <c r="L14" s="83" t="str">
        <f>'Ind T4'!A16</f>
        <v>Rest of manufacturing</v>
      </c>
      <c r="M14" s="11">
        <v>35.941000000000116</v>
      </c>
      <c r="N14" s="11">
        <v>37.678999999999988</v>
      </c>
      <c r="O14" s="11">
        <v>34.981999999999985</v>
      </c>
      <c r="P14" s="11">
        <v>33.833000000000027</v>
      </c>
      <c r="Q14" s="11">
        <v>34.804999999999957</v>
      </c>
      <c r="R14" s="11">
        <v>39.046000000000149</v>
      </c>
      <c r="S14" s="11">
        <v>34.610999999999883</v>
      </c>
      <c r="T14" s="11">
        <v>39.314999999999976</v>
      </c>
      <c r="U14" s="11">
        <v>40.211000000000084</v>
      </c>
      <c r="V14" s="11">
        <v>38.372999999999969</v>
      </c>
      <c r="W14" s="11">
        <v>38.603999999999992</v>
      </c>
      <c r="X14" s="11">
        <v>38.187000000000054</v>
      </c>
      <c r="Y14" s="11">
        <v>37.507000000000026</v>
      </c>
      <c r="Z14" s="11">
        <v>36.706000000000046</v>
      </c>
      <c r="AA14" s="11">
        <v>36.205000000000133</v>
      </c>
      <c r="AB14" s="11">
        <v>35.712999999999994</v>
      </c>
      <c r="AC14" s="11">
        <v>35.305000000000128</v>
      </c>
      <c r="AD14" s="11">
        <v>34.892999999999923</v>
      </c>
      <c r="AE14" s="11">
        <v>34.50500000000001</v>
      </c>
      <c r="AF14" s="11">
        <v>34.135999999999989</v>
      </c>
      <c r="AG14" s="11">
        <v>33.80300000000009</v>
      </c>
      <c r="AH14" s="11">
        <v>33.46799999999994</v>
      </c>
      <c r="AI14" s="11">
        <v>33.145000000000024</v>
      </c>
      <c r="AJ14" s="11">
        <v>32.835000000000015</v>
      </c>
      <c r="AK14" s="172">
        <v>32.537000000000035</v>
      </c>
      <c r="AL14" s="11">
        <v>32.256999999999962</v>
      </c>
      <c r="AM14" s="11"/>
      <c r="AN14" s="11"/>
      <c r="AO14" s="11"/>
      <c r="AP14" s="11"/>
      <c r="AQ14" s="11"/>
      <c r="AR14" s="11"/>
      <c r="AS14" s="11"/>
      <c r="AT14" s="11"/>
      <c r="AU14" s="11"/>
      <c r="AV14" s="11"/>
      <c r="AW14" s="11"/>
      <c r="AX14" s="11"/>
      <c r="AY14" s="11"/>
      <c r="AZ14" s="11"/>
      <c r="BA14" s="11"/>
      <c r="BB14" s="11"/>
      <c r="BC14" s="11"/>
      <c r="BD14" s="11"/>
      <c r="BE14" s="11"/>
      <c r="BF14" s="11"/>
      <c r="BG14" s="11"/>
      <c r="BH14" s="11"/>
      <c r="BI14" s="11"/>
      <c r="BJ14" s="11"/>
      <c r="BK14" s="11"/>
      <c r="BL14" s="11"/>
      <c r="BM14" s="11"/>
      <c r="BN14" s="11"/>
      <c r="BO14" s="11"/>
      <c r="BP14" s="11"/>
      <c r="BQ14" s="11"/>
      <c r="BS14" s="11"/>
      <c r="BT14" s="11"/>
      <c r="BU14" s="11"/>
      <c r="BV14" s="11"/>
      <c r="BW14" s="11"/>
      <c r="BX14" s="11"/>
      <c r="BY14" s="11"/>
      <c r="BZ14" s="11"/>
      <c r="CA14" s="11"/>
      <c r="CB14" s="11"/>
      <c r="CC14" s="11"/>
      <c r="CD14" s="11"/>
      <c r="CE14" s="11"/>
      <c r="CF14" s="11"/>
      <c r="CG14" s="11"/>
      <c r="CH14" s="11"/>
      <c r="CI14" s="11"/>
      <c r="CJ14" s="11"/>
      <c r="CK14" s="11"/>
      <c r="CL14" s="11"/>
      <c r="CM14" s="11"/>
      <c r="CN14" s="11"/>
      <c r="CO14" s="11"/>
      <c r="CP14" s="11"/>
      <c r="CQ14" s="11"/>
      <c r="CR14" s="11"/>
    </row>
    <row r="15" spans="1:96" x14ac:dyDescent="0.2">
      <c r="L15" s="13"/>
      <c r="AK15" s="172"/>
      <c r="AP15" s="11"/>
      <c r="BF15" s="11"/>
      <c r="BG15" s="11"/>
      <c r="BH15" s="11"/>
      <c r="BI15" s="11"/>
      <c r="BJ15" s="11"/>
      <c r="BK15" s="11"/>
      <c r="BL15" s="11"/>
      <c r="BM15" s="11"/>
      <c r="BN15" s="11"/>
      <c r="BO15" s="11"/>
      <c r="BP15" s="11"/>
      <c r="BQ15" s="11"/>
      <c r="BS15" s="11"/>
      <c r="BT15" s="11"/>
      <c r="BU15" s="11"/>
      <c r="BV15" s="11"/>
      <c r="BW15" s="11"/>
      <c r="BX15" s="11"/>
      <c r="BY15" s="11"/>
      <c r="BZ15" s="11"/>
      <c r="CA15" s="11"/>
      <c r="CB15" s="11"/>
      <c r="CC15" s="11"/>
      <c r="CD15" s="11"/>
      <c r="CE15" s="11"/>
      <c r="CF15" s="11"/>
      <c r="CG15" s="11"/>
      <c r="CH15" s="11"/>
      <c r="CI15" s="11"/>
      <c r="CJ15" s="11"/>
      <c r="CK15" s="11"/>
      <c r="CL15" s="11"/>
      <c r="CM15" s="11"/>
      <c r="CN15" s="11"/>
      <c r="CO15" s="11"/>
      <c r="CP15" s="11"/>
      <c r="CQ15" s="11"/>
      <c r="CR15" s="11"/>
    </row>
    <row r="16" spans="1:96" x14ac:dyDescent="0.2">
      <c r="L16" s="1" t="str">
        <f>'Ind T4'!A18</f>
        <v>Construction</v>
      </c>
      <c r="M16" s="11">
        <v>35.047000000000125</v>
      </c>
      <c r="N16" s="11">
        <v>36.080999999999882</v>
      </c>
      <c r="O16" s="11">
        <v>34.770999999999972</v>
      </c>
      <c r="P16" s="11">
        <v>29.696999999999981</v>
      </c>
      <c r="Q16" s="11">
        <v>35.275999999999861</v>
      </c>
      <c r="R16" s="11">
        <v>35.251000000000047</v>
      </c>
      <c r="S16" s="11">
        <v>38.302999999999955</v>
      </c>
      <c r="T16" s="11">
        <v>37.257999999999917</v>
      </c>
      <c r="U16" s="11">
        <v>35.737000000000023</v>
      </c>
      <c r="V16" s="11">
        <v>34.611999999999952</v>
      </c>
      <c r="W16" s="11">
        <v>34.021000000000058</v>
      </c>
      <c r="X16" s="11">
        <v>33.403999999999989</v>
      </c>
      <c r="Y16" s="11">
        <v>33.548000000000052</v>
      </c>
      <c r="Z16" s="11">
        <v>33.878000000000007</v>
      </c>
      <c r="AA16" s="11">
        <v>34.182000000000059</v>
      </c>
      <c r="AB16" s="11">
        <v>34.368999999999993</v>
      </c>
      <c r="AC16" s="11">
        <v>34.518999999999977</v>
      </c>
      <c r="AD16" s="11">
        <v>34.587999999999937</v>
      </c>
      <c r="AE16" s="11">
        <v>34.695000000000057</v>
      </c>
      <c r="AF16" s="11">
        <v>34.781999999999975</v>
      </c>
      <c r="AG16" s="11">
        <v>34.909999999999989</v>
      </c>
      <c r="AH16" s="11">
        <v>35.042999999999942</v>
      </c>
      <c r="AI16" s="11">
        <v>35.18400000000009</v>
      </c>
      <c r="AJ16" s="11">
        <v>35.328999999999972</v>
      </c>
      <c r="AK16" s="172">
        <v>35.476999999999997</v>
      </c>
      <c r="AL16" s="11">
        <v>35.626999999999988</v>
      </c>
      <c r="AM16" s="11"/>
      <c r="AN16" s="11"/>
      <c r="AO16" s="11"/>
      <c r="AP16" s="11"/>
      <c r="AQ16" s="11"/>
      <c r="AR16" s="11"/>
      <c r="AS16" s="11"/>
      <c r="AT16" s="11"/>
      <c r="AU16" s="11"/>
      <c r="AV16" s="11"/>
      <c r="AW16" s="11"/>
      <c r="AX16" s="11"/>
      <c r="AY16" s="11"/>
      <c r="AZ16" s="11"/>
      <c r="BA16" s="11"/>
      <c r="BB16" s="11"/>
      <c r="BC16" s="11"/>
      <c r="BD16" s="11"/>
      <c r="BE16" s="11"/>
      <c r="BF16" s="11"/>
      <c r="BG16" s="11"/>
      <c r="BH16" s="11"/>
      <c r="BI16" s="11"/>
      <c r="BJ16" s="11"/>
      <c r="BK16" s="11"/>
      <c r="BL16" s="11"/>
      <c r="BM16" s="11"/>
      <c r="BN16" s="11"/>
      <c r="BO16" s="11"/>
      <c r="BP16" s="11"/>
      <c r="BQ16" s="11"/>
      <c r="BS16" s="11"/>
      <c r="BT16" s="11"/>
      <c r="BU16" s="11"/>
      <c r="BV16" s="11"/>
      <c r="BW16" s="11"/>
      <c r="BX16" s="11"/>
      <c r="BY16" s="11"/>
      <c r="BZ16" s="11"/>
      <c r="CA16" s="11"/>
      <c r="CB16" s="11"/>
      <c r="CC16" s="11"/>
      <c r="CD16" s="11"/>
      <c r="CE16" s="11"/>
      <c r="CF16" s="11"/>
      <c r="CG16" s="11"/>
      <c r="CH16" s="11"/>
      <c r="CI16" s="11"/>
      <c r="CJ16" s="11"/>
      <c r="CK16" s="11"/>
      <c r="CL16" s="11"/>
      <c r="CM16" s="11"/>
      <c r="CN16" s="11"/>
      <c r="CO16" s="11"/>
      <c r="CP16" s="11"/>
      <c r="CQ16" s="11"/>
      <c r="CR16" s="11"/>
    </row>
    <row r="17" spans="12:96" x14ac:dyDescent="0.2">
      <c r="L17" s="13"/>
      <c r="AK17" s="172"/>
      <c r="AP17" s="11"/>
      <c r="BF17" s="11"/>
      <c r="BG17" s="11"/>
      <c r="BH17" s="11"/>
      <c r="BI17" s="11"/>
      <c r="BJ17" s="11"/>
      <c r="BK17" s="11"/>
      <c r="BL17" s="11"/>
      <c r="BM17" s="11"/>
      <c r="BN17" s="11"/>
      <c r="BO17" s="11"/>
      <c r="BP17" s="11"/>
      <c r="BQ17" s="11"/>
      <c r="BS17" s="11"/>
      <c r="BT17" s="11"/>
      <c r="BU17" s="11"/>
      <c r="BV17" s="11"/>
      <c r="BW17" s="11"/>
      <c r="BX17" s="11"/>
      <c r="BY17" s="11"/>
      <c r="BZ17" s="11"/>
      <c r="CA17" s="11"/>
      <c r="CB17" s="11"/>
      <c r="CC17" s="11"/>
      <c r="CD17" s="11"/>
      <c r="CE17" s="11"/>
      <c r="CF17" s="11"/>
      <c r="CG17" s="11"/>
      <c r="CH17" s="11"/>
      <c r="CI17" s="11"/>
      <c r="CJ17" s="11"/>
      <c r="CK17" s="11"/>
      <c r="CL17" s="11"/>
      <c r="CM17" s="11"/>
      <c r="CN17" s="11"/>
      <c r="CO17" s="11"/>
      <c r="CP17" s="11"/>
      <c r="CQ17" s="11"/>
      <c r="CR17" s="11"/>
    </row>
    <row r="18" spans="12:96" x14ac:dyDescent="0.2">
      <c r="L18" s="1" t="str">
        <f>'Ind T4'!A20</f>
        <v>Trade, accomod. and transport</v>
      </c>
      <c r="M18" s="11">
        <f>SUM(M19:M21)</f>
        <v>138.27200000000011</v>
      </c>
      <c r="N18" s="11">
        <f t="shared" ref="N18:AL18" si="18">SUM(N19:N21)</f>
        <v>141.49600000000027</v>
      </c>
      <c r="O18" s="11">
        <f t="shared" si="18"/>
        <v>139.88800000000003</v>
      </c>
      <c r="P18" s="11">
        <f t="shared" si="18"/>
        <v>138.81599999999995</v>
      </c>
      <c r="Q18" s="11">
        <f t="shared" si="18"/>
        <v>137.55300000000005</v>
      </c>
      <c r="R18" s="11">
        <f t="shared" si="18"/>
        <v>143.00700000000001</v>
      </c>
      <c r="S18" s="11">
        <f t="shared" si="18"/>
        <v>153.60399999999998</v>
      </c>
      <c r="T18" s="11">
        <f t="shared" si="18"/>
        <v>153.92700000000019</v>
      </c>
      <c r="U18" s="11">
        <f t="shared" si="18"/>
        <v>143.63599999999991</v>
      </c>
      <c r="V18" s="11">
        <f t="shared" si="18"/>
        <v>146.2359999999999</v>
      </c>
      <c r="W18" s="11">
        <f t="shared" si="18"/>
        <v>144.13800000000023</v>
      </c>
      <c r="X18" s="11">
        <f t="shared" si="18"/>
        <v>143.58300000000003</v>
      </c>
      <c r="Y18" s="11">
        <f t="shared" si="18"/>
        <v>144.34800000000018</v>
      </c>
      <c r="Z18" s="11">
        <f t="shared" si="18"/>
        <v>144.93099999999998</v>
      </c>
      <c r="AA18" s="11">
        <f t="shared" si="18"/>
        <v>145.88600000000008</v>
      </c>
      <c r="AB18" s="11">
        <f t="shared" si="18"/>
        <v>146.65500000000009</v>
      </c>
      <c r="AC18" s="11">
        <f t="shared" si="18"/>
        <v>147.23400000000009</v>
      </c>
      <c r="AD18" s="11">
        <f t="shared" si="18"/>
        <v>147.74999999999997</v>
      </c>
      <c r="AE18" s="11">
        <f t="shared" si="18"/>
        <v>148.23200000000031</v>
      </c>
      <c r="AF18" s="11">
        <f t="shared" si="18"/>
        <v>148.69699999999975</v>
      </c>
      <c r="AG18" s="11">
        <f t="shared" si="18"/>
        <v>149.17800000000005</v>
      </c>
      <c r="AH18" s="11">
        <f t="shared" si="18"/>
        <v>149.64500000000012</v>
      </c>
      <c r="AI18" s="11">
        <f t="shared" si="18"/>
        <v>150.0959999999998</v>
      </c>
      <c r="AJ18" s="11">
        <f t="shared" si="18"/>
        <v>150.57499999999987</v>
      </c>
      <c r="AK18" s="11">
        <f t="shared" si="18"/>
        <v>151.02599999999984</v>
      </c>
      <c r="AL18" s="11">
        <f t="shared" si="18"/>
        <v>151.45999999999989</v>
      </c>
      <c r="AM18" s="11"/>
      <c r="AN18" s="11"/>
      <c r="AO18" s="11"/>
      <c r="AP18" s="11"/>
      <c r="AQ18" s="11"/>
      <c r="AR18" s="11"/>
      <c r="AS18" s="11"/>
      <c r="AT18" s="11"/>
      <c r="AU18" s="11"/>
      <c r="AV18" s="11"/>
      <c r="AW18" s="11"/>
      <c r="AX18" s="11"/>
      <c r="AY18" s="11"/>
      <c r="AZ18" s="11"/>
      <c r="BA18" s="11"/>
      <c r="BB18" s="11"/>
      <c r="BC18" s="11"/>
      <c r="BD18" s="11"/>
      <c r="BE18" s="11"/>
      <c r="BF18" s="11"/>
      <c r="BG18" s="11"/>
      <c r="BH18" s="11"/>
      <c r="BI18" s="11"/>
      <c r="BJ18" s="11"/>
      <c r="BK18" s="11"/>
      <c r="BL18" s="11"/>
      <c r="BM18" s="11"/>
      <c r="BN18" s="11"/>
      <c r="BO18" s="11"/>
      <c r="BP18" s="11"/>
      <c r="BQ18" s="11"/>
      <c r="BS18" s="11"/>
      <c r="BT18" s="11"/>
      <c r="BU18" s="11"/>
      <c r="BV18" s="11"/>
      <c r="BW18" s="11"/>
      <c r="BX18" s="11"/>
      <c r="BY18" s="11"/>
      <c r="BZ18" s="11"/>
      <c r="CA18" s="11"/>
      <c r="CB18" s="11"/>
      <c r="CC18" s="11"/>
      <c r="CD18" s="11"/>
      <c r="CE18" s="11"/>
      <c r="CF18" s="11"/>
      <c r="CG18" s="11"/>
      <c r="CH18" s="11"/>
      <c r="CI18" s="11"/>
      <c r="CJ18" s="11"/>
      <c r="CK18" s="11"/>
      <c r="CL18" s="11"/>
      <c r="CM18" s="11"/>
      <c r="CN18" s="11"/>
      <c r="CO18" s="11"/>
      <c r="CP18" s="11"/>
      <c r="CQ18" s="11"/>
      <c r="CR18" s="11"/>
    </row>
    <row r="19" spans="12:96" x14ac:dyDescent="0.2">
      <c r="L19" s="83" t="str">
        <f>'Ind T4'!A21</f>
        <v>Wholesale and retail trade</v>
      </c>
      <c r="M19" s="11">
        <v>81.83700000000006</v>
      </c>
      <c r="N19" s="11">
        <v>85.753000000000213</v>
      </c>
      <c r="O19" s="11">
        <v>84.185000000000002</v>
      </c>
      <c r="P19" s="11">
        <v>79.614999999999981</v>
      </c>
      <c r="Q19" s="11">
        <v>82.407000000000082</v>
      </c>
      <c r="R19" s="11">
        <v>82.774000000000072</v>
      </c>
      <c r="S19" s="11">
        <v>88.075999999999937</v>
      </c>
      <c r="T19" s="11">
        <v>85.369000000000113</v>
      </c>
      <c r="U19" s="11">
        <v>77.589999999999975</v>
      </c>
      <c r="V19" s="11">
        <v>84.95299999999996</v>
      </c>
      <c r="W19" s="11">
        <v>81.490000000000094</v>
      </c>
      <c r="X19" s="11">
        <v>81.985000000000042</v>
      </c>
      <c r="Y19" s="11">
        <v>82.153000000000134</v>
      </c>
      <c r="Z19" s="11">
        <v>82.163000000000025</v>
      </c>
      <c r="AA19" s="11">
        <v>82.317000000000078</v>
      </c>
      <c r="AB19" s="11">
        <v>82.538000000000139</v>
      </c>
      <c r="AC19" s="11">
        <v>82.686000000000007</v>
      </c>
      <c r="AD19" s="11">
        <v>82.816999999999851</v>
      </c>
      <c r="AE19" s="11">
        <v>82.939000000000235</v>
      </c>
      <c r="AF19" s="11">
        <v>83.058999999999841</v>
      </c>
      <c r="AG19" s="11">
        <v>83.199000000000083</v>
      </c>
      <c r="AH19" s="11">
        <v>83.349000000000132</v>
      </c>
      <c r="AI19" s="11">
        <v>83.495999999999896</v>
      </c>
      <c r="AJ19" s="11">
        <v>83.683999999999799</v>
      </c>
      <c r="AK19" s="172">
        <v>83.859999999999843</v>
      </c>
      <c r="AL19" s="11">
        <v>84.032000000000039</v>
      </c>
      <c r="AM19" s="11"/>
      <c r="AN19" s="11"/>
      <c r="AO19" s="11"/>
      <c r="AP19" s="11"/>
      <c r="AQ19" s="11"/>
      <c r="AR19" s="11"/>
      <c r="AS19" s="11"/>
      <c r="AT19" s="11"/>
      <c r="AU19" s="11"/>
      <c r="AV19" s="11"/>
      <c r="AW19" s="11"/>
      <c r="AX19" s="11"/>
      <c r="AY19" s="11"/>
      <c r="AZ19" s="11"/>
      <c r="BA19" s="11"/>
      <c r="BB19" s="11"/>
      <c r="BC19" s="11"/>
      <c r="BD19" s="11"/>
      <c r="BE19" s="11"/>
      <c r="BF19" s="11"/>
      <c r="BG19" s="11"/>
      <c r="BH19" s="11"/>
      <c r="BI19" s="11"/>
      <c r="BJ19" s="11"/>
      <c r="BK19" s="11"/>
      <c r="BL19" s="11"/>
      <c r="BM19" s="11"/>
      <c r="BN19" s="11"/>
      <c r="BO19" s="11"/>
      <c r="BP19" s="11"/>
      <c r="BQ19" s="11"/>
      <c r="BS19" s="11"/>
      <c r="BT19" s="11"/>
      <c r="BU19" s="11"/>
      <c r="BV19" s="11"/>
      <c r="BW19" s="11"/>
      <c r="BX19" s="11"/>
      <c r="BY19" s="11"/>
      <c r="BZ19" s="11"/>
      <c r="CA19" s="11"/>
      <c r="CB19" s="11"/>
      <c r="CC19" s="11"/>
      <c r="CD19" s="11"/>
      <c r="CE19" s="11"/>
      <c r="CF19" s="11"/>
      <c r="CG19" s="11"/>
      <c r="CH19" s="11"/>
      <c r="CI19" s="11"/>
      <c r="CJ19" s="11"/>
      <c r="CK19" s="11"/>
      <c r="CL19" s="11"/>
      <c r="CM19" s="11"/>
      <c r="CN19" s="11"/>
      <c r="CO19" s="11"/>
      <c r="CP19" s="11"/>
      <c r="CQ19" s="11"/>
      <c r="CR19" s="11"/>
    </row>
    <row r="20" spans="12:96" x14ac:dyDescent="0.2">
      <c r="L20" s="83" t="str">
        <f>'Ind T4'!A22</f>
        <v>Transport and storage</v>
      </c>
      <c r="M20" s="11">
        <v>26.057000000000055</v>
      </c>
      <c r="N20" s="11">
        <v>25.710000000000029</v>
      </c>
      <c r="O20" s="11">
        <v>25.547000000000008</v>
      </c>
      <c r="P20" s="11">
        <v>26.365000000000013</v>
      </c>
      <c r="Q20" s="11">
        <v>24.041999999999902</v>
      </c>
      <c r="R20" s="11">
        <v>26.086000000000016</v>
      </c>
      <c r="S20" s="11">
        <v>27.757000000000009</v>
      </c>
      <c r="T20" s="11">
        <v>29.551000000000027</v>
      </c>
      <c r="U20" s="11">
        <v>28.911999999999978</v>
      </c>
      <c r="V20" s="11">
        <v>25.812999999999953</v>
      </c>
      <c r="W20" s="11">
        <v>28.585000000000058</v>
      </c>
      <c r="X20" s="11">
        <v>29.529000000000028</v>
      </c>
      <c r="Y20" s="11">
        <v>29.426000000000037</v>
      </c>
      <c r="Z20" s="11">
        <v>29.450999999999983</v>
      </c>
      <c r="AA20" s="11">
        <v>29.563999999999961</v>
      </c>
      <c r="AB20" s="11">
        <v>29.634999999999998</v>
      </c>
      <c r="AC20" s="11">
        <v>29.675000000000004</v>
      </c>
      <c r="AD20" s="11">
        <v>29.712</v>
      </c>
      <c r="AE20" s="11">
        <v>29.747000000000032</v>
      </c>
      <c r="AF20" s="11">
        <v>29.782999999999937</v>
      </c>
      <c r="AG20" s="11">
        <v>29.823999999999934</v>
      </c>
      <c r="AH20" s="11">
        <v>29.858999999999977</v>
      </c>
      <c r="AI20" s="11">
        <v>29.89199999999995</v>
      </c>
      <c r="AJ20" s="11">
        <v>29.924000000000042</v>
      </c>
      <c r="AK20" s="172">
        <v>29.954000000000033</v>
      </c>
      <c r="AL20" s="11">
        <v>29.983999999999959</v>
      </c>
      <c r="AM20" s="11"/>
      <c r="AN20" s="11"/>
      <c r="AO20" s="11"/>
      <c r="AP20" s="11"/>
      <c r="AQ20" s="11"/>
      <c r="AR20" s="11"/>
      <c r="AS20" s="11"/>
      <c r="AT20" s="11"/>
      <c r="AU20" s="11"/>
      <c r="AV20" s="11"/>
      <c r="AW20" s="11"/>
      <c r="AX20" s="11"/>
      <c r="AY20" s="11"/>
      <c r="AZ20" s="11"/>
      <c r="BA20" s="11"/>
      <c r="BB20" s="11"/>
      <c r="BC20" s="11"/>
      <c r="BD20" s="11"/>
      <c r="BE20" s="11"/>
      <c r="BF20" s="11"/>
      <c r="BG20" s="11"/>
      <c r="BH20" s="11"/>
      <c r="BI20" s="11"/>
      <c r="BJ20" s="11"/>
      <c r="BK20" s="11"/>
      <c r="BL20" s="11"/>
      <c r="BM20" s="11"/>
      <c r="BN20" s="11"/>
      <c r="BO20" s="11"/>
      <c r="BP20" s="11"/>
      <c r="BQ20" s="11"/>
      <c r="BS20" s="11"/>
      <c r="BT20" s="11"/>
      <c r="BU20" s="11"/>
      <c r="BV20" s="11"/>
      <c r="BW20" s="11"/>
      <c r="BX20" s="11"/>
      <c r="BY20" s="11"/>
      <c r="BZ20" s="11"/>
      <c r="CA20" s="11"/>
      <c r="CB20" s="11"/>
      <c r="CC20" s="11"/>
      <c r="CD20" s="11"/>
      <c r="CE20" s="11"/>
      <c r="CF20" s="11"/>
      <c r="CG20" s="11"/>
      <c r="CH20" s="11"/>
      <c r="CI20" s="11"/>
      <c r="CJ20" s="11"/>
      <c r="CK20" s="11"/>
      <c r="CL20" s="11"/>
      <c r="CM20" s="11"/>
      <c r="CN20" s="11"/>
      <c r="CO20" s="11"/>
      <c r="CP20" s="11"/>
      <c r="CQ20" s="11"/>
      <c r="CR20" s="11"/>
    </row>
    <row r="21" spans="12:96" x14ac:dyDescent="0.2">
      <c r="L21" s="83" t="str">
        <f>'Ind T4'!A23</f>
        <v>Accommodation and food</v>
      </c>
      <c r="M21" s="11">
        <v>30.378</v>
      </c>
      <c r="N21" s="11">
        <v>30.033000000000001</v>
      </c>
      <c r="O21" s="11">
        <v>30.156000000000013</v>
      </c>
      <c r="P21" s="11">
        <v>32.835999999999956</v>
      </c>
      <c r="Q21" s="11">
        <v>31.104000000000056</v>
      </c>
      <c r="R21" s="11">
        <v>34.146999999999935</v>
      </c>
      <c r="S21" s="11">
        <v>37.771000000000036</v>
      </c>
      <c r="T21" s="11">
        <v>39.007000000000033</v>
      </c>
      <c r="U21" s="11">
        <v>37.133999999999958</v>
      </c>
      <c r="V21" s="11">
        <v>35.470000000000006</v>
      </c>
      <c r="W21" s="11">
        <v>34.063000000000066</v>
      </c>
      <c r="X21" s="11">
        <v>32.068999999999974</v>
      </c>
      <c r="Y21" s="11">
        <v>32.768999999999991</v>
      </c>
      <c r="Z21" s="11">
        <v>33.316999999999965</v>
      </c>
      <c r="AA21" s="11">
        <v>34.005000000000045</v>
      </c>
      <c r="AB21" s="11">
        <v>34.481999999999942</v>
      </c>
      <c r="AC21" s="11">
        <v>34.873000000000083</v>
      </c>
      <c r="AD21" s="11">
        <v>35.22100000000011</v>
      </c>
      <c r="AE21" s="11">
        <v>35.546000000000063</v>
      </c>
      <c r="AF21" s="11">
        <v>35.854999999999968</v>
      </c>
      <c r="AG21" s="11">
        <v>36.155000000000015</v>
      </c>
      <c r="AH21" s="11">
        <v>36.437000000000005</v>
      </c>
      <c r="AI21" s="11">
        <v>36.707999999999963</v>
      </c>
      <c r="AJ21" s="11">
        <v>36.967000000000027</v>
      </c>
      <c r="AK21" s="172">
        <v>37.211999999999954</v>
      </c>
      <c r="AL21" s="11">
        <v>37.443999999999896</v>
      </c>
      <c r="AM21" s="11"/>
      <c r="AN21" s="11"/>
      <c r="AO21" s="11"/>
      <c r="AP21" s="11"/>
      <c r="AQ21" s="11"/>
      <c r="AR21" s="11"/>
      <c r="AS21" s="11"/>
      <c r="AT21" s="11"/>
      <c r="AU21" s="11"/>
      <c r="AV21" s="11"/>
      <c r="AW21" s="11"/>
      <c r="AX21" s="11"/>
      <c r="AY21" s="11"/>
      <c r="AZ21" s="11"/>
      <c r="BA21" s="11"/>
      <c r="BB21" s="11"/>
      <c r="BC21" s="11"/>
      <c r="BD21" s="11"/>
      <c r="BE21" s="11"/>
      <c r="BF21" s="11"/>
      <c r="BG21" s="11"/>
      <c r="BH21" s="11"/>
      <c r="BI21" s="11"/>
      <c r="BJ21" s="11"/>
      <c r="BK21" s="11"/>
      <c r="BL21" s="11"/>
      <c r="BM21" s="11"/>
      <c r="BN21" s="11"/>
      <c r="BO21" s="11"/>
      <c r="BP21" s="11"/>
      <c r="BQ21" s="11"/>
      <c r="BS21" s="11"/>
      <c r="BT21" s="11"/>
      <c r="BU21" s="11"/>
      <c r="BV21" s="11"/>
      <c r="BW21" s="11"/>
      <c r="BX21" s="11"/>
      <c r="BY21" s="11"/>
      <c r="BZ21" s="11"/>
      <c r="CA21" s="11"/>
      <c r="CB21" s="11"/>
      <c r="CC21" s="11"/>
      <c r="CD21" s="11"/>
      <c r="CE21" s="11"/>
      <c r="CF21" s="11"/>
      <c r="CG21" s="11"/>
      <c r="CH21" s="11"/>
      <c r="CI21" s="11"/>
      <c r="CJ21" s="11"/>
      <c r="CK21" s="11"/>
      <c r="CL21" s="11"/>
      <c r="CM21" s="11"/>
      <c r="CN21" s="11"/>
      <c r="CO21" s="11"/>
      <c r="CP21" s="11"/>
      <c r="CQ21" s="11"/>
      <c r="CR21" s="11"/>
    </row>
    <row r="22" spans="12:96" x14ac:dyDescent="0.2">
      <c r="L22" s="13"/>
      <c r="AK22" s="172"/>
      <c r="AP22" s="11"/>
      <c r="BF22" s="11"/>
      <c r="BG22" s="11"/>
      <c r="BH22" s="11"/>
      <c r="BI22" s="11"/>
      <c r="BJ22" s="11"/>
      <c r="BK22" s="11"/>
      <c r="BL22" s="11"/>
      <c r="BM22" s="11"/>
      <c r="BN22" s="11"/>
      <c r="BO22" s="11"/>
      <c r="BP22" s="11"/>
      <c r="BQ22" s="11"/>
      <c r="BR22" s="11"/>
      <c r="BS22" s="11"/>
      <c r="BT22" s="11"/>
    </row>
    <row r="23" spans="12:96" x14ac:dyDescent="0.2">
      <c r="L23" s="1" t="str">
        <f>'Ind T4'!A25</f>
        <v>Business and other services</v>
      </c>
      <c r="M23" s="11">
        <f>SUM(M24:M31)</f>
        <v>102.75399999999998</v>
      </c>
      <c r="N23" s="11">
        <f t="shared" ref="N23:AL23" si="19">SUM(N24:N31)</f>
        <v>106.88799999999999</v>
      </c>
      <c r="O23" s="11">
        <f t="shared" si="19"/>
        <v>99.810000000000102</v>
      </c>
      <c r="P23" s="11">
        <f t="shared" si="19"/>
        <v>103.07099999999993</v>
      </c>
      <c r="Q23" s="11">
        <f t="shared" si="19"/>
        <v>115.81599999999993</v>
      </c>
      <c r="R23" s="11">
        <f t="shared" si="19"/>
        <v>108.91699999999999</v>
      </c>
      <c r="S23" s="11">
        <f t="shared" si="19"/>
        <v>108.72700000000005</v>
      </c>
      <c r="T23" s="11">
        <f t="shared" si="19"/>
        <v>116.47899999999997</v>
      </c>
      <c r="U23" s="11">
        <f t="shared" si="19"/>
        <v>114.37600000000026</v>
      </c>
      <c r="V23" s="11">
        <f t="shared" si="19"/>
        <v>118.97200000000002</v>
      </c>
      <c r="W23" s="11">
        <f t="shared" si="19"/>
        <v>120.74400000000011</v>
      </c>
      <c r="X23" s="11">
        <f t="shared" si="19"/>
        <v>121.05400000000007</v>
      </c>
      <c r="Y23" s="11">
        <f t="shared" si="19"/>
        <v>120.82799999999996</v>
      </c>
      <c r="Z23" s="11">
        <f t="shared" si="19"/>
        <v>121.27499999999986</v>
      </c>
      <c r="AA23" s="11">
        <f t="shared" si="19"/>
        <v>121.90599999999996</v>
      </c>
      <c r="AB23" s="11">
        <f t="shared" si="19"/>
        <v>122.39800000000015</v>
      </c>
      <c r="AC23" s="11">
        <f t="shared" si="19"/>
        <v>122.94799999999989</v>
      </c>
      <c r="AD23" s="11">
        <f t="shared" si="19"/>
        <v>123.48300000000008</v>
      </c>
      <c r="AE23" s="11">
        <f t="shared" si="19"/>
        <v>124.02300000000007</v>
      </c>
      <c r="AF23" s="11">
        <f t="shared" si="19"/>
        <v>124.57300000000012</v>
      </c>
      <c r="AG23" s="11">
        <f t="shared" si="19"/>
        <v>125.16300000000007</v>
      </c>
      <c r="AH23" s="11">
        <f t="shared" si="19"/>
        <v>125.73600000000006</v>
      </c>
      <c r="AI23" s="11">
        <f t="shared" si="19"/>
        <v>126.31199999999993</v>
      </c>
      <c r="AJ23" s="11">
        <f t="shared" si="19"/>
        <v>126.89000000000014</v>
      </c>
      <c r="AK23" s="11">
        <f t="shared" si="19"/>
        <v>127.46100000000011</v>
      </c>
      <c r="AL23" s="11">
        <f t="shared" si="19"/>
        <v>128.03399999999988</v>
      </c>
      <c r="AM23" s="11"/>
      <c r="AN23" s="11"/>
      <c r="AO23" s="11"/>
      <c r="AP23" s="11"/>
      <c r="AQ23" s="11"/>
      <c r="AR23" s="11"/>
      <c r="AS23" s="11"/>
      <c r="AT23" s="11"/>
      <c r="AU23" s="11"/>
      <c r="AV23" s="11"/>
      <c r="AW23" s="11"/>
      <c r="AX23" s="11"/>
      <c r="AY23" s="11"/>
      <c r="AZ23" s="11"/>
      <c r="BA23" s="11"/>
      <c r="BB23" s="11"/>
      <c r="BC23" s="11"/>
      <c r="BD23" s="11"/>
      <c r="BE23" s="11"/>
      <c r="BF23" s="11"/>
      <c r="BG23" s="11"/>
      <c r="BH23" s="11"/>
      <c r="BI23" s="11"/>
      <c r="BJ23" s="11"/>
      <c r="BK23" s="11"/>
      <c r="BL23" s="11"/>
      <c r="BM23" s="11"/>
      <c r="BN23" s="11"/>
      <c r="BO23" s="11"/>
      <c r="BP23" s="11"/>
      <c r="BQ23" s="11"/>
      <c r="BR23" s="11"/>
      <c r="BS23" s="11"/>
      <c r="BT23" s="11"/>
    </row>
    <row r="24" spans="12:96" x14ac:dyDescent="0.2">
      <c r="L24" s="83" t="str">
        <f>'Ind T4'!A26</f>
        <v>Media</v>
      </c>
      <c r="M24" s="11">
        <v>2.5820000000000034</v>
      </c>
      <c r="N24" s="11">
        <v>2.6650000000000023</v>
      </c>
      <c r="O24" s="11">
        <v>2.6590000000000025</v>
      </c>
      <c r="P24" s="11">
        <v>2.8100000000000049</v>
      </c>
      <c r="Q24" s="11">
        <v>2.9310000000000072</v>
      </c>
      <c r="R24" s="11">
        <v>2.0880000000000023</v>
      </c>
      <c r="S24" s="11">
        <v>2.5330000000000101</v>
      </c>
      <c r="T24" s="11">
        <v>2.9090000000000065</v>
      </c>
      <c r="U24" s="11">
        <v>1.605999999999999</v>
      </c>
      <c r="V24" s="11">
        <v>2.9180000000000046</v>
      </c>
      <c r="W24" s="11">
        <v>2.2020000000000048</v>
      </c>
      <c r="X24" s="11">
        <v>2.1789999999999963</v>
      </c>
      <c r="Y24" s="11">
        <v>2.1729999999999992</v>
      </c>
      <c r="Z24" s="11">
        <v>2.1649999999999956</v>
      </c>
      <c r="AA24" s="11">
        <v>2.1610000000000031</v>
      </c>
      <c r="AB24" s="11">
        <v>2.1680000000000015</v>
      </c>
      <c r="AC24" s="11">
        <v>2.1720000000000006</v>
      </c>
      <c r="AD24" s="11">
        <v>2.1759999999999997</v>
      </c>
      <c r="AE24" s="11">
        <v>2.1800000000000033</v>
      </c>
      <c r="AF24" s="11">
        <v>2.1839999999999971</v>
      </c>
      <c r="AG24" s="11">
        <v>2.1880000000000002</v>
      </c>
      <c r="AH24" s="11">
        <v>2.1909999999999998</v>
      </c>
      <c r="AI24" s="11">
        <v>2.1939999999999991</v>
      </c>
      <c r="AJ24" s="11">
        <v>2.1979999999999968</v>
      </c>
      <c r="AK24" s="172">
        <v>2.2009999999999974</v>
      </c>
      <c r="AL24" s="11">
        <v>2.2050000000000014</v>
      </c>
      <c r="AM24" s="11"/>
      <c r="AN24" s="11"/>
      <c r="AO24" s="11"/>
      <c r="AP24" s="11"/>
      <c r="AQ24" s="11"/>
      <c r="AR24" s="11"/>
      <c r="AS24" s="11"/>
      <c r="AT24" s="11"/>
      <c r="AU24" s="11"/>
      <c r="AV24" s="11"/>
      <c r="AW24" s="11"/>
      <c r="AX24" s="11"/>
      <c r="AY24" s="11"/>
      <c r="AZ24" s="11"/>
      <c r="BA24" s="11"/>
      <c r="BB24" s="11"/>
      <c r="BC24" s="11"/>
      <c r="BD24" s="11"/>
      <c r="BE24" s="11"/>
      <c r="BF24" s="11"/>
      <c r="BG24" s="11"/>
      <c r="BH24" s="11"/>
      <c r="BI24" s="11"/>
      <c r="BJ24" s="11"/>
      <c r="BK24" s="11"/>
      <c r="BL24" s="11"/>
      <c r="BM24" s="11"/>
      <c r="BN24" s="11"/>
      <c r="BO24" s="11"/>
      <c r="BP24" s="11"/>
      <c r="BQ24" s="11"/>
      <c r="BR24" s="11"/>
      <c r="BS24" s="11"/>
      <c r="BT24" s="11"/>
    </row>
    <row r="25" spans="12:96" x14ac:dyDescent="0.2">
      <c r="L25" s="83" t="str">
        <f>'Ind T4'!A27</f>
        <v>Information technology</v>
      </c>
      <c r="M25" s="11">
        <v>5.8370000000000095</v>
      </c>
      <c r="N25" s="11">
        <v>4.6249999999999929</v>
      </c>
      <c r="O25" s="11">
        <v>3.9830000000000028</v>
      </c>
      <c r="P25" s="11">
        <v>5.665000000000008</v>
      </c>
      <c r="Q25" s="11">
        <v>6.0129999999999963</v>
      </c>
      <c r="R25" s="11">
        <v>5.3660000000000121</v>
      </c>
      <c r="S25" s="11">
        <v>5.6760000000000215</v>
      </c>
      <c r="T25" s="11">
        <v>7.8099999999999952</v>
      </c>
      <c r="U25" s="11">
        <v>7.4890000000000025</v>
      </c>
      <c r="V25" s="11">
        <v>6.0439999999999996</v>
      </c>
      <c r="W25" s="11">
        <v>5.4690000000000101</v>
      </c>
      <c r="X25" s="11">
        <v>5.6219999999999928</v>
      </c>
      <c r="Y25" s="11">
        <v>5.6680000000000081</v>
      </c>
      <c r="Z25" s="11">
        <v>5.7720000000000091</v>
      </c>
      <c r="AA25" s="11">
        <v>5.8500000000000121</v>
      </c>
      <c r="AB25" s="11">
        <v>5.9120000000000088</v>
      </c>
      <c r="AC25" s="11">
        <v>5.9700000000000024</v>
      </c>
      <c r="AD25" s="11">
        <v>6.018000000000006</v>
      </c>
      <c r="AE25" s="11">
        <v>6.0640000000000072</v>
      </c>
      <c r="AF25" s="11">
        <v>6.1080000000000139</v>
      </c>
      <c r="AG25" s="11">
        <v>6.1560000000000077</v>
      </c>
      <c r="AH25" s="11">
        <v>6.2019999999999937</v>
      </c>
      <c r="AI25" s="11">
        <v>6.2469999999999883</v>
      </c>
      <c r="AJ25" s="11">
        <v>6.2899999999999894</v>
      </c>
      <c r="AK25" s="172">
        <v>6.3289999999999962</v>
      </c>
      <c r="AL25" s="11">
        <v>6.3659999999999899</v>
      </c>
      <c r="AM25" s="11"/>
      <c r="AN25" s="11"/>
      <c r="AO25" s="11"/>
      <c r="AP25" s="11"/>
      <c r="AQ25" s="11"/>
      <c r="AR25" s="11"/>
      <c r="AS25" s="11"/>
      <c r="AT25" s="11"/>
      <c r="AU25" s="11"/>
      <c r="AV25" s="11"/>
      <c r="AW25" s="11"/>
      <c r="AX25" s="11"/>
      <c r="AY25" s="11"/>
      <c r="AZ25" s="11"/>
      <c r="BA25" s="11"/>
      <c r="BB25" s="11"/>
      <c r="BC25" s="11"/>
      <c r="BD25" s="11"/>
      <c r="BE25" s="11"/>
      <c r="BF25" s="11"/>
      <c r="BG25" s="11"/>
      <c r="BH25" s="11"/>
      <c r="BI25" s="11"/>
      <c r="BJ25" s="11"/>
      <c r="BK25" s="11"/>
      <c r="BL25" s="11"/>
      <c r="BM25" s="11"/>
      <c r="BN25" s="11"/>
      <c r="BO25" s="11"/>
      <c r="BP25" s="11"/>
      <c r="BQ25" s="11"/>
      <c r="BR25" s="11"/>
      <c r="BS25" s="11"/>
      <c r="BT25" s="11"/>
    </row>
    <row r="26" spans="12:96" x14ac:dyDescent="0.2">
      <c r="L26" s="83" t="str">
        <f>'Ind T4'!A28</f>
        <v>Finance and insurance</v>
      </c>
      <c r="M26" s="11">
        <v>4.4620000000000015</v>
      </c>
      <c r="N26" s="11">
        <v>5.2870000000000186</v>
      </c>
      <c r="O26" s="11">
        <v>5.4279999999999937</v>
      </c>
      <c r="P26" s="11">
        <v>4.561000000000007</v>
      </c>
      <c r="Q26" s="11">
        <v>5.9789999999999868</v>
      </c>
      <c r="R26" s="11">
        <v>6.1699999999999884</v>
      </c>
      <c r="S26" s="11">
        <v>4.0210000000000008</v>
      </c>
      <c r="T26" s="11">
        <v>5.1860000000000044</v>
      </c>
      <c r="U26" s="11">
        <v>4.7229999999999919</v>
      </c>
      <c r="V26" s="11">
        <v>4.4890000000000008</v>
      </c>
      <c r="W26" s="11">
        <v>4.9529999999999879</v>
      </c>
      <c r="X26" s="11">
        <v>5.0419999999999998</v>
      </c>
      <c r="Y26" s="11">
        <v>5.0120000000000013</v>
      </c>
      <c r="Z26" s="11">
        <v>4.9779999999999971</v>
      </c>
      <c r="AA26" s="11">
        <v>4.9349999999999854</v>
      </c>
      <c r="AB26" s="11">
        <v>4.9029999999999951</v>
      </c>
      <c r="AC26" s="11">
        <v>4.8769999999999936</v>
      </c>
      <c r="AD26" s="11">
        <v>4.8499999999999988</v>
      </c>
      <c r="AE26" s="11">
        <v>4.8230000000000084</v>
      </c>
      <c r="AF26" s="11">
        <v>4.7960000000000038</v>
      </c>
      <c r="AG26" s="11">
        <v>4.771999999999994</v>
      </c>
      <c r="AH26" s="11">
        <v>4.7440000000000078</v>
      </c>
      <c r="AI26" s="11">
        <v>4.7169999999999952</v>
      </c>
      <c r="AJ26" s="11">
        <v>4.6900000000000031</v>
      </c>
      <c r="AK26" s="172">
        <v>4.6629999999999985</v>
      </c>
      <c r="AL26" s="11">
        <v>4.6359999999999904</v>
      </c>
      <c r="AM26" s="11"/>
      <c r="AN26" s="11"/>
      <c r="AO26" s="11"/>
      <c r="AP26" s="11"/>
      <c r="AQ26" s="11"/>
      <c r="AR26" s="11"/>
      <c r="AS26" s="11"/>
      <c r="AT26" s="11"/>
      <c r="AU26" s="11"/>
      <c r="AV26" s="11"/>
      <c r="AW26" s="11"/>
      <c r="AX26" s="11"/>
      <c r="AY26" s="11"/>
      <c r="AZ26" s="11"/>
      <c r="BA26" s="11"/>
      <c r="BB26" s="11"/>
      <c r="BC26" s="11"/>
      <c r="BD26" s="11"/>
      <c r="BE26" s="11"/>
      <c r="BF26" s="11"/>
      <c r="BG26" s="11"/>
      <c r="BH26" s="11"/>
      <c r="BI26" s="11"/>
      <c r="BJ26" s="11"/>
      <c r="BK26" s="11"/>
      <c r="BL26" s="11"/>
      <c r="BM26" s="11"/>
      <c r="BN26" s="11"/>
      <c r="BO26" s="11"/>
      <c r="BP26" s="11"/>
      <c r="BQ26" s="11"/>
      <c r="BR26" s="11"/>
      <c r="BS26" s="11"/>
      <c r="BT26" s="11"/>
    </row>
    <row r="27" spans="12:96" x14ac:dyDescent="0.2">
      <c r="L27" s="83" t="str">
        <f>'Ind T4'!A29</f>
        <v>Real estate</v>
      </c>
      <c r="M27" s="11">
        <v>5.8159999999999927</v>
      </c>
      <c r="N27" s="11">
        <v>5.1690000000000218</v>
      </c>
      <c r="O27" s="11">
        <v>4.9770000000000119</v>
      </c>
      <c r="P27" s="11">
        <v>5.5400000000000134</v>
      </c>
      <c r="Q27" s="11">
        <v>6.0889999999999791</v>
      </c>
      <c r="R27" s="11">
        <v>5.752000000000014</v>
      </c>
      <c r="S27" s="11">
        <v>5.6969999999999894</v>
      </c>
      <c r="T27" s="11">
        <v>5.665999999999995</v>
      </c>
      <c r="U27" s="11">
        <v>6.0519999999999925</v>
      </c>
      <c r="V27" s="11">
        <v>7.1069999999999958</v>
      </c>
      <c r="W27" s="11">
        <v>7.6729999999999938</v>
      </c>
      <c r="X27" s="11">
        <v>7.4890000000000159</v>
      </c>
      <c r="Y27" s="11">
        <v>7.3100000000000005</v>
      </c>
      <c r="Z27" s="11">
        <v>7.19</v>
      </c>
      <c r="AA27" s="11">
        <v>7.1239999999999934</v>
      </c>
      <c r="AB27" s="11">
        <v>7.152000000000009</v>
      </c>
      <c r="AC27" s="11">
        <v>7.199999999999994</v>
      </c>
      <c r="AD27" s="11">
        <v>7.2560000000000082</v>
      </c>
      <c r="AE27" s="11">
        <v>7.3170000000000091</v>
      </c>
      <c r="AF27" s="11">
        <v>7.3810000000000136</v>
      </c>
      <c r="AG27" s="11">
        <v>7.445999999999998</v>
      </c>
      <c r="AH27" s="11">
        <v>7.5109999999999912</v>
      </c>
      <c r="AI27" s="11">
        <v>7.5760000000000156</v>
      </c>
      <c r="AJ27" s="11">
        <v>7.641000000000008</v>
      </c>
      <c r="AK27" s="172">
        <v>7.704999999999993</v>
      </c>
      <c r="AL27" s="11">
        <v>7.7679999999999945</v>
      </c>
      <c r="AM27" s="11"/>
      <c r="AN27" s="11"/>
      <c r="AO27" s="11"/>
      <c r="AP27" s="11"/>
      <c r="AQ27" s="11"/>
      <c r="AR27" s="11"/>
      <c r="AS27" s="11"/>
      <c r="AT27" s="11"/>
      <c r="AU27" s="11"/>
      <c r="AV27" s="11"/>
      <c r="AW27" s="11"/>
      <c r="AX27" s="11"/>
      <c r="AY27" s="11"/>
      <c r="AZ27" s="11"/>
      <c r="BA27" s="11"/>
      <c r="BB27" s="11"/>
      <c r="BC27" s="11"/>
      <c r="BD27" s="11"/>
      <c r="BE27" s="11"/>
      <c r="BF27" s="11"/>
      <c r="BG27" s="11"/>
      <c r="BH27" s="11"/>
      <c r="BI27" s="11"/>
      <c r="BJ27" s="11"/>
      <c r="BK27" s="11"/>
      <c r="BL27" s="11"/>
      <c r="BM27" s="11"/>
      <c r="BN27" s="11"/>
      <c r="BO27" s="11"/>
      <c r="BP27" s="11"/>
      <c r="BQ27" s="11"/>
      <c r="BR27" s="11"/>
      <c r="BS27" s="11"/>
      <c r="BT27" s="11"/>
    </row>
    <row r="28" spans="12:96" x14ac:dyDescent="0.2">
      <c r="L28" s="83" t="str">
        <f>'Ind T4'!A30</f>
        <v>Professional services</v>
      </c>
      <c r="M28" s="11">
        <v>23.692</v>
      </c>
      <c r="N28" s="11">
        <v>23.740999999999939</v>
      </c>
      <c r="O28" s="11">
        <v>21.451000000000025</v>
      </c>
      <c r="P28" s="11">
        <v>24.456000000000017</v>
      </c>
      <c r="Q28" s="11">
        <v>27.597999999999999</v>
      </c>
      <c r="R28" s="11">
        <v>26.284000000000049</v>
      </c>
      <c r="S28" s="11">
        <v>27.185999999999996</v>
      </c>
      <c r="T28" s="11">
        <v>27.045999999999967</v>
      </c>
      <c r="U28" s="11">
        <v>24.833000000000037</v>
      </c>
      <c r="V28" s="11">
        <v>29.22300000000007</v>
      </c>
      <c r="W28" s="11">
        <v>31.242000000000051</v>
      </c>
      <c r="X28" s="11">
        <v>31.676000000000062</v>
      </c>
      <c r="Y28" s="11">
        <v>31.810000000000048</v>
      </c>
      <c r="Z28" s="11">
        <v>32.009000000000022</v>
      </c>
      <c r="AA28" s="11">
        <v>32.233999999999959</v>
      </c>
      <c r="AB28" s="11">
        <v>32.414999999999978</v>
      </c>
      <c r="AC28" s="11">
        <v>32.581999999999958</v>
      </c>
      <c r="AD28" s="11">
        <v>32.757000000000033</v>
      </c>
      <c r="AE28" s="11">
        <v>32.938000000000073</v>
      </c>
      <c r="AF28" s="11">
        <v>33.127000000000045</v>
      </c>
      <c r="AG28" s="11">
        <v>33.329000000000065</v>
      </c>
      <c r="AH28" s="11">
        <v>33.527000000000015</v>
      </c>
      <c r="AI28" s="11">
        <v>33.724999999999937</v>
      </c>
      <c r="AJ28" s="11">
        <v>33.923000000000066</v>
      </c>
      <c r="AK28" s="172">
        <v>34.120999999999995</v>
      </c>
      <c r="AL28" s="11">
        <v>34.318999999999946</v>
      </c>
      <c r="AM28" s="11"/>
      <c r="AN28" s="11"/>
      <c r="AO28" s="11"/>
      <c r="AP28" s="11"/>
      <c r="AQ28" s="11"/>
      <c r="AR28" s="11"/>
      <c r="AS28" s="11"/>
      <c r="AT28" s="11"/>
      <c r="AU28" s="11"/>
      <c r="AV28" s="11"/>
      <c r="AW28" s="11"/>
      <c r="AX28" s="11"/>
      <c r="AY28" s="11"/>
      <c r="AZ28" s="11"/>
      <c r="BA28" s="11"/>
      <c r="BB28" s="11"/>
      <c r="BC28" s="11"/>
      <c r="BD28" s="11"/>
      <c r="BE28" s="11"/>
      <c r="BF28" s="11"/>
      <c r="BG28" s="11"/>
      <c r="BH28" s="11"/>
      <c r="BI28" s="11"/>
      <c r="BJ28" s="11"/>
      <c r="BK28" s="11"/>
      <c r="BL28" s="11"/>
      <c r="BM28" s="11"/>
      <c r="BN28" s="11"/>
      <c r="BO28" s="11"/>
      <c r="BP28" s="11"/>
      <c r="BQ28" s="11"/>
      <c r="BR28" s="11"/>
      <c r="BS28" s="11"/>
      <c r="BT28" s="11"/>
    </row>
    <row r="29" spans="12:96" x14ac:dyDescent="0.2">
      <c r="L29" s="83" t="str">
        <f>'Ind T4'!A31</f>
        <v>Support services</v>
      </c>
      <c r="M29" s="11">
        <v>35.768999999999942</v>
      </c>
      <c r="N29" s="11">
        <v>37.960000000000015</v>
      </c>
      <c r="O29" s="11">
        <v>36.518000000000058</v>
      </c>
      <c r="P29" s="11">
        <v>36.007999999999882</v>
      </c>
      <c r="Q29" s="11">
        <v>40.694999999999965</v>
      </c>
      <c r="R29" s="11">
        <v>39.827999999999939</v>
      </c>
      <c r="S29" s="11">
        <v>37.149000000000015</v>
      </c>
      <c r="T29" s="11">
        <v>42.204000000000001</v>
      </c>
      <c r="U29" s="11">
        <v>41.711000000000212</v>
      </c>
      <c r="V29" s="11">
        <v>41.087999999999973</v>
      </c>
      <c r="W29" s="11">
        <v>41.575000000000088</v>
      </c>
      <c r="X29" s="11">
        <v>42.341000000000022</v>
      </c>
      <c r="Y29" s="11">
        <v>43.226999999999919</v>
      </c>
      <c r="Z29" s="11">
        <v>43.781999999999869</v>
      </c>
      <c r="AA29" s="11">
        <v>44.143000000000029</v>
      </c>
      <c r="AB29" s="11">
        <v>44.417000000000137</v>
      </c>
      <c r="AC29" s="11">
        <v>44.727999999999973</v>
      </c>
      <c r="AD29" s="11">
        <v>45.034000000000006</v>
      </c>
      <c r="AE29" s="11">
        <v>45.336999999999961</v>
      </c>
      <c r="AF29" s="11">
        <v>45.639000000000003</v>
      </c>
      <c r="AG29" s="11">
        <v>45.950000000000045</v>
      </c>
      <c r="AH29" s="11">
        <v>46.249000000000024</v>
      </c>
      <c r="AI29" s="11">
        <v>46.54699999999999</v>
      </c>
      <c r="AJ29" s="11">
        <v>46.845000000000056</v>
      </c>
      <c r="AK29" s="172">
        <v>47.143000000000107</v>
      </c>
      <c r="AL29" s="11">
        <v>47.441999999999965</v>
      </c>
      <c r="AM29" s="11"/>
      <c r="AN29" s="11"/>
      <c r="AO29" s="11"/>
      <c r="AP29" s="11"/>
      <c r="AQ29" s="11"/>
      <c r="AR29" s="11"/>
      <c r="AS29" s="11"/>
      <c r="AT29" s="11"/>
      <c r="AU29" s="11"/>
      <c r="AV29" s="11"/>
      <c r="AW29" s="11"/>
      <c r="AX29" s="11"/>
      <c r="AY29" s="11"/>
      <c r="AZ29" s="11"/>
      <c r="BA29" s="11"/>
      <c r="BB29" s="11"/>
      <c r="BC29" s="11"/>
      <c r="BD29" s="11"/>
      <c r="BE29" s="11"/>
      <c r="BF29" s="11"/>
      <c r="BG29" s="11"/>
      <c r="BH29" s="11"/>
      <c r="BI29" s="11"/>
      <c r="BJ29" s="11"/>
      <c r="BK29" s="11"/>
      <c r="BL29" s="11"/>
      <c r="BM29" s="11"/>
      <c r="BN29" s="11"/>
      <c r="BO29" s="11"/>
      <c r="BP29" s="11"/>
      <c r="BQ29" s="11"/>
      <c r="BR29" s="11"/>
      <c r="BS29" s="11"/>
      <c r="BT29" s="11"/>
    </row>
    <row r="30" spans="12:96" x14ac:dyDescent="0.2">
      <c r="L30" s="83" t="str">
        <f>'Ind T4'!A32</f>
        <v>Arts and entertainment</v>
      </c>
      <c r="M30" s="11">
        <v>11.130000000000015</v>
      </c>
      <c r="N30" s="11">
        <v>13.367999999999979</v>
      </c>
      <c r="O30" s="11">
        <v>10.833999999999985</v>
      </c>
      <c r="P30" s="11">
        <v>10.137999999999977</v>
      </c>
      <c r="Q30" s="11">
        <v>10.483000000000004</v>
      </c>
      <c r="R30" s="11">
        <v>11.292000000000003</v>
      </c>
      <c r="S30" s="11">
        <v>11.200000000000001</v>
      </c>
      <c r="T30" s="11">
        <v>12.081000000000005</v>
      </c>
      <c r="U30" s="11">
        <v>12.895000000000008</v>
      </c>
      <c r="V30" s="11">
        <v>12.757000000000005</v>
      </c>
      <c r="W30" s="11">
        <v>11.482000000000003</v>
      </c>
      <c r="X30" s="11">
        <v>11.284999999999989</v>
      </c>
      <c r="Y30" s="11">
        <v>10.641999999999989</v>
      </c>
      <c r="Z30" s="11">
        <v>10.436999999999989</v>
      </c>
      <c r="AA30" s="11">
        <v>10.535</v>
      </c>
      <c r="AB30" s="11">
        <v>10.555000000000017</v>
      </c>
      <c r="AC30" s="11">
        <v>10.596999999999989</v>
      </c>
      <c r="AD30" s="11">
        <v>10.623000000000012</v>
      </c>
      <c r="AE30" s="11">
        <v>10.643000000000024</v>
      </c>
      <c r="AF30" s="11">
        <v>10.65800000000003</v>
      </c>
      <c r="AG30" s="11">
        <v>10.674999999999962</v>
      </c>
      <c r="AH30" s="11">
        <v>10.694000000000001</v>
      </c>
      <c r="AI30" s="11">
        <v>10.712999999999992</v>
      </c>
      <c r="AJ30" s="11">
        <v>10.732000000000001</v>
      </c>
      <c r="AK30" s="172">
        <v>10.747999999999999</v>
      </c>
      <c r="AL30" s="11">
        <v>10.762999999999987</v>
      </c>
      <c r="AM30" s="11"/>
      <c r="AN30" s="11"/>
      <c r="AO30" s="11"/>
      <c r="AP30" s="11"/>
      <c r="AQ30" s="11"/>
      <c r="AR30" s="11"/>
      <c r="AS30" s="11"/>
      <c r="AT30" s="11"/>
      <c r="AU30" s="11"/>
      <c r="AV30" s="11"/>
      <c r="AW30" s="11"/>
      <c r="AX30" s="11"/>
      <c r="AY30" s="11"/>
      <c r="AZ30" s="11"/>
      <c r="BA30" s="11"/>
      <c r="BB30" s="11"/>
      <c r="BC30" s="11"/>
      <c r="BD30" s="11"/>
      <c r="BE30" s="11"/>
      <c r="BF30" s="11"/>
      <c r="BG30" s="11"/>
      <c r="BH30" s="11"/>
      <c r="BI30" s="11"/>
      <c r="BJ30" s="11"/>
      <c r="BK30" s="11"/>
      <c r="BL30" s="11"/>
      <c r="BM30" s="11"/>
      <c r="BN30" s="11"/>
      <c r="BO30" s="11"/>
      <c r="BP30" s="11"/>
      <c r="BQ30" s="11"/>
      <c r="BR30" s="11"/>
      <c r="BS30" s="11"/>
      <c r="BT30" s="11"/>
    </row>
    <row r="31" spans="12:96" x14ac:dyDescent="0.2">
      <c r="L31" s="83" t="str">
        <f>'Ind T4'!A33</f>
        <v>Other services</v>
      </c>
      <c r="M31" s="11">
        <v>13.466000000000005</v>
      </c>
      <c r="N31" s="11">
        <v>14.073000000000009</v>
      </c>
      <c r="O31" s="11">
        <v>13.96000000000002</v>
      </c>
      <c r="P31" s="11">
        <v>13.893000000000017</v>
      </c>
      <c r="Q31" s="11">
        <v>16.027999999999995</v>
      </c>
      <c r="R31" s="11">
        <v>12.136999999999986</v>
      </c>
      <c r="S31" s="11">
        <v>15.265000000000013</v>
      </c>
      <c r="T31" s="11">
        <v>13.577000000000002</v>
      </c>
      <c r="U31" s="11">
        <v>15.067000000000004</v>
      </c>
      <c r="V31" s="11">
        <v>15.345999999999977</v>
      </c>
      <c r="W31" s="11">
        <v>16.147999999999978</v>
      </c>
      <c r="X31" s="11">
        <v>15.419999999999996</v>
      </c>
      <c r="Y31" s="11">
        <v>14.986000000000004</v>
      </c>
      <c r="Z31" s="11">
        <v>14.941999999999977</v>
      </c>
      <c r="AA31" s="11">
        <v>14.923999999999998</v>
      </c>
      <c r="AB31" s="11">
        <v>14.876000000000003</v>
      </c>
      <c r="AC31" s="11">
        <v>14.82199999999999</v>
      </c>
      <c r="AD31" s="11">
        <v>14.769000000000018</v>
      </c>
      <c r="AE31" s="11">
        <v>14.720999999999981</v>
      </c>
      <c r="AF31" s="11">
        <v>14.680000000000016</v>
      </c>
      <c r="AG31" s="11">
        <v>14.646999999999988</v>
      </c>
      <c r="AH31" s="11">
        <v>14.618000000000023</v>
      </c>
      <c r="AI31" s="11">
        <v>14.593000000000021</v>
      </c>
      <c r="AJ31" s="11">
        <v>14.571000000000023</v>
      </c>
      <c r="AK31" s="172">
        <v>14.551000000000021</v>
      </c>
      <c r="AL31" s="11">
        <v>14.535000000000004</v>
      </c>
      <c r="AM31" s="11"/>
      <c r="AN31" s="11"/>
      <c r="AO31" s="11"/>
      <c r="AP31" s="11"/>
      <c r="AQ31" s="11"/>
      <c r="AR31" s="11"/>
      <c r="AS31" s="11"/>
      <c r="AT31" s="11"/>
      <c r="AU31" s="11"/>
      <c r="AV31" s="11"/>
      <c r="AW31" s="11"/>
      <c r="AX31" s="11"/>
      <c r="AY31" s="11"/>
      <c r="AZ31" s="11"/>
      <c r="BA31" s="11"/>
      <c r="BB31" s="11"/>
      <c r="BC31" s="11"/>
      <c r="BD31" s="11"/>
      <c r="BE31" s="11"/>
      <c r="BF31" s="11"/>
      <c r="BG31" s="11"/>
      <c r="BH31" s="11"/>
      <c r="BI31" s="11"/>
      <c r="BJ31" s="11"/>
      <c r="BK31" s="11"/>
      <c r="BL31" s="11"/>
      <c r="BM31" s="11"/>
      <c r="BN31" s="11"/>
      <c r="BO31" s="11"/>
      <c r="BP31" s="11"/>
      <c r="BQ31" s="11"/>
      <c r="BR31" s="11"/>
      <c r="BS31" s="11"/>
      <c r="BT31" s="11"/>
    </row>
    <row r="32" spans="12:96" x14ac:dyDescent="0.2">
      <c r="L32" s="13"/>
      <c r="AK32" s="172"/>
      <c r="AP32" s="11"/>
      <c r="BF32" s="11"/>
      <c r="BG32" s="11"/>
      <c r="BH32" s="11"/>
      <c r="BI32" s="11"/>
      <c r="BJ32" s="11"/>
      <c r="BK32" s="11"/>
      <c r="BL32" s="11"/>
      <c r="BM32" s="11"/>
      <c r="BN32" s="11"/>
      <c r="BO32" s="11"/>
      <c r="BP32" s="11"/>
      <c r="BQ32" s="11"/>
      <c r="BR32" s="11"/>
      <c r="BS32" s="11"/>
      <c r="BT32" s="11"/>
    </row>
    <row r="33" spans="1:72" x14ac:dyDescent="0.2">
      <c r="L33" s="1" t="str">
        <f>'Ind T4'!A35</f>
        <v>Non-marketed services</v>
      </c>
      <c r="M33" s="11">
        <f>SUM(M34:M36)</f>
        <v>130.54300000000015</v>
      </c>
      <c r="N33" s="11">
        <f t="shared" ref="N33:AK33" si="20">SUM(N34:N36)</f>
        <v>126.94699999999986</v>
      </c>
      <c r="O33" s="11">
        <f t="shared" si="20"/>
        <v>123.63899999999987</v>
      </c>
      <c r="P33" s="11">
        <f t="shared" si="20"/>
        <v>121.54900000000009</v>
      </c>
      <c r="Q33" s="11">
        <f t="shared" si="20"/>
        <v>126.172</v>
      </c>
      <c r="R33" s="11">
        <f t="shared" si="20"/>
        <v>125.80099999999987</v>
      </c>
      <c r="S33" s="11">
        <f t="shared" si="20"/>
        <v>124.88499999999982</v>
      </c>
      <c r="T33" s="11">
        <f t="shared" si="20"/>
        <v>126.67399999999991</v>
      </c>
      <c r="U33" s="11">
        <f t="shared" si="20"/>
        <v>126.91499999999991</v>
      </c>
      <c r="V33" s="11">
        <f t="shared" si="20"/>
        <v>127.34200000000001</v>
      </c>
      <c r="W33" s="11">
        <f t="shared" si="20"/>
        <v>126.54600000000022</v>
      </c>
      <c r="X33" s="11">
        <f t="shared" si="20"/>
        <v>126.80800000000013</v>
      </c>
      <c r="Y33" s="11">
        <f t="shared" si="20"/>
        <v>127.35499999999989</v>
      </c>
      <c r="Z33" s="11">
        <f t="shared" si="20"/>
        <v>128.07199999999995</v>
      </c>
      <c r="AA33" s="11">
        <f t="shared" si="20"/>
        <v>129.01399999999995</v>
      </c>
      <c r="AB33" s="11">
        <f t="shared" si="20"/>
        <v>129.73600000000019</v>
      </c>
      <c r="AC33" s="11">
        <f t="shared" si="20"/>
        <v>130.26300000000012</v>
      </c>
      <c r="AD33" s="11">
        <f t="shared" si="20"/>
        <v>130.755</v>
      </c>
      <c r="AE33" s="11">
        <f t="shared" si="20"/>
        <v>131.238</v>
      </c>
      <c r="AF33" s="11">
        <f t="shared" si="20"/>
        <v>131.72399999999993</v>
      </c>
      <c r="AG33" s="11">
        <f t="shared" si="20"/>
        <v>132.23500000000001</v>
      </c>
      <c r="AH33" s="11">
        <f t="shared" si="20"/>
        <v>132.73199999999997</v>
      </c>
      <c r="AI33" s="11">
        <f t="shared" si="20"/>
        <v>133.21600000000007</v>
      </c>
      <c r="AJ33" s="11">
        <f t="shared" si="20"/>
        <v>133.69700000000009</v>
      </c>
      <c r="AK33" s="11">
        <f t="shared" si="20"/>
        <v>134.17100000000016</v>
      </c>
      <c r="AL33" s="11">
        <f>SUM(AL34:AL36)</f>
        <v>134.6350000000001</v>
      </c>
      <c r="AM33" s="11"/>
      <c r="AN33" s="11"/>
      <c r="AO33" s="11"/>
      <c r="AP33" s="11"/>
      <c r="AQ33" s="11"/>
      <c r="AR33" s="11"/>
      <c r="AS33" s="11"/>
      <c r="AT33" s="11"/>
      <c r="AU33" s="11"/>
      <c r="AV33" s="11"/>
      <c r="AW33" s="11"/>
      <c r="AX33" s="11"/>
      <c r="AY33" s="11"/>
      <c r="AZ33" s="11"/>
      <c r="BA33" s="11"/>
      <c r="BB33" s="11"/>
      <c r="BC33" s="11"/>
      <c r="BD33" s="11"/>
      <c r="BE33" s="11"/>
      <c r="BF33" s="11"/>
      <c r="BG33" s="11"/>
      <c r="BH33" s="11"/>
      <c r="BI33" s="11"/>
      <c r="BJ33" s="11"/>
      <c r="BK33" s="11"/>
      <c r="BL33" s="11"/>
      <c r="BM33" s="11"/>
      <c r="BN33" s="11"/>
      <c r="BO33" s="11"/>
      <c r="BP33" s="11"/>
      <c r="BQ33" s="11"/>
      <c r="BR33" s="11"/>
      <c r="BS33" s="11"/>
      <c r="BT33" s="11"/>
    </row>
    <row r="34" spans="1:72" x14ac:dyDescent="0.2">
      <c r="L34" s="83" t="str">
        <f>'Ind T4'!A36</f>
        <v>Public admin. and defence</v>
      </c>
      <c r="M34" s="11">
        <v>22.933000000000007</v>
      </c>
      <c r="N34" s="11">
        <v>20.163999999999994</v>
      </c>
      <c r="O34" s="11">
        <v>18.02199999999997</v>
      </c>
      <c r="P34" s="11">
        <v>18.190000000000023</v>
      </c>
      <c r="Q34" s="11">
        <v>19.456999999999994</v>
      </c>
      <c r="R34" s="11">
        <v>17.710000000000008</v>
      </c>
      <c r="S34" s="11">
        <v>18.040000000000045</v>
      </c>
      <c r="T34" s="11">
        <v>16.850000000000012</v>
      </c>
      <c r="U34" s="11">
        <v>17.230000000000018</v>
      </c>
      <c r="V34" s="11">
        <v>17.408999999999953</v>
      </c>
      <c r="W34" s="11">
        <v>18.051000000000062</v>
      </c>
      <c r="X34" s="11">
        <v>17.792000000000023</v>
      </c>
      <c r="Y34" s="11">
        <v>17.990999999999961</v>
      </c>
      <c r="Z34" s="11">
        <v>18.131000000000014</v>
      </c>
      <c r="AA34" s="11">
        <v>18.311000000000028</v>
      </c>
      <c r="AB34" s="11">
        <v>18.392000000000017</v>
      </c>
      <c r="AC34" s="11">
        <v>18.461000000000027</v>
      </c>
      <c r="AD34" s="11">
        <v>18.530999999999999</v>
      </c>
      <c r="AE34" s="11">
        <v>18.602000000000032</v>
      </c>
      <c r="AF34" s="11">
        <v>18.672999999999931</v>
      </c>
      <c r="AG34" s="11">
        <v>18.744000000000014</v>
      </c>
      <c r="AH34" s="11">
        <v>18.814000000000007</v>
      </c>
      <c r="AI34" s="11">
        <v>18.883999999999983</v>
      </c>
      <c r="AJ34" s="11">
        <v>18.953999999999994</v>
      </c>
      <c r="AK34" s="172">
        <v>19.024000000000008</v>
      </c>
      <c r="AL34" s="11">
        <v>19.091000000000012</v>
      </c>
      <c r="AM34" s="11"/>
      <c r="AN34" s="11"/>
      <c r="AO34" s="11"/>
      <c r="AP34" s="11"/>
      <c r="AQ34" s="11"/>
      <c r="AR34" s="11"/>
      <c r="AS34" s="11"/>
      <c r="AT34" s="11"/>
      <c r="AU34" s="11"/>
      <c r="AV34" s="11"/>
      <c r="AW34" s="11"/>
      <c r="AX34" s="11"/>
      <c r="AY34" s="11"/>
      <c r="AZ34" s="11"/>
      <c r="BA34" s="11"/>
      <c r="BB34" s="11"/>
      <c r="BC34" s="11"/>
      <c r="BD34" s="11"/>
      <c r="BE34" s="11"/>
      <c r="BF34" s="11"/>
      <c r="BG34" s="11"/>
      <c r="BH34" s="11"/>
      <c r="BI34" s="11"/>
      <c r="BJ34" s="11"/>
      <c r="BK34" s="11"/>
      <c r="BL34" s="11"/>
      <c r="BM34" s="11"/>
      <c r="BN34" s="11"/>
      <c r="BO34" s="11"/>
      <c r="BP34" s="11"/>
      <c r="BQ34" s="11"/>
      <c r="BR34" s="11"/>
      <c r="BS34" s="11"/>
      <c r="BT34" s="11"/>
    </row>
    <row r="35" spans="1:72" x14ac:dyDescent="0.2">
      <c r="L35" s="83" t="str">
        <f>'Ind T4'!A37</f>
        <v>Education</v>
      </c>
      <c r="M35" s="11">
        <v>42.290000000000099</v>
      </c>
      <c r="N35" s="11">
        <v>41.51599999999992</v>
      </c>
      <c r="O35" s="11">
        <v>43.635999999999953</v>
      </c>
      <c r="P35" s="11">
        <v>43.668999999999969</v>
      </c>
      <c r="Q35" s="11">
        <v>43.559000000000076</v>
      </c>
      <c r="R35" s="11">
        <v>45.402999999999956</v>
      </c>
      <c r="S35" s="11">
        <v>42.14699999999992</v>
      </c>
      <c r="T35" s="11">
        <v>41.554999999999978</v>
      </c>
      <c r="U35" s="11">
        <v>43.153999999999854</v>
      </c>
      <c r="V35" s="11">
        <v>43.415000000000063</v>
      </c>
      <c r="W35" s="11">
        <v>43.085000000000015</v>
      </c>
      <c r="X35" s="11">
        <v>42.591000000000051</v>
      </c>
      <c r="Y35" s="11">
        <v>42.157000000000011</v>
      </c>
      <c r="Z35" s="11">
        <v>42.041999999999973</v>
      </c>
      <c r="AA35" s="11">
        <v>42.021999999999991</v>
      </c>
      <c r="AB35" s="11">
        <v>42.096000000000039</v>
      </c>
      <c r="AC35" s="11">
        <v>42.112000000000073</v>
      </c>
      <c r="AD35" s="11">
        <v>42.129999999999981</v>
      </c>
      <c r="AE35" s="11">
        <v>42.154000000000003</v>
      </c>
      <c r="AF35" s="11">
        <v>42.186999999999983</v>
      </c>
      <c r="AG35" s="11">
        <v>42.253999999999976</v>
      </c>
      <c r="AH35" s="11">
        <v>42.317999999999927</v>
      </c>
      <c r="AI35" s="11">
        <v>42.375999999999969</v>
      </c>
      <c r="AJ35" s="11">
        <v>42.433</v>
      </c>
      <c r="AK35" s="172">
        <v>42.48300000000004</v>
      </c>
      <c r="AL35" s="11">
        <v>42.527000000000065</v>
      </c>
      <c r="AM35" s="11"/>
      <c r="AN35" s="11"/>
      <c r="AO35" s="11"/>
      <c r="AP35" s="11"/>
      <c r="AQ35" s="11"/>
      <c r="AR35" s="11"/>
      <c r="AS35" s="11"/>
      <c r="AT35" s="11"/>
      <c r="AU35" s="11"/>
      <c r="AV35" s="11"/>
      <c r="AW35" s="11"/>
      <c r="AX35" s="11"/>
      <c r="AY35" s="11"/>
      <c r="AZ35" s="11"/>
      <c r="BA35" s="11"/>
      <c r="BB35" s="11"/>
      <c r="BC35" s="11"/>
      <c r="BD35" s="11"/>
      <c r="BE35" s="11"/>
      <c r="BF35" s="11"/>
      <c r="BG35" s="11"/>
      <c r="BH35" s="11"/>
      <c r="BI35" s="11"/>
      <c r="BJ35" s="11"/>
      <c r="BK35" s="11"/>
      <c r="BL35" s="11"/>
      <c r="BM35" s="11"/>
      <c r="BN35" s="11"/>
      <c r="BO35" s="11"/>
      <c r="BP35" s="11"/>
      <c r="BQ35" s="11"/>
      <c r="BR35" s="11"/>
      <c r="BS35" s="11"/>
      <c r="BT35" s="11"/>
    </row>
    <row r="36" spans="1:72" x14ac:dyDescent="0.2">
      <c r="L36" s="83" t="str">
        <f>'Ind T4'!A38</f>
        <v>Health and social work</v>
      </c>
      <c r="M36" s="11">
        <v>65.32000000000005</v>
      </c>
      <c r="N36" s="11">
        <v>65.266999999999953</v>
      </c>
      <c r="O36" s="11">
        <v>61.980999999999938</v>
      </c>
      <c r="P36" s="11">
        <v>59.690000000000097</v>
      </c>
      <c r="Q36" s="11">
        <v>63.155999999999935</v>
      </c>
      <c r="R36" s="11">
        <v>62.687999999999903</v>
      </c>
      <c r="S36" s="11">
        <v>64.697999999999851</v>
      </c>
      <c r="T36" s="11">
        <v>68.26899999999992</v>
      </c>
      <c r="U36" s="11">
        <v>66.531000000000034</v>
      </c>
      <c r="V36" s="11">
        <v>66.518000000000001</v>
      </c>
      <c r="W36" s="11">
        <v>65.410000000000139</v>
      </c>
      <c r="X36" s="11">
        <v>66.425000000000054</v>
      </c>
      <c r="Y36" s="11">
        <v>67.206999999999923</v>
      </c>
      <c r="Z36" s="11">
        <v>67.898999999999958</v>
      </c>
      <c r="AA36" s="11">
        <v>68.680999999999926</v>
      </c>
      <c r="AB36" s="11">
        <v>69.248000000000133</v>
      </c>
      <c r="AC36" s="11">
        <v>69.690000000000026</v>
      </c>
      <c r="AD36" s="11">
        <v>70.094000000000023</v>
      </c>
      <c r="AE36" s="11">
        <v>70.481999999999957</v>
      </c>
      <c r="AF36" s="11">
        <v>70.864000000000019</v>
      </c>
      <c r="AG36" s="11">
        <v>71.237000000000023</v>
      </c>
      <c r="AH36" s="11">
        <v>71.600000000000051</v>
      </c>
      <c r="AI36" s="11">
        <v>71.956000000000103</v>
      </c>
      <c r="AJ36" s="11">
        <v>72.310000000000088</v>
      </c>
      <c r="AK36" s="172">
        <v>72.664000000000115</v>
      </c>
      <c r="AL36" s="11">
        <v>73.017000000000039</v>
      </c>
      <c r="AM36" s="11"/>
      <c r="AN36" s="11"/>
      <c r="AO36" s="11"/>
      <c r="AP36" s="11"/>
      <c r="AQ36" s="11"/>
      <c r="AR36" s="11"/>
      <c r="AS36" s="11"/>
      <c r="AT36" s="11"/>
      <c r="AU36" s="11"/>
      <c r="AV36" s="11"/>
      <c r="AW36" s="11"/>
      <c r="AX36" s="11"/>
      <c r="AY36" s="11"/>
      <c r="AZ36" s="11"/>
      <c r="BA36" s="11"/>
      <c r="BB36" s="11"/>
      <c r="BC36" s="11"/>
      <c r="BD36" s="11"/>
      <c r="BE36" s="11"/>
      <c r="BF36" s="11"/>
      <c r="BG36" s="11"/>
      <c r="BH36" s="11"/>
      <c r="BI36" s="11"/>
      <c r="BJ36" s="11"/>
      <c r="BK36" s="11"/>
      <c r="BL36" s="11"/>
      <c r="BM36" s="11"/>
      <c r="BN36" s="11"/>
      <c r="BO36" s="11"/>
      <c r="BP36" s="11"/>
      <c r="BQ36" s="11"/>
      <c r="BR36" s="11"/>
      <c r="BS36" s="11"/>
      <c r="BT36" s="11"/>
    </row>
    <row r="37" spans="1:72" x14ac:dyDescent="0.2">
      <c r="L37" s="45"/>
      <c r="AH37" s="11"/>
      <c r="AI37" s="11"/>
      <c r="AJ37" s="11"/>
      <c r="AK37" s="172"/>
      <c r="AL37" s="11"/>
      <c r="AM37" s="11"/>
      <c r="AP37" s="11"/>
      <c r="AQ37" s="11"/>
      <c r="AR37" s="11"/>
      <c r="AS37" s="11"/>
      <c r="AT37" s="11"/>
      <c r="AU37" s="11"/>
      <c r="AV37" s="11"/>
      <c r="AW37" s="11"/>
      <c r="AX37" s="11"/>
      <c r="AY37" s="11"/>
      <c r="AZ37" s="11"/>
      <c r="BA37" s="11"/>
      <c r="BB37" s="11"/>
      <c r="BC37" s="11"/>
      <c r="BD37" s="11"/>
      <c r="BE37" s="11"/>
      <c r="BF37" s="11"/>
      <c r="BG37" s="11"/>
      <c r="BH37" s="11"/>
      <c r="BI37" s="11"/>
      <c r="BJ37" s="11"/>
      <c r="BK37" s="11"/>
      <c r="BL37" s="11"/>
      <c r="BM37" s="11"/>
      <c r="BN37" s="11"/>
      <c r="BO37" s="11"/>
      <c r="BP37" s="11"/>
      <c r="BQ37" s="11"/>
      <c r="BR37" s="11"/>
      <c r="BS37" s="11"/>
      <c r="BT37" s="11"/>
    </row>
    <row r="38" spans="1:72" x14ac:dyDescent="0.2">
      <c r="L38" s="1" t="str">
        <f>'Ind T4'!A40</f>
        <v>All industries</v>
      </c>
      <c r="M38" s="11">
        <f>SUM(M5,M11,M16,M18,M23,M33)</f>
        <v>486.19900000000041</v>
      </c>
      <c r="N38" s="11">
        <f t="shared" ref="N38:AL38" si="21">SUM(N5,N11,N16,N18,N23,N33)</f>
        <v>495.43999999999994</v>
      </c>
      <c r="O38" s="11">
        <f t="shared" si="21"/>
        <v>484.26100000000008</v>
      </c>
      <c r="P38" s="11">
        <f t="shared" si="21"/>
        <v>476.18599999999998</v>
      </c>
      <c r="Q38" s="11">
        <f t="shared" si="21"/>
        <v>497.2919999999998</v>
      </c>
      <c r="R38" s="11">
        <f t="shared" si="21"/>
        <v>501.60500000000008</v>
      </c>
      <c r="S38" s="11">
        <f t="shared" si="21"/>
        <v>510.8349999999997</v>
      </c>
      <c r="T38" s="11">
        <f t="shared" si="21"/>
        <v>527.31999999999994</v>
      </c>
      <c r="U38" s="11">
        <f t="shared" si="21"/>
        <v>516.9050000000002</v>
      </c>
      <c r="V38" s="11">
        <f t="shared" si="21"/>
        <v>513.76599999999985</v>
      </c>
      <c r="W38" s="11">
        <f t="shared" si="21"/>
        <v>514.84500000000071</v>
      </c>
      <c r="X38" s="11">
        <f t="shared" si="21"/>
        <v>513.94800000000021</v>
      </c>
      <c r="Y38" s="11">
        <f t="shared" si="21"/>
        <v>514.65500000000009</v>
      </c>
      <c r="Z38" s="11">
        <f t="shared" si="21"/>
        <v>516.14499999999975</v>
      </c>
      <c r="AA38" s="11">
        <f t="shared" si="21"/>
        <v>518.67500000000018</v>
      </c>
      <c r="AB38" s="11">
        <f t="shared" si="21"/>
        <v>520.37000000000035</v>
      </c>
      <c r="AC38" s="11">
        <f t="shared" si="21"/>
        <v>521.74000000000024</v>
      </c>
      <c r="AD38" s="11">
        <f t="shared" si="21"/>
        <v>522.88099999999986</v>
      </c>
      <c r="AE38" s="11">
        <f t="shared" si="21"/>
        <v>524.02800000000047</v>
      </c>
      <c r="AF38" s="11">
        <f t="shared" si="21"/>
        <v>525.16299999999978</v>
      </c>
      <c r="AG38" s="11">
        <f t="shared" si="21"/>
        <v>526.48800000000028</v>
      </c>
      <c r="AH38" s="11">
        <f t="shared" si="21"/>
        <v>527.76700000000005</v>
      </c>
      <c r="AI38" s="11">
        <f t="shared" si="21"/>
        <v>529.03799999999978</v>
      </c>
      <c r="AJ38" s="11">
        <f t="shared" si="21"/>
        <v>530.35100000000011</v>
      </c>
      <c r="AK38" s="11">
        <f t="shared" si="21"/>
        <v>531.63400000000024</v>
      </c>
      <c r="AL38" s="11">
        <f t="shared" si="21"/>
        <v>532.91199999999981</v>
      </c>
      <c r="AM38" s="11"/>
      <c r="AP38" s="11"/>
      <c r="AQ38" s="11"/>
      <c r="AR38" s="11"/>
      <c r="AS38" s="11"/>
      <c r="AT38" s="11"/>
      <c r="AU38" s="11"/>
      <c r="AV38" s="11"/>
      <c r="AW38" s="11"/>
      <c r="AX38" s="11"/>
      <c r="AY38" s="11"/>
      <c r="AZ38" s="11"/>
      <c r="BA38" s="11"/>
      <c r="BB38" s="11"/>
      <c r="BC38" s="11"/>
      <c r="BD38" s="11"/>
      <c r="BE38" s="11"/>
      <c r="BF38" s="11"/>
      <c r="BG38" s="11"/>
      <c r="BH38" s="11"/>
      <c r="BI38" s="11"/>
      <c r="BJ38" s="11"/>
      <c r="BK38" s="11"/>
      <c r="BL38" s="11"/>
      <c r="BM38" s="11"/>
      <c r="BN38" s="11"/>
      <c r="BO38" s="11"/>
      <c r="BP38" s="11"/>
      <c r="BQ38" s="11"/>
      <c r="BR38" s="11"/>
      <c r="BS38" s="11"/>
      <c r="BT38" s="11"/>
    </row>
    <row r="39" spans="1:72" x14ac:dyDescent="0.2">
      <c r="AD39" s="11"/>
      <c r="AE39" s="11"/>
      <c r="AF39" s="11"/>
      <c r="AG39" s="11"/>
      <c r="AH39" s="11"/>
      <c r="AI39" s="11"/>
      <c r="AL39" s="11"/>
      <c r="AM39" s="11"/>
      <c r="AN39" s="11"/>
      <c r="AO39" s="11"/>
      <c r="AP39" s="11"/>
      <c r="AQ39" s="11"/>
      <c r="AR39" s="11"/>
      <c r="AS39" s="11"/>
      <c r="AT39" s="11"/>
      <c r="AU39" s="11"/>
      <c r="AV39" s="11"/>
      <c r="AW39" s="11"/>
      <c r="AX39" s="11"/>
      <c r="AY39" s="11"/>
      <c r="AZ39" s="11"/>
      <c r="BA39" s="11"/>
      <c r="BB39" s="11"/>
      <c r="BC39" s="11"/>
      <c r="BD39" s="11"/>
      <c r="BE39" s="11"/>
      <c r="BF39" s="11"/>
      <c r="BG39" s="11"/>
      <c r="BH39" s="11"/>
      <c r="BI39" s="11"/>
      <c r="BJ39" s="11"/>
      <c r="BK39" s="11"/>
      <c r="BL39" s="11"/>
      <c r="BM39" s="11"/>
      <c r="BN39" s="11"/>
      <c r="BO39" s="11"/>
      <c r="BP39" s="11"/>
    </row>
    <row r="40" spans="1:72" x14ac:dyDescent="0.2">
      <c r="AD40" s="11"/>
      <c r="AE40" s="11"/>
      <c r="AF40" s="11"/>
      <c r="AG40" s="11"/>
      <c r="AH40" s="11"/>
      <c r="AI40" s="11"/>
      <c r="AL40" s="11"/>
      <c r="AM40" s="11"/>
      <c r="AN40" s="11"/>
      <c r="AO40" s="11"/>
      <c r="AP40" s="11"/>
      <c r="AQ40" s="11"/>
      <c r="AR40" s="11"/>
      <c r="AS40" s="11"/>
      <c r="AT40" s="11"/>
      <c r="AU40" s="11"/>
      <c r="AV40" s="11"/>
      <c r="AW40" s="11"/>
      <c r="AX40" s="11"/>
      <c r="AY40" s="11"/>
      <c r="AZ40" s="11"/>
      <c r="BA40" s="11"/>
      <c r="BB40" s="11"/>
      <c r="BC40" s="11"/>
      <c r="BD40" s="11"/>
      <c r="BE40" s="11"/>
      <c r="BF40" s="11"/>
      <c r="BG40" s="11"/>
      <c r="BH40" s="11"/>
      <c r="BI40" s="11"/>
      <c r="BJ40" s="11"/>
      <c r="BK40" s="11"/>
      <c r="BL40" s="11"/>
      <c r="BM40" s="11"/>
      <c r="BN40" s="11"/>
      <c r="BO40" s="11"/>
      <c r="BP40" s="11"/>
    </row>
    <row r="41" spans="1:72" x14ac:dyDescent="0.2">
      <c r="L41" t="str">
        <f>REPT(" ",11)</f>
        <v xml:space="preserve">           </v>
      </c>
      <c r="AF41" s="11"/>
      <c r="AG41" s="11"/>
      <c r="AH41" s="11"/>
      <c r="AI41" s="11"/>
      <c r="AL41" s="11"/>
      <c r="AM41" s="11"/>
      <c r="AN41" s="11"/>
      <c r="AO41" s="11"/>
      <c r="AP41" s="11"/>
      <c r="AQ41" s="11"/>
      <c r="AR41" s="11"/>
      <c r="AS41" s="11"/>
      <c r="AT41" s="11"/>
      <c r="AU41" s="11"/>
      <c r="AV41" s="11"/>
      <c r="AW41" s="11"/>
      <c r="AX41" s="11"/>
      <c r="AY41" s="11"/>
      <c r="AZ41" s="11"/>
      <c r="BA41" s="11"/>
      <c r="BB41" s="11"/>
      <c r="BC41" s="11"/>
      <c r="BD41" s="11"/>
      <c r="BE41" s="11"/>
      <c r="BF41" s="11"/>
      <c r="BG41" s="11"/>
      <c r="BH41" s="11"/>
      <c r="BI41" s="11"/>
      <c r="BJ41" s="11"/>
      <c r="BK41" s="11"/>
      <c r="BL41" s="11"/>
      <c r="BM41" s="11"/>
      <c r="BN41" s="11"/>
      <c r="BO41" s="11"/>
      <c r="BP41" s="11"/>
    </row>
    <row r="42" spans="1:72" x14ac:dyDescent="0.2">
      <c r="AL42" s="11"/>
      <c r="AM42" s="11"/>
      <c r="AN42" s="11"/>
      <c r="AO42" s="11"/>
      <c r="AP42" s="11"/>
      <c r="AQ42" s="11"/>
      <c r="AR42" s="11"/>
      <c r="AS42" s="11"/>
      <c r="AT42" s="11"/>
      <c r="AU42" s="11"/>
      <c r="AV42" s="11"/>
      <c r="AW42" s="11"/>
      <c r="AX42" s="11"/>
      <c r="AY42" s="11"/>
      <c r="AZ42" s="11"/>
      <c r="BA42" s="11"/>
      <c r="BB42" s="11"/>
      <c r="BC42" s="11"/>
      <c r="BD42" s="11"/>
      <c r="BE42" s="11"/>
      <c r="BF42" s="11"/>
      <c r="BG42" s="11"/>
      <c r="BH42" s="11"/>
      <c r="BI42" s="11"/>
      <c r="BJ42" s="11"/>
      <c r="BK42" s="11"/>
      <c r="BL42" s="11"/>
      <c r="BM42" s="11"/>
      <c r="BN42" s="11"/>
      <c r="BO42" s="11"/>
      <c r="BP42" s="11"/>
    </row>
    <row r="43" spans="1:72" x14ac:dyDescent="0.2">
      <c r="AL43" s="11"/>
      <c r="AM43" s="11"/>
      <c r="AN43" s="11"/>
      <c r="AO43" s="11"/>
      <c r="AP43" s="11"/>
      <c r="AQ43" s="11"/>
      <c r="AR43" s="11"/>
      <c r="AS43" s="11"/>
      <c r="AT43" s="11"/>
      <c r="AU43" s="11"/>
      <c r="AV43" s="11"/>
      <c r="AW43" s="11"/>
      <c r="AX43" s="11"/>
      <c r="AY43" s="11"/>
      <c r="AZ43" s="11"/>
      <c r="BA43" s="11"/>
      <c r="BB43" s="11"/>
      <c r="BC43" s="11"/>
      <c r="BD43" s="11"/>
      <c r="BE43" s="11"/>
      <c r="BF43" s="11"/>
      <c r="BG43" s="11"/>
      <c r="BH43" s="11"/>
      <c r="BI43" s="11"/>
      <c r="BJ43" s="11"/>
      <c r="BK43" s="11"/>
      <c r="BL43" s="11"/>
      <c r="BM43" s="11"/>
      <c r="BN43" s="11"/>
      <c r="BO43" s="11"/>
      <c r="BP43" s="11"/>
    </row>
    <row r="44" spans="1:72" x14ac:dyDescent="0.2">
      <c r="AL44" s="11"/>
      <c r="AM44" s="11"/>
      <c r="AN44" s="11"/>
      <c r="AO44" s="11"/>
      <c r="AP44" s="11"/>
      <c r="AQ44" s="11"/>
      <c r="AR44" s="11"/>
      <c r="AS44" s="11"/>
      <c r="AT44" s="11"/>
      <c r="AU44" s="11"/>
      <c r="AV44" s="11"/>
      <c r="AW44" s="11"/>
      <c r="AX44" s="11"/>
      <c r="AY44" s="11"/>
      <c r="AZ44" s="11"/>
      <c r="BA44" s="11"/>
      <c r="BB44" s="11"/>
      <c r="BC44" s="11"/>
      <c r="BD44" s="11"/>
      <c r="BE44" s="11"/>
      <c r="BF44" s="11"/>
      <c r="BG44" s="11"/>
      <c r="BH44" s="11"/>
      <c r="BI44" s="11"/>
      <c r="BJ44" s="11"/>
      <c r="BK44" s="11"/>
      <c r="BL44" s="11"/>
      <c r="BM44" s="11"/>
      <c r="BN44" s="11"/>
      <c r="BO44" s="11"/>
      <c r="BP44" s="11"/>
    </row>
    <row r="45" spans="1:72" x14ac:dyDescent="0.2">
      <c r="AL45" s="11"/>
      <c r="AM45" s="11"/>
      <c r="AN45" s="11"/>
      <c r="AO45" s="11"/>
      <c r="AP45" s="11"/>
      <c r="AQ45" s="11"/>
      <c r="AR45" s="11"/>
      <c r="AS45" s="11"/>
      <c r="AT45" s="11"/>
      <c r="AU45" s="11"/>
      <c r="AV45" s="11"/>
      <c r="AW45" s="11"/>
      <c r="AX45" s="11"/>
      <c r="AY45" s="11"/>
      <c r="AZ45" s="11"/>
      <c r="BA45" s="11"/>
      <c r="BB45" s="11"/>
      <c r="BC45" s="11"/>
      <c r="BD45" s="11"/>
      <c r="BE45" s="11"/>
      <c r="BF45" s="11"/>
      <c r="BG45" s="11"/>
      <c r="BH45" s="11"/>
      <c r="BI45" s="11"/>
      <c r="BJ45" s="11"/>
      <c r="BK45" s="11"/>
      <c r="BL45" s="11"/>
      <c r="BM45" s="11"/>
      <c r="BN45" s="11"/>
      <c r="BO45" s="11"/>
      <c r="BP45" s="11"/>
    </row>
    <row r="46" spans="1:72" x14ac:dyDescent="0.2">
      <c r="AL46" s="11"/>
      <c r="AM46" s="11"/>
      <c r="AN46" s="11"/>
      <c r="AO46" s="11"/>
      <c r="AP46" s="11"/>
      <c r="AQ46" s="11"/>
      <c r="AR46" s="11"/>
      <c r="AS46" s="11"/>
      <c r="AT46" s="11"/>
      <c r="AU46" s="11"/>
      <c r="AV46" s="11"/>
      <c r="AW46" s="11"/>
      <c r="AX46" s="11"/>
      <c r="AY46" s="11"/>
      <c r="AZ46" s="11"/>
      <c r="BA46" s="11"/>
      <c r="BB46" s="11"/>
      <c r="BC46" s="11"/>
      <c r="BD46" s="11"/>
      <c r="BE46" s="11"/>
      <c r="BF46" s="11"/>
      <c r="BG46" s="11"/>
      <c r="BH46" s="11"/>
      <c r="BI46" s="11"/>
      <c r="BJ46" s="11"/>
      <c r="BK46" s="11"/>
      <c r="BL46" s="11"/>
      <c r="BM46" s="11"/>
      <c r="BN46" s="11"/>
      <c r="BO46" s="11"/>
      <c r="BP46" s="11"/>
    </row>
    <row r="47" spans="1:72" ht="15.75" x14ac:dyDescent="0.25">
      <c r="A47" s="80" t="str">
        <f>CONCATENATE("Industry Figure 2.1  Change in Employment in ",$L$5,", ",$M$2,"-",$O$2,", ",Info!B5)</f>
        <v>Industry Figure 2.1  Change in Employment in Primary sector and utilities, 2010-2035, Greater Lincolnshire</v>
      </c>
      <c r="AL47" s="11"/>
      <c r="AM47" s="11"/>
      <c r="AN47" s="11"/>
      <c r="AO47" s="11"/>
      <c r="AP47" s="11"/>
      <c r="AQ47" s="11"/>
      <c r="AR47" s="11"/>
      <c r="AS47" s="11"/>
      <c r="AT47" s="11"/>
      <c r="AU47" s="11"/>
      <c r="AV47" s="11"/>
      <c r="AW47" s="11"/>
      <c r="AX47" s="11"/>
      <c r="AY47" s="11"/>
      <c r="AZ47" s="11"/>
      <c r="BA47" s="11"/>
      <c r="BB47" s="11"/>
      <c r="BC47" s="11"/>
      <c r="BD47" s="11"/>
      <c r="BE47" s="11"/>
      <c r="BF47" s="11"/>
      <c r="BG47" s="11"/>
      <c r="BH47" s="11"/>
      <c r="BI47" s="11"/>
      <c r="BJ47" s="11"/>
      <c r="BK47" s="11"/>
      <c r="BL47" s="11"/>
      <c r="BM47" s="11"/>
      <c r="BN47" s="11"/>
      <c r="BO47" s="11"/>
      <c r="BP47" s="11"/>
    </row>
    <row r="48" spans="1:72" x14ac:dyDescent="0.2">
      <c r="AL48" s="11"/>
      <c r="AM48" s="11"/>
      <c r="AN48" s="11"/>
      <c r="AO48" s="11"/>
      <c r="AP48" s="11"/>
      <c r="AQ48" s="11"/>
      <c r="AR48" s="11"/>
      <c r="AS48" s="11"/>
      <c r="AT48" s="11"/>
      <c r="AU48" s="11"/>
      <c r="AV48" s="11"/>
      <c r="AW48" s="11"/>
      <c r="AX48" s="11"/>
      <c r="AY48" s="11"/>
      <c r="AZ48" s="11"/>
      <c r="BA48" s="11"/>
      <c r="BB48" s="11"/>
      <c r="BC48" s="11"/>
      <c r="BD48" s="11"/>
      <c r="BE48" s="11"/>
      <c r="BF48" s="11"/>
      <c r="BG48" s="11"/>
      <c r="BH48" s="11"/>
      <c r="BI48" s="11"/>
      <c r="BJ48" s="11"/>
      <c r="BK48" s="11"/>
      <c r="BL48" s="11"/>
      <c r="BM48" s="11"/>
      <c r="BN48" s="11"/>
      <c r="BO48" s="11"/>
      <c r="BP48" s="11"/>
    </row>
    <row r="49" spans="38:68" x14ac:dyDescent="0.2">
      <c r="AL49" s="11"/>
      <c r="AM49" s="11"/>
      <c r="AN49" s="11"/>
      <c r="AO49" s="11"/>
      <c r="AP49" s="11"/>
      <c r="AQ49" s="11"/>
      <c r="AR49" s="11"/>
      <c r="AS49" s="11"/>
      <c r="AT49" s="11"/>
      <c r="AU49" s="11"/>
      <c r="AV49" s="11"/>
      <c r="AW49" s="11"/>
      <c r="AX49" s="11"/>
      <c r="AY49" s="11"/>
      <c r="AZ49" s="11"/>
      <c r="BA49" s="11"/>
      <c r="BB49" s="11"/>
      <c r="BC49" s="11"/>
      <c r="BD49" s="11"/>
      <c r="BE49" s="11"/>
      <c r="BF49" s="11"/>
      <c r="BG49" s="11"/>
      <c r="BH49" s="11"/>
      <c r="BI49" s="11"/>
      <c r="BJ49" s="11"/>
      <c r="BK49" s="11"/>
      <c r="BL49" s="11"/>
      <c r="BM49" s="11"/>
      <c r="BN49" s="11"/>
      <c r="BO49" s="11"/>
      <c r="BP49" s="11"/>
    </row>
    <row r="50" spans="38:68" x14ac:dyDescent="0.2">
      <c r="AL50" s="11"/>
      <c r="AM50" s="11"/>
      <c r="AN50" s="11"/>
      <c r="AO50" s="11"/>
      <c r="AP50" s="11"/>
      <c r="AQ50" s="11"/>
      <c r="AR50" s="11"/>
      <c r="AS50" s="11"/>
      <c r="AT50" s="11"/>
      <c r="AU50" s="11"/>
      <c r="AV50" s="11"/>
      <c r="AW50" s="11"/>
      <c r="AX50" s="11"/>
      <c r="AY50" s="11"/>
      <c r="AZ50" s="11"/>
      <c r="BA50" s="11"/>
      <c r="BB50" s="11"/>
      <c r="BC50" s="11"/>
      <c r="BD50" s="11"/>
      <c r="BE50" s="11"/>
      <c r="BF50" s="11"/>
      <c r="BG50" s="11"/>
      <c r="BH50" s="11"/>
      <c r="BI50" s="11"/>
      <c r="BJ50" s="11"/>
      <c r="BK50" s="11"/>
      <c r="BL50" s="11"/>
      <c r="BM50" s="11"/>
      <c r="BN50" s="11"/>
      <c r="BO50" s="11"/>
      <c r="BP50" s="11"/>
    </row>
    <row r="51" spans="38:68" x14ac:dyDescent="0.2">
      <c r="AL51" s="11"/>
      <c r="AM51" s="11"/>
      <c r="AN51" s="11"/>
      <c r="AO51" s="11"/>
      <c r="AP51" s="11"/>
      <c r="AQ51" s="11"/>
      <c r="AR51" s="11"/>
      <c r="AS51" s="11"/>
      <c r="AT51" s="11"/>
      <c r="AU51" s="11"/>
      <c r="AV51" s="11"/>
      <c r="AW51" s="11"/>
      <c r="AX51" s="11"/>
      <c r="AY51" s="11"/>
      <c r="AZ51" s="11"/>
      <c r="BA51" s="11"/>
      <c r="BB51" s="11"/>
      <c r="BC51" s="11"/>
      <c r="BD51" s="11"/>
      <c r="BE51" s="11"/>
      <c r="BF51" s="11"/>
      <c r="BG51" s="11"/>
      <c r="BH51" s="11"/>
      <c r="BI51" s="11"/>
      <c r="BJ51" s="11"/>
      <c r="BK51" s="11"/>
      <c r="BL51" s="11"/>
      <c r="BM51" s="11"/>
      <c r="BN51" s="11"/>
      <c r="BO51" s="11"/>
      <c r="BP51" s="11"/>
    </row>
    <row r="52" spans="38:68" x14ac:dyDescent="0.2">
      <c r="AL52" s="11"/>
      <c r="AM52" s="11"/>
      <c r="AN52" s="11"/>
      <c r="AO52" s="11"/>
      <c r="AP52" s="11"/>
      <c r="AQ52" s="11"/>
      <c r="AR52" s="11"/>
      <c r="AS52" s="11"/>
      <c r="AT52" s="11"/>
      <c r="AU52" s="11"/>
      <c r="AV52" s="11"/>
      <c r="AW52" s="11"/>
      <c r="AX52" s="11"/>
      <c r="AY52" s="11"/>
      <c r="AZ52" s="11"/>
      <c r="BA52" s="11"/>
      <c r="BB52" s="11"/>
      <c r="BC52" s="11"/>
      <c r="BD52" s="11"/>
      <c r="BE52" s="11"/>
      <c r="BF52" s="11"/>
      <c r="BG52" s="11"/>
      <c r="BH52" s="11"/>
      <c r="BI52" s="11"/>
      <c r="BJ52" s="11"/>
      <c r="BK52" s="11"/>
      <c r="BL52" s="11"/>
      <c r="BM52" s="11"/>
      <c r="BN52" s="11"/>
      <c r="BO52" s="11"/>
      <c r="BP52" s="11"/>
    </row>
    <row r="53" spans="38:68" x14ac:dyDescent="0.2">
      <c r="AL53" s="11"/>
      <c r="AM53" s="11"/>
      <c r="AN53" s="11"/>
      <c r="AO53" s="11"/>
      <c r="AP53" s="11"/>
      <c r="AQ53" s="11"/>
      <c r="AR53" s="11"/>
      <c r="AS53" s="11"/>
      <c r="AT53" s="11"/>
      <c r="AU53" s="11"/>
      <c r="AV53" s="11"/>
      <c r="AW53" s="11"/>
      <c r="AX53" s="11"/>
      <c r="AY53" s="11"/>
      <c r="AZ53" s="11"/>
      <c r="BA53" s="11"/>
      <c r="BB53" s="11"/>
      <c r="BC53" s="11"/>
      <c r="BD53" s="11"/>
      <c r="BE53" s="11"/>
      <c r="BF53" s="11"/>
      <c r="BG53" s="11"/>
      <c r="BH53" s="11"/>
      <c r="BI53" s="11"/>
      <c r="BJ53" s="11"/>
      <c r="BK53" s="11"/>
      <c r="BL53" s="11"/>
      <c r="BM53" s="11"/>
      <c r="BN53" s="11"/>
      <c r="BO53" s="11"/>
      <c r="BP53" s="11"/>
    </row>
    <row r="54" spans="38:68" x14ac:dyDescent="0.2">
      <c r="AL54" s="11"/>
      <c r="AM54" s="11"/>
      <c r="AN54" s="11"/>
      <c r="AO54" s="11"/>
      <c r="AP54" s="11"/>
      <c r="AQ54" s="11"/>
      <c r="AR54" s="11"/>
      <c r="AS54" s="11"/>
      <c r="AT54" s="11"/>
      <c r="AU54" s="11"/>
      <c r="AV54" s="11"/>
      <c r="AW54" s="11"/>
      <c r="AX54" s="11"/>
      <c r="AY54" s="11"/>
      <c r="AZ54" s="11"/>
      <c r="BA54" s="11"/>
      <c r="BB54" s="11"/>
      <c r="BC54" s="11"/>
      <c r="BD54" s="11"/>
      <c r="BE54" s="11"/>
      <c r="BF54" s="11"/>
      <c r="BG54" s="11"/>
      <c r="BH54" s="11"/>
      <c r="BI54" s="11"/>
      <c r="BJ54" s="11"/>
      <c r="BK54" s="11"/>
      <c r="BL54" s="11"/>
      <c r="BM54" s="11"/>
      <c r="BN54" s="11"/>
      <c r="BO54" s="11"/>
      <c r="BP54" s="11"/>
    </row>
    <row r="55" spans="38:68" x14ac:dyDescent="0.2">
      <c r="AL55" s="11"/>
      <c r="AM55" s="11"/>
      <c r="AN55" s="11"/>
      <c r="AO55" s="11"/>
      <c r="AP55" s="11"/>
      <c r="AQ55" s="11"/>
      <c r="AR55" s="11"/>
      <c r="AS55" s="11"/>
      <c r="AT55" s="11"/>
      <c r="AU55" s="11"/>
      <c r="AV55" s="11"/>
      <c r="AW55" s="11"/>
      <c r="AX55" s="11"/>
      <c r="AY55" s="11"/>
      <c r="AZ55" s="11"/>
      <c r="BA55" s="11"/>
      <c r="BB55" s="11"/>
      <c r="BC55" s="11"/>
      <c r="BD55" s="11"/>
      <c r="BE55" s="11"/>
      <c r="BF55" s="11"/>
      <c r="BG55" s="11"/>
      <c r="BH55" s="11"/>
      <c r="BI55" s="11"/>
      <c r="BJ55" s="11"/>
      <c r="BK55" s="11"/>
      <c r="BL55" s="11"/>
      <c r="BM55" s="11"/>
      <c r="BN55" s="11"/>
      <c r="BO55" s="11"/>
      <c r="BP55" s="11"/>
    </row>
    <row r="56" spans="38:68" x14ac:dyDescent="0.2">
      <c r="AL56" s="11"/>
      <c r="AM56" s="11"/>
      <c r="AN56" s="11"/>
      <c r="AO56" s="11"/>
      <c r="AP56" s="11"/>
      <c r="AQ56" s="11"/>
      <c r="AR56" s="11"/>
      <c r="AS56" s="11"/>
      <c r="AT56" s="11"/>
      <c r="AU56" s="11"/>
      <c r="AV56" s="11"/>
      <c r="AW56" s="11"/>
      <c r="AX56" s="11"/>
      <c r="AY56" s="11"/>
      <c r="AZ56" s="11"/>
      <c r="BA56" s="11"/>
      <c r="BB56" s="11"/>
      <c r="BC56" s="11"/>
      <c r="BD56" s="11"/>
      <c r="BE56" s="11"/>
      <c r="BF56" s="11"/>
      <c r="BG56" s="11"/>
      <c r="BH56" s="11"/>
      <c r="BI56" s="11"/>
      <c r="BJ56" s="11"/>
      <c r="BK56" s="11"/>
      <c r="BL56" s="11"/>
      <c r="BM56" s="11"/>
      <c r="BN56" s="11"/>
      <c r="BO56" s="11"/>
      <c r="BP56" s="11"/>
    </row>
    <row r="57" spans="38:68" x14ac:dyDescent="0.2">
      <c r="AL57" s="11"/>
      <c r="AM57" s="11"/>
      <c r="AN57" s="11"/>
      <c r="AO57" s="11"/>
      <c r="AP57" s="11"/>
      <c r="AQ57" s="11"/>
      <c r="AR57" s="11"/>
      <c r="AS57" s="11"/>
      <c r="AT57" s="11"/>
      <c r="AU57" s="11"/>
      <c r="AV57" s="11"/>
      <c r="AW57" s="11"/>
      <c r="AX57" s="11"/>
      <c r="AY57" s="11"/>
      <c r="AZ57" s="11"/>
      <c r="BA57" s="11"/>
      <c r="BB57" s="11"/>
      <c r="BC57" s="11"/>
      <c r="BD57" s="11"/>
      <c r="BE57" s="11"/>
      <c r="BF57" s="11"/>
      <c r="BG57" s="11"/>
      <c r="BH57" s="11"/>
      <c r="BI57" s="11"/>
      <c r="BJ57" s="11"/>
      <c r="BK57" s="11"/>
      <c r="BL57" s="11"/>
      <c r="BM57" s="11"/>
      <c r="BN57" s="11"/>
      <c r="BO57" s="11"/>
      <c r="BP57" s="11"/>
    </row>
    <row r="58" spans="38:68" x14ac:dyDescent="0.2">
      <c r="AL58" s="11"/>
      <c r="AM58" s="11"/>
      <c r="AN58" s="11"/>
      <c r="AO58" s="11"/>
      <c r="AP58" s="11"/>
      <c r="AQ58" s="11"/>
      <c r="AR58" s="11"/>
      <c r="AS58" s="11"/>
      <c r="AT58" s="11"/>
      <c r="AU58" s="11"/>
      <c r="AV58" s="11"/>
      <c r="AW58" s="11"/>
      <c r="AX58" s="11"/>
      <c r="AY58" s="11"/>
      <c r="AZ58" s="11"/>
      <c r="BA58" s="11"/>
      <c r="BB58" s="11"/>
      <c r="BC58" s="11"/>
      <c r="BD58" s="11"/>
      <c r="BE58" s="11"/>
      <c r="BF58" s="11"/>
      <c r="BG58" s="11"/>
      <c r="BH58" s="11"/>
      <c r="BI58" s="11"/>
      <c r="BJ58" s="11"/>
      <c r="BK58" s="11"/>
      <c r="BL58" s="11"/>
      <c r="BM58" s="11"/>
      <c r="BN58" s="11"/>
      <c r="BO58" s="11"/>
      <c r="BP58" s="11"/>
    </row>
    <row r="59" spans="38:68" x14ac:dyDescent="0.2">
      <c r="AL59" s="11"/>
      <c r="AM59" s="11"/>
      <c r="AN59" s="11"/>
      <c r="AO59" s="11"/>
      <c r="AP59" s="11"/>
      <c r="AQ59" s="11"/>
      <c r="AR59" s="11"/>
      <c r="AS59" s="11"/>
      <c r="AT59" s="11"/>
      <c r="AU59" s="11"/>
      <c r="AV59" s="11"/>
      <c r="AW59" s="11"/>
      <c r="AX59" s="11"/>
      <c r="AY59" s="11"/>
      <c r="AZ59" s="11"/>
      <c r="BA59" s="11"/>
      <c r="BB59" s="11"/>
      <c r="BC59" s="11"/>
      <c r="BD59" s="11"/>
      <c r="BE59" s="11"/>
      <c r="BF59" s="11"/>
      <c r="BG59" s="11"/>
      <c r="BH59" s="11"/>
      <c r="BI59" s="11"/>
      <c r="BJ59" s="11"/>
      <c r="BK59" s="11"/>
      <c r="BL59" s="11"/>
      <c r="BM59" s="11"/>
      <c r="BN59" s="11"/>
      <c r="BO59" s="11"/>
      <c r="BP59" s="11"/>
    </row>
    <row r="60" spans="38:68" x14ac:dyDescent="0.2">
      <c r="AL60" s="11"/>
      <c r="AM60" s="11"/>
      <c r="AN60" s="11"/>
      <c r="AO60" s="11"/>
      <c r="AP60" s="11"/>
      <c r="AQ60" s="11"/>
      <c r="AR60" s="11"/>
      <c r="AS60" s="11"/>
      <c r="AT60" s="11"/>
      <c r="AU60" s="11"/>
      <c r="AV60" s="11"/>
      <c r="AW60" s="11"/>
      <c r="AX60" s="11"/>
      <c r="AY60" s="11"/>
      <c r="AZ60" s="11"/>
      <c r="BA60" s="11"/>
      <c r="BB60" s="11"/>
      <c r="BC60" s="11"/>
      <c r="BD60" s="11"/>
      <c r="BE60" s="11"/>
      <c r="BF60" s="11"/>
      <c r="BG60" s="11"/>
      <c r="BH60" s="11"/>
      <c r="BI60" s="11"/>
      <c r="BJ60" s="11"/>
      <c r="BK60" s="11"/>
      <c r="BL60" s="11"/>
      <c r="BM60" s="11"/>
      <c r="BN60" s="11"/>
      <c r="BO60" s="11"/>
      <c r="BP60" s="11"/>
    </row>
    <row r="61" spans="38:68" x14ac:dyDescent="0.2">
      <c r="AL61" s="11"/>
      <c r="AM61" s="11"/>
      <c r="AN61" s="11"/>
      <c r="AO61" s="11"/>
      <c r="AP61" s="11"/>
      <c r="AQ61" s="11"/>
      <c r="AR61" s="11"/>
      <c r="AS61" s="11"/>
      <c r="AT61" s="11"/>
      <c r="AU61" s="11"/>
      <c r="AV61" s="11"/>
      <c r="AW61" s="11"/>
      <c r="AX61" s="11"/>
      <c r="AY61" s="11"/>
      <c r="AZ61" s="11"/>
      <c r="BA61" s="11"/>
      <c r="BB61" s="11"/>
      <c r="BC61" s="11"/>
      <c r="BD61" s="11"/>
      <c r="BE61" s="11"/>
      <c r="BF61" s="11"/>
      <c r="BG61" s="11"/>
      <c r="BH61" s="11"/>
      <c r="BI61" s="11"/>
      <c r="BJ61" s="11"/>
      <c r="BK61" s="11"/>
      <c r="BL61" s="11"/>
      <c r="BM61" s="11"/>
      <c r="BN61" s="11"/>
      <c r="BO61" s="11"/>
      <c r="BP61" s="11"/>
    </row>
    <row r="62" spans="38:68" x14ac:dyDescent="0.2">
      <c r="AL62" s="11"/>
      <c r="AM62" s="11"/>
      <c r="AN62" s="11"/>
      <c r="AO62" s="11"/>
      <c r="AP62" s="11"/>
      <c r="AQ62" s="11"/>
      <c r="AR62" s="11"/>
      <c r="AS62" s="11"/>
      <c r="AT62" s="11"/>
      <c r="AU62" s="11"/>
      <c r="AV62" s="11"/>
      <c r="AW62" s="11"/>
      <c r="AX62" s="11"/>
      <c r="AY62" s="11"/>
      <c r="AZ62" s="11"/>
      <c r="BA62" s="11"/>
      <c r="BB62" s="11"/>
      <c r="BC62" s="11"/>
      <c r="BD62" s="11"/>
      <c r="BE62" s="11"/>
      <c r="BF62" s="11"/>
      <c r="BG62" s="11"/>
      <c r="BH62" s="11"/>
      <c r="BI62" s="11"/>
      <c r="BJ62" s="11"/>
      <c r="BK62" s="11"/>
      <c r="BL62" s="11"/>
      <c r="BM62" s="11"/>
      <c r="BN62" s="11"/>
      <c r="BO62" s="11"/>
      <c r="BP62" s="11"/>
    </row>
    <row r="63" spans="38:68" x14ac:dyDescent="0.2">
      <c r="AL63" s="11"/>
      <c r="AM63" s="11"/>
      <c r="AN63" s="11"/>
      <c r="AO63" s="11"/>
      <c r="AP63" s="11"/>
      <c r="AQ63" s="11"/>
      <c r="AR63" s="11"/>
      <c r="AS63" s="11"/>
      <c r="AT63" s="11"/>
      <c r="AU63" s="11"/>
      <c r="AV63" s="11"/>
      <c r="AW63" s="11"/>
      <c r="AX63" s="11"/>
      <c r="AY63" s="11"/>
      <c r="AZ63" s="11"/>
      <c r="BA63" s="11"/>
      <c r="BB63" s="11"/>
      <c r="BC63" s="11"/>
      <c r="BD63" s="11"/>
      <c r="BE63" s="11"/>
      <c r="BF63" s="11"/>
      <c r="BG63" s="11"/>
      <c r="BH63" s="11"/>
      <c r="BI63" s="11"/>
      <c r="BJ63" s="11"/>
      <c r="BK63" s="11"/>
      <c r="BL63" s="11"/>
      <c r="BM63" s="11"/>
      <c r="BN63" s="11"/>
      <c r="BO63" s="11"/>
      <c r="BP63" s="11"/>
    </row>
    <row r="64" spans="38:68" x14ac:dyDescent="0.2">
      <c r="AL64" s="11"/>
      <c r="AM64" s="11"/>
      <c r="AN64" s="11"/>
      <c r="AO64" s="11"/>
      <c r="AP64" s="11"/>
      <c r="AQ64" s="11"/>
      <c r="AR64" s="11"/>
      <c r="AS64" s="11"/>
      <c r="AT64" s="11"/>
      <c r="AU64" s="11"/>
      <c r="AV64" s="11"/>
      <c r="AW64" s="11"/>
      <c r="AX64" s="11"/>
      <c r="AY64" s="11"/>
      <c r="AZ64" s="11"/>
      <c r="BA64" s="11"/>
      <c r="BB64" s="11"/>
      <c r="BC64" s="11"/>
      <c r="BD64" s="11"/>
      <c r="BE64" s="11"/>
      <c r="BF64" s="11"/>
      <c r="BG64" s="11"/>
      <c r="BH64" s="11"/>
      <c r="BI64" s="11"/>
      <c r="BJ64" s="11"/>
      <c r="BK64" s="11"/>
      <c r="BL64" s="11"/>
      <c r="BM64" s="11"/>
      <c r="BN64" s="11"/>
      <c r="BO64" s="11"/>
      <c r="BP64" s="11"/>
    </row>
    <row r="65" spans="1:68" x14ac:dyDescent="0.2">
      <c r="AL65" s="11"/>
      <c r="AM65" s="11"/>
      <c r="AN65" s="11"/>
      <c r="AO65" s="11"/>
      <c r="AP65" s="11"/>
      <c r="AQ65" s="11"/>
      <c r="AR65" s="11"/>
      <c r="AS65" s="11"/>
      <c r="AT65" s="11"/>
      <c r="AU65" s="11"/>
      <c r="AV65" s="11"/>
      <c r="AW65" s="11"/>
      <c r="AX65" s="11"/>
      <c r="AY65" s="11"/>
      <c r="AZ65" s="11"/>
      <c r="BA65" s="11"/>
      <c r="BB65" s="11"/>
      <c r="BC65" s="11"/>
      <c r="BD65" s="11"/>
      <c r="BE65" s="11"/>
      <c r="BF65" s="11"/>
      <c r="BG65" s="11"/>
      <c r="BH65" s="11"/>
      <c r="BI65" s="11"/>
      <c r="BJ65" s="11"/>
      <c r="BK65" s="11"/>
      <c r="BL65" s="11"/>
      <c r="BM65" s="11"/>
      <c r="BN65" s="11"/>
      <c r="BO65" s="11"/>
      <c r="BP65" s="11"/>
    </row>
    <row r="66" spans="1:68" x14ac:dyDescent="0.2">
      <c r="AL66" s="11"/>
      <c r="AM66" s="11"/>
      <c r="AN66" s="11"/>
      <c r="AO66" s="11"/>
      <c r="AP66" s="11"/>
      <c r="AQ66" s="11"/>
      <c r="AR66" s="11"/>
      <c r="AS66" s="11"/>
      <c r="AT66" s="11"/>
      <c r="AU66" s="11"/>
      <c r="AV66" s="11"/>
      <c r="AW66" s="11"/>
      <c r="AX66" s="11"/>
      <c r="AY66" s="11"/>
      <c r="AZ66" s="11"/>
      <c r="BA66" s="11"/>
      <c r="BB66" s="11"/>
      <c r="BC66" s="11"/>
      <c r="BD66" s="11"/>
      <c r="BE66" s="11"/>
      <c r="BF66" s="11"/>
      <c r="BG66" s="11"/>
      <c r="BH66" s="11"/>
      <c r="BI66" s="11"/>
      <c r="BJ66" s="11"/>
      <c r="BK66" s="11"/>
      <c r="BL66" s="11"/>
      <c r="BM66" s="11"/>
      <c r="BN66" s="11"/>
      <c r="BO66" s="11"/>
      <c r="BP66" s="11"/>
    </row>
    <row r="67" spans="1:68" x14ac:dyDescent="0.2">
      <c r="AL67" s="11"/>
      <c r="AM67" s="11"/>
      <c r="AN67" s="11"/>
      <c r="AO67" s="11"/>
      <c r="AP67" s="11"/>
      <c r="AQ67" s="11"/>
      <c r="AR67" s="11"/>
      <c r="AS67" s="11"/>
      <c r="AT67" s="11"/>
      <c r="AU67" s="11"/>
      <c r="AV67" s="11"/>
      <c r="AW67" s="11"/>
      <c r="AX67" s="11"/>
      <c r="AY67" s="11"/>
      <c r="AZ67" s="11"/>
      <c r="BA67" s="11"/>
      <c r="BB67" s="11"/>
      <c r="BC67" s="11"/>
      <c r="BD67" s="11"/>
      <c r="BE67" s="11"/>
      <c r="BF67" s="11"/>
      <c r="BG67" s="11"/>
      <c r="BH67" s="11"/>
      <c r="BI67" s="11"/>
      <c r="BJ67" s="11"/>
      <c r="BK67" s="11"/>
      <c r="BL67" s="11"/>
      <c r="BM67" s="11"/>
      <c r="BN67" s="11"/>
      <c r="BO67" s="11"/>
      <c r="BP67" s="11"/>
    </row>
    <row r="68" spans="1:68" x14ac:dyDescent="0.2">
      <c r="AL68" s="11"/>
      <c r="AM68" s="11"/>
      <c r="AN68" s="11"/>
      <c r="AO68" s="11"/>
      <c r="AP68" s="11"/>
      <c r="AQ68" s="11"/>
      <c r="AR68" s="11"/>
      <c r="AS68" s="11"/>
      <c r="AT68" s="11"/>
      <c r="AU68" s="11"/>
      <c r="AV68" s="11"/>
      <c r="AW68" s="11"/>
      <c r="AX68" s="11"/>
      <c r="AY68" s="11"/>
      <c r="AZ68" s="11"/>
      <c r="BA68" s="11"/>
      <c r="BB68" s="11"/>
      <c r="BC68" s="11"/>
      <c r="BD68" s="11"/>
      <c r="BE68" s="11"/>
      <c r="BF68" s="11"/>
      <c r="BG68" s="11"/>
      <c r="BH68" s="11"/>
      <c r="BI68" s="11"/>
      <c r="BJ68" s="11"/>
      <c r="BK68" s="11"/>
      <c r="BL68" s="11"/>
      <c r="BM68" s="11"/>
      <c r="BN68" s="11"/>
      <c r="BO68" s="11"/>
      <c r="BP68" s="11"/>
    </row>
    <row r="69" spans="1:68" x14ac:dyDescent="0.2">
      <c r="AL69" s="11"/>
      <c r="AM69" s="11"/>
      <c r="AN69" s="11"/>
      <c r="AO69" s="11"/>
      <c r="AP69" s="11"/>
      <c r="AQ69" s="11"/>
      <c r="AR69" s="11"/>
      <c r="AS69" s="11"/>
      <c r="AT69" s="11"/>
      <c r="AU69" s="11"/>
      <c r="AV69" s="11"/>
      <c r="AW69" s="11"/>
      <c r="AX69" s="11"/>
      <c r="AY69" s="11"/>
      <c r="AZ69" s="11"/>
      <c r="BA69" s="11"/>
      <c r="BB69" s="11"/>
      <c r="BC69" s="11"/>
      <c r="BD69" s="11"/>
      <c r="BE69" s="11"/>
      <c r="BF69" s="11"/>
      <c r="BG69" s="11"/>
      <c r="BH69" s="11"/>
      <c r="BI69" s="11"/>
      <c r="BJ69" s="11"/>
      <c r="BK69" s="11"/>
      <c r="BL69" s="11"/>
      <c r="BM69" s="11"/>
      <c r="BN69" s="11"/>
      <c r="BO69" s="11"/>
      <c r="BP69" s="11"/>
    </row>
    <row r="70" spans="1:68" x14ac:dyDescent="0.2">
      <c r="AL70" s="11"/>
      <c r="AM70" s="11"/>
      <c r="AN70" s="11"/>
      <c r="AO70" s="11"/>
      <c r="AP70" s="11"/>
      <c r="AQ70" s="11"/>
      <c r="AR70" s="11"/>
      <c r="AS70" s="11"/>
      <c r="AT70" s="11"/>
      <c r="AU70" s="11"/>
      <c r="AV70" s="11"/>
      <c r="AW70" s="11"/>
      <c r="AX70" s="11"/>
      <c r="AY70" s="11"/>
      <c r="AZ70" s="11"/>
      <c r="BA70" s="11"/>
      <c r="BB70" s="11"/>
      <c r="BC70" s="11"/>
      <c r="BD70" s="11"/>
      <c r="BE70" s="11"/>
      <c r="BF70" s="11"/>
      <c r="BG70" s="11"/>
      <c r="BH70" s="11"/>
      <c r="BI70" s="11"/>
      <c r="BJ70" s="11"/>
      <c r="BK70" s="11"/>
      <c r="BL70" s="11"/>
      <c r="BM70" s="11"/>
      <c r="BN70" s="11"/>
      <c r="BO70" s="11"/>
      <c r="BP70" s="11"/>
    </row>
    <row r="71" spans="1:68" x14ac:dyDescent="0.2">
      <c r="AL71" s="11"/>
      <c r="AM71" s="11"/>
      <c r="AN71" s="11"/>
      <c r="AO71" s="11"/>
      <c r="AP71" s="11"/>
      <c r="AQ71" s="11"/>
      <c r="AR71" s="11"/>
      <c r="AS71" s="11"/>
      <c r="AT71" s="11"/>
      <c r="AU71" s="11"/>
      <c r="AV71" s="11"/>
      <c r="AW71" s="11"/>
      <c r="AX71" s="11"/>
      <c r="AY71" s="11"/>
      <c r="AZ71" s="11"/>
      <c r="BA71" s="11"/>
      <c r="BB71" s="11"/>
      <c r="BC71" s="11"/>
      <c r="BD71" s="11"/>
      <c r="BE71" s="11"/>
      <c r="BF71" s="11"/>
      <c r="BG71" s="11"/>
      <c r="BH71" s="11"/>
      <c r="BI71" s="11"/>
      <c r="BJ71" s="11"/>
      <c r="BK71" s="11"/>
      <c r="BL71" s="11"/>
      <c r="BM71" s="11"/>
      <c r="BN71" s="11"/>
      <c r="BO71" s="11"/>
      <c r="BP71" s="11"/>
    </row>
    <row r="72" spans="1:68" x14ac:dyDescent="0.2">
      <c r="AL72" s="11"/>
      <c r="AM72" s="11"/>
      <c r="AN72" s="11"/>
      <c r="AO72" s="11"/>
      <c r="AP72" s="11"/>
      <c r="AQ72" s="11"/>
      <c r="AR72" s="11"/>
      <c r="AS72" s="11"/>
      <c r="AT72" s="11"/>
      <c r="AU72" s="11"/>
      <c r="AV72" s="11"/>
      <c r="AW72" s="11"/>
      <c r="AX72" s="11"/>
      <c r="AY72" s="11"/>
      <c r="AZ72" s="11"/>
      <c r="BA72" s="11"/>
      <c r="BB72" s="11"/>
      <c r="BC72" s="11"/>
      <c r="BD72" s="11"/>
      <c r="BE72" s="11"/>
      <c r="BF72" s="11"/>
      <c r="BG72" s="11"/>
      <c r="BH72" s="11"/>
      <c r="BI72" s="11"/>
      <c r="BJ72" s="11"/>
      <c r="BK72" s="11"/>
      <c r="BL72" s="11"/>
      <c r="BM72" s="11"/>
      <c r="BN72" s="11"/>
      <c r="BO72" s="11"/>
      <c r="BP72" s="11"/>
    </row>
    <row r="73" spans="1:68" x14ac:dyDescent="0.2">
      <c r="AL73" s="11"/>
      <c r="AM73" s="11"/>
      <c r="AN73" s="11"/>
      <c r="AO73" s="11"/>
      <c r="AP73" s="11"/>
      <c r="AQ73" s="11"/>
      <c r="AR73" s="11"/>
      <c r="AS73" s="11"/>
      <c r="AT73" s="11"/>
      <c r="AU73" s="11"/>
      <c r="AV73" s="11"/>
      <c r="AW73" s="11"/>
      <c r="AX73" s="11"/>
      <c r="AY73" s="11"/>
      <c r="AZ73" s="11"/>
      <c r="BA73" s="11"/>
      <c r="BB73" s="11"/>
      <c r="BC73" s="11"/>
      <c r="BD73" s="11"/>
      <c r="BE73" s="11"/>
      <c r="BF73" s="11"/>
      <c r="BG73" s="11"/>
      <c r="BH73" s="11"/>
      <c r="BI73" s="11"/>
      <c r="BJ73" s="11"/>
      <c r="BK73" s="11"/>
      <c r="BL73" s="11"/>
      <c r="BM73" s="11"/>
      <c r="BN73" s="11"/>
      <c r="BO73" s="11"/>
      <c r="BP73" s="11"/>
    </row>
    <row r="74" spans="1:68" x14ac:dyDescent="0.2">
      <c r="AL74" s="11"/>
      <c r="AM74" s="11"/>
      <c r="AN74" s="11"/>
      <c r="AO74" s="11"/>
      <c r="AP74" s="11"/>
      <c r="AQ74" s="11"/>
      <c r="AR74" s="11"/>
      <c r="AS74" s="11"/>
      <c r="AT74" s="11"/>
      <c r="AU74" s="11"/>
      <c r="AV74" s="11"/>
      <c r="AW74" s="11"/>
      <c r="AX74" s="11"/>
      <c r="AY74" s="11"/>
      <c r="AZ74" s="11"/>
      <c r="BA74" s="11"/>
      <c r="BB74" s="11"/>
      <c r="BC74" s="11"/>
      <c r="BD74" s="11"/>
      <c r="BE74" s="11"/>
      <c r="BF74" s="11"/>
      <c r="BG74" s="11"/>
      <c r="BH74" s="11"/>
      <c r="BI74" s="11"/>
      <c r="BJ74" s="11"/>
      <c r="BK74" s="11"/>
      <c r="BL74" s="11"/>
      <c r="BM74" s="11"/>
      <c r="BN74" s="11"/>
      <c r="BO74" s="11"/>
      <c r="BP74" s="11"/>
    </row>
    <row r="75" spans="1:68" x14ac:dyDescent="0.2">
      <c r="AL75" s="11"/>
      <c r="AM75" s="11"/>
      <c r="AN75" s="11"/>
      <c r="AO75" s="11"/>
      <c r="AP75" s="11"/>
      <c r="AQ75" s="11"/>
      <c r="AR75" s="11"/>
      <c r="AS75" s="11"/>
      <c r="AT75" s="11"/>
      <c r="AU75" s="11"/>
      <c r="AV75" s="11"/>
      <c r="AW75" s="11"/>
      <c r="AX75" s="11"/>
      <c r="AY75" s="11"/>
      <c r="AZ75" s="11"/>
      <c r="BA75" s="11"/>
      <c r="BB75" s="11"/>
      <c r="BC75" s="11"/>
      <c r="BD75" s="11"/>
      <c r="BE75" s="11"/>
      <c r="BF75" s="11"/>
      <c r="BG75" s="11"/>
      <c r="BH75" s="11"/>
      <c r="BI75" s="11"/>
      <c r="BJ75" s="11"/>
      <c r="BK75" s="11"/>
      <c r="BL75" s="11"/>
      <c r="BM75" s="11"/>
      <c r="BN75" s="11"/>
      <c r="BO75" s="11"/>
      <c r="BP75" s="11"/>
    </row>
    <row r="76" spans="1:68" x14ac:dyDescent="0.2">
      <c r="AL76" s="11"/>
      <c r="AM76" s="11"/>
      <c r="AN76" s="11"/>
      <c r="AO76" s="11"/>
      <c r="AP76" s="11"/>
      <c r="AQ76" s="11"/>
      <c r="AR76" s="11"/>
      <c r="AS76" s="11"/>
      <c r="AT76" s="11"/>
      <c r="AU76" s="11"/>
      <c r="AV76" s="11"/>
      <c r="AW76" s="11"/>
      <c r="AX76" s="11"/>
      <c r="AY76" s="11"/>
      <c r="AZ76" s="11"/>
      <c r="BA76" s="11"/>
      <c r="BB76" s="11"/>
      <c r="BC76" s="11"/>
      <c r="BD76" s="11"/>
      <c r="BE76" s="11"/>
      <c r="BF76" s="11"/>
      <c r="BG76" s="11"/>
      <c r="BH76" s="11"/>
      <c r="BI76" s="11"/>
      <c r="BJ76" s="11"/>
      <c r="BK76" s="11"/>
      <c r="BL76" s="11"/>
      <c r="BM76" s="11"/>
      <c r="BN76" s="11"/>
      <c r="BO76" s="11"/>
      <c r="BP76" s="11"/>
    </row>
    <row r="77" spans="1:68" ht="15.75" x14ac:dyDescent="0.25">
      <c r="A77" s="80" t="str">
        <f>CONCATENATE("Industry Figure 2.2  Change in Employment in ",$L$11,", ",$M$2,"-",$O$2,", ",Info!B5)</f>
        <v>Industry Figure 2.2  Change in Employment in Manufacturing, 2010-2035, Greater Lincolnshire</v>
      </c>
      <c r="AL77" s="11"/>
      <c r="AM77" s="11"/>
      <c r="AN77" s="11"/>
      <c r="AO77" s="11"/>
      <c r="AP77" s="11"/>
      <c r="AQ77" s="11"/>
      <c r="AR77" s="11"/>
      <c r="AS77" s="11"/>
      <c r="AT77" s="11"/>
      <c r="AU77" s="11"/>
      <c r="AV77" s="11"/>
      <c r="AW77" s="11"/>
      <c r="AX77" s="11"/>
      <c r="AY77" s="11"/>
      <c r="AZ77" s="11"/>
      <c r="BA77" s="11"/>
      <c r="BB77" s="11"/>
      <c r="BC77" s="11"/>
      <c r="BD77" s="11"/>
      <c r="BE77" s="11"/>
      <c r="BF77" s="11"/>
      <c r="BG77" s="11"/>
      <c r="BH77" s="11"/>
      <c r="BI77" s="11"/>
      <c r="BJ77" s="11"/>
      <c r="BK77" s="11"/>
      <c r="BL77" s="11"/>
    </row>
    <row r="78" spans="1:68" x14ac:dyDescent="0.2">
      <c r="AL78" s="11"/>
      <c r="AM78" s="11"/>
      <c r="AN78" s="11"/>
      <c r="AO78" s="11"/>
      <c r="AP78" s="11"/>
      <c r="AQ78" s="11"/>
      <c r="AR78" s="11"/>
      <c r="AS78" s="11"/>
      <c r="AT78" s="11"/>
      <c r="AU78" s="11"/>
      <c r="AV78" s="11"/>
      <c r="AW78" s="11"/>
      <c r="AX78" s="11"/>
      <c r="AY78" s="11"/>
      <c r="AZ78" s="11"/>
      <c r="BA78" s="11"/>
      <c r="BB78" s="11"/>
      <c r="BC78" s="11"/>
      <c r="BD78" s="11"/>
      <c r="BE78" s="11"/>
      <c r="BF78" s="11"/>
      <c r="BG78" s="11"/>
      <c r="BH78" s="11"/>
      <c r="BI78" s="11"/>
      <c r="BJ78" s="11"/>
      <c r="BK78" s="11"/>
      <c r="BL78" s="11"/>
      <c r="BM78" s="11"/>
      <c r="BN78" s="11"/>
      <c r="BO78" s="11"/>
      <c r="BP78" s="11"/>
    </row>
    <row r="79" spans="1:68" x14ac:dyDescent="0.2">
      <c r="AL79" s="11"/>
    </row>
    <row r="107" spans="1:1" ht="15.75" x14ac:dyDescent="0.25">
      <c r="A107" s="80" t="str">
        <f>CONCATENATE("Industry Figure 2.3  Change in Employment in ",$L$16,", ",$M$2,"-",$O$2,", ",Info!B5)</f>
        <v>Industry Figure 2.3  Change in Employment in Construction, 2010-2035, Greater Lincolnshire</v>
      </c>
    </row>
    <row r="137" spans="1:1" ht="15.75" x14ac:dyDescent="0.25">
      <c r="A137" s="80" t="str">
        <f>CONCATENATE("Industry Figure 2.4  Change in Employment in ",$L$18,", ",$M$2,"-",$O$2,", ",Info!B5)</f>
        <v>Industry Figure 2.4  Change in Employment in Trade, accomod. and transport, 2010-2035, Greater Lincolnshire</v>
      </c>
    </row>
    <row r="167" spans="1:1" ht="15.75" x14ac:dyDescent="0.25">
      <c r="A167" s="80" t="str">
        <f>CONCATENATE("Industry Figure 2.5  Change in Employment in ",$L$23,", ",$M$2,"- ",$O$2,", ",Info!B5)</f>
        <v>Industry Figure 2.5  Change in Employment in Business and other services, 2010- 2035, Greater Lincolnshire</v>
      </c>
    </row>
    <row r="197" spans="1:1" ht="15.75" x14ac:dyDescent="0.25">
      <c r="A197" s="80" t="str">
        <f>CONCATENATE("Industry Figure 2.6  Change in Employment in ",$L$33,", ",$M$2,"-",$O$2,", ",Info!B5)</f>
        <v>Industry Figure 2.6  Change in Employment in Non-marketed services, 2010-2035, Greater Lincolnshire</v>
      </c>
    </row>
    <row r="227" spans="1:15" ht="15.75" x14ac:dyDescent="0.25">
      <c r="A227" s="80" t="str">
        <f>CONCATENATE("Industry Figure 2.7  Employment trends by broad sector (SIC 2007), shares in %, ",$M$230,"-",$O$230,", ",Info!B5)</f>
        <v>Industry Figure 2.7  Employment trends by broad sector (SIC 2007), shares in %, 2015-2035, Greater Lincolnshire</v>
      </c>
      <c r="L227" s="46" t="s">
        <v>436</v>
      </c>
    </row>
    <row r="228" spans="1:15" x14ac:dyDescent="0.2">
      <c r="L228" s="30" t="s">
        <v>409</v>
      </c>
    </row>
    <row r="230" spans="1:15" x14ac:dyDescent="0.2">
      <c r="M230" s="10">
        <f>'Ind T1'!B19</f>
        <v>2015</v>
      </c>
      <c r="N230" s="10">
        <f>'Ind T1'!D19</f>
        <v>2020</v>
      </c>
      <c r="O230" s="10">
        <f>'Ind T1'!F19</f>
        <v>2035</v>
      </c>
    </row>
    <row r="231" spans="1:15" x14ac:dyDescent="0.2">
      <c r="L231" t="str">
        <f>L33</f>
        <v>Non-marketed services</v>
      </c>
      <c r="M231" s="40">
        <f>'Ind T1'!B25</f>
        <v>25.079694181676786</v>
      </c>
      <c r="N231" s="40">
        <f>'Ind T1'!D25</f>
        <v>24.579436529440908</v>
      </c>
      <c r="O231" s="40">
        <f>'Ind T1'!F25</f>
        <v>25.264021076650582</v>
      </c>
    </row>
    <row r="232" spans="1:15" x14ac:dyDescent="0.2">
      <c r="L232" t="str">
        <f>L23</f>
        <v>Business and other services</v>
      </c>
      <c r="M232" s="40">
        <f>'Ind T1'!B24</f>
        <v>21.713699026126129</v>
      </c>
      <c r="N232" s="40">
        <f>'Ind T1'!D24</f>
        <v>23.452495411240264</v>
      </c>
      <c r="O232" s="40">
        <f>'Ind T1'!F24</f>
        <v>24.02535503047406</v>
      </c>
    </row>
    <row r="233" spans="1:15" x14ac:dyDescent="0.2">
      <c r="L233" t="str">
        <f>L18</f>
        <v>Trade, accomod. and transport</v>
      </c>
      <c r="M233" s="40">
        <f>'Ind T1'!B23</f>
        <v>28.509883274688246</v>
      </c>
      <c r="N233" s="40">
        <f>'Ind T1'!D23</f>
        <v>27.996387262185713</v>
      </c>
      <c r="O233" s="40">
        <f>'Ind T1'!F23</f>
        <v>28.421202750172625</v>
      </c>
    </row>
    <row r="234" spans="1:15" x14ac:dyDescent="0.2">
      <c r="L234" t="str">
        <f>L16</f>
        <v>Construction</v>
      </c>
      <c r="M234" s="40">
        <f>'Ind T1'!B22</f>
        <v>7.0276412715184335</v>
      </c>
      <c r="N234" s="40">
        <f>'Ind T1'!D22</f>
        <v>6.6080082354883523</v>
      </c>
      <c r="O234" s="40">
        <f>'Ind T1'!F22</f>
        <v>6.6853439216981423</v>
      </c>
    </row>
    <row r="235" spans="1:15" x14ac:dyDescent="0.2">
      <c r="L235" t="str">
        <f>L11</f>
        <v>Manufacturing</v>
      </c>
      <c r="M235" s="40">
        <f>'Ind T1'!B21</f>
        <v>13.75365078099304</v>
      </c>
      <c r="N235" s="40">
        <f>'Ind T1'!D21</f>
        <v>13.214462605250111</v>
      </c>
      <c r="O235" s="40">
        <f>'Ind T1'!F21</f>
        <v>11.664402377878524</v>
      </c>
    </row>
    <row r="236" spans="1:15" x14ac:dyDescent="0.2">
      <c r="L236" t="str">
        <f>L5</f>
        <v>Primary sector and utilities</v>
      </c>
      <c r="M236" s="40">
        <f>'Ind T1'!B20</f>
        <v>3.9154314649973618</v>
      </c>
      <c r="N236" s="40">
        <f>'Ind T1'!D20</f>
        <v>4.1492099563946443</v>
      </c>
      <c r="O236" s="40">
        <f>'Ind T1'!F20</f>
        <v>3.9396748431260771</v>
      </c>
    </row>
    <row r="257" spans="1:16" ht="15.75" x14ac:dyDescent="0.25">
      <c r="A257" s="80" t="str">
        <f>CONCATENATE("Industry Figure 2.8  Employment trends by broad sector (SIC 2007), change in thousands, ",$M$230,"-",$O$230,", ",Info!B5)</f>
        <v>Industry Figure 2.8  Employment trends by broad sector (SIC 2007), change in thousands, 2015-2035, Greater Lincolnshire</v>
      </c>
      <c r="L257" s="46" t="s">
        <v>410</v>
      </c>
    </row>
    <row r="258" spans="1:16" x14ac:dyDescent="0.2">
      <c r="L258" s="30" t="s">
        <v>408</v>
      </c>
      <c r="M258" s="10"/>
      <c r="N258" s="10"/>
      <c r="O258" s="10"/>
    </row>
    <row r="259" spans="1:16" x14ac:dyDescent="0.2">
      <c r="P259" s="10"/>
    </row>
    <row r="260" spans="1:16" x14ac:dyDescent="0.2">
      <c r="N260" s="10" t="str">
        <f>'Ind T1'!R4</f>
        <v>2015-2020</v>
      </c>
      <c r="O260" s="10" t="str">
        <f>'Ind T1'!F44</f>
        <v>2020-2035</v>
      </c>
      <c r="P260" s="11"/>
    </row>
    <row r="261" spans="1:16" x14ac:dyDescent="0.2">
      <c r="L261" t="str">
        <f t="shared" ref="L261:L266" si="22">L231</f>
        <v>Non-marketed services</v>
      </c>
      <c r="N261" s="11">
        <f>'Ind T1'!D12-'Ind T1'!B12</f>
        <v>0.74500000000034561</v>
      </c>
      <c r="O261" s="11">
        <f>'Ind T1'!F50</f>
        <v>8.0889999999998849</v>
      </c>
      <c r="P261" s="11"/>
    </row>
    <row r="262" spans="1:16" x14ac:dyDescent="0.2">
      <c r="L262" t="str">
        <f t="shared" si="22"/>
        <v>Business and other services</v>
      </c>
      <c r="N262" s="11">
        <f>'Ind T1'!D11-'Ind T1'!B11</f>
        <v>11.827000000000126</v>
      </c>
      <c r="O262" s="11">
        <f>'Ind T1'!F49</f>
        <v>7.2899999999997647</v>
      </c>
      <c r="P262" s="11"/>
    </row>
    <row r="263" spans="1:16" x14ac:dyDescent="0.2">
      <c r="L263" t="str">
        <f t="shared" si="22"/>
        <v>Trade, accomod. and transport</v>
      </c>
      <c r="N263" s="11">
        <f>'Ind T1'!D10-'Ind T1'!B10</f>
        <v>1.1310000000002276</v>
      </c>
      <c r="O263" s="11">
        <f>'Ind T1'!F48</f>
        <v>7.3219999999996617</v>
      </c>
      <c r="P263" s="11"/>
    </row>
    <row r="264" spans="1:16" x14ac:dyDescent="0.2">
      <c r="L264" t="str">
        <f t="shared" si="22"/>
        <v>Construction</v>
      </c>
      <c r="N264" s="11">
        <f>'Ind T1'!D9-'Ind T1'!B9</f>
        <v>-1.2299999999999898</v>
      </c>
      <c r="O264" s="11">
        <f>'Ind T1'!F47</f>
        <v>1.6059999999999306</v>
      </c>
      <c r="P264" s="11"/>
    </row>
    <row r="265" spans="1:16" x14ac:dyDescent="0.2">
      <c r="L265" t="str">
        <f t="shared" si="22"/>
        <v>Manufacturing</v>
      </c>
      <c r="N265" s="11">
        <f>'Ind T1'!D8-'Ind T1'!B8</f>
        <v>-0.95500000000012619</v>
      </c>
      <c r="O265" s="11">
        <f>'Ind T1'!F46</f>
        <v>-5.8730000000000402</v>
      </c>
      <c r="P265" s="11"/>
    </row>
    <row r="266" spans="1:16" x14ac:dyDescent="0.2">
      <c r="L266" t="str">
        <f t="shared" si="22"/>
        <v>Primary sector and utilities</v>
      </c>
      <c r="N266" s="11">
        <f>'Ind T1'!D7-'Ind T1'!B7</f>
        <v>1.7220000000000155</v>
      </c>
      <c r="O266" s="11">
        <f>'Ind T1'!F45</f>
        <v>-0.36700000000000443</v>
      </c>
    </row>
    <row r="268" spans="1:16" x14ac:dyDescent="0.2">
      <c r="L268" t="str">
        <f>L38</f>
        <v>All industries</v>
      </c>
      <c r="N268" s="11">
        <f>'Ind T1'!D14-'Ind T1'!B14</f>
        <v>13.240000000000634</v>
      </c>
      <c r="O268" s="11">
        <f>SUM(O261:O266)</f>
        <v>18.066999999999197</v>
      </c>
    </row>
  </sheetData>
  <phoneticPr fontId="4" type="noConversion"/>
  <conditionalFormatting sqref="L4:AM4 L22:AM22 L17:AM17">
    <cfRule type="cellIs" dxfId="11" priority="3" stopIfTrue="1" operator="equal">
      <formula>0</formula>
    </cfRule>
  </conditionalFormatting>
  <conditionalFormatting sqref="AQ4:BP4">
    <cfRule type="cellIs" dxfId="10" priority="2" stopIfTrue="1" operator="equal">
      <formula>0</formula>
    </cfRule>
  </conditionalFormatting>
  <conditionalFormatting sqref="BS4:CR4">
    <cfRule type="cellIs" dxfId="9" priority="1" stopIfTrue="1" operator="equal">
      <formula>0</formula>
    </cfRule>
  </conditionalFormatting>
  <pageMargins left="0.55118110236220474" right="0.55118110236220474" top="0.98425196850393704" bottom="0.98425196850393704" header="0.51181102362204722" footer="0.51181102362204722"/>
  <pageSetup paperSize="9" scale="90" orientation="portrait" r:id="rId1"/>
  <headerFooter alignWithMargins="0"/>
  <rowBreaks count="4" manualBreakCount="4">
    <brk id="46" max="9" man="1"/>
    <brk id="106" max="9" man="1"/>
    <brk id="166" max="9" man="1"/>
    <brk id="226" max="9" man="1"/>
  </rowBreaks>
  <drawing r:id="rId2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C00-000000000000}">
  <sheetPr codeName="Sheet28"/>
  <dimension ref="A1:R394"/>
  <sheetViews>
    <sheetView showGridLines="0" zoomScale="85" zoomScaleNormal="85" workbookViewId="0"/>
  </sheetViews>
  <sheetFormatPr defaultRowHeight="12.75" x14ac:dyDescent="0.2"/>
  <cols>
    <col min="1" max="1" width="33.140625" bestFit="1" customWidth="1"/>
    <col min="2" max="12" width="5.7109375" customWidth="1"/>
    <col min="257" max="257" width="33.140625" bestFit="1" customWidth="1"/>
    <col min="258" max="260" width="7.140625" customWidth="1"/>
    <col min="261" max="261" width="5" customWidth="1"/>
    <col min="262" max="264" width="7.140625" customWidth="1"/>
    <col min="265" max="265" width="5" customWidth="1"/>
    <col min="266" max="268" width="7.140625" customWidth="1"/>
    <col min="513" max="513" width="33.140625" bestFit="1" customWidth="1"/>
    <col min="514" max="516" width="7.140625" customWidth="1"/>
    <col min="517" max="517" width="5" customWidth="1"/>
    <col min="518" max="520" width="7.140625" customWidth="1"/>
    <col min="521" max="521" width="5" customWidth="1"/>
    <col min="522" max="524" width="7.140625" customWidth="1"/>
    <col min="769" max="769" width="33.140625" bestFit="1" customWidth="1"/>
    <col min="770" max="772" width="7.140625" customWidth="1"/>
    <col min="773" max="773" width="5" customWidth="1"/>
    <col min="774" max="776" width="7.140625" customWidth="1"/>
    <col min="777" max="777" width="5" customWidth="1"/>
    <col min="778" max="780" width="7.140625" customWidth="1"/>
    <col min="1025" max="1025" width="33.140625" bestFit="1" customWidth="1"/>
    <col min="1026" max="1028" width="7.140625" customWidth="1"/>
    <col min="1029" max="1029" width="5" customWidth="1"/>
    <col min="1030" max="1032" width="7.140625" customWidth="1"/>
    <col min="1033" max="1033" width="5" customWidth="1"/>
    <col min="1034" max="1036" width="7.140625" customWidth="1"/>
    <col min="1281" max="1281" width="33.140625" bestFit="1" customWidth="1"/>
    <col min="1282" max="1284" width="7.140625" customWidth="1"/>
    <col min="1285" max="1285" width="5" customWidth="1"/>
    <col min="1286" max="1288" width="7.140625" customWidth="1"/>
    <col min="1289" max="1289" width="5" customWidth="1"/>
    <col min="1290" max="1292" width="7.140625" customWidth="1"/>
    <col min="1537" max="1537" width="33.140625" bestFit="1" customWidth="1"/>
    <col min="1538" max="1540" width="7.140625" customWidth="1"/>
    <col min="1541" max="1541" width="5" customWidth="1"/>
    <col min="1542" max="1544" width="7.140625" customWidth="1"/>
    <col min="1545" max="1545" width="5" customWidth="1"/>
    <col min="1546" max="1548" width="7.140625" customWidth="1"/>
    <col min="1793" max="1793" width="33.140625" bestFit="1" customWidth="1"/>
    <col min="1794" max="1796" width="7.140625" customWidth="1"/>
    <col min="1797" max="1797" width="5" customWidth="1"/>
    <col min="1798" max="1800" width="7.140625" customWidth="1"/>
    <col min="1801" max="1801" width="5" customWidth="1"/>
    <col min="1802" max="1804" width="7.140625" customWidth="1"/>
    <col min="2049" max="2049" width="33.140625" bestFit="1" customWidth="1"/>
    <col min="2050" max="2052" width="7.140625" customWidth="1"/>
    <col min="2053" max="2053" width="5" customWidth="1"/>
    <col min="2054" max="2056" width="7.140625" customWidth="1"/>
    <col min="2057" max="2057" width="5" customWidth="1"/>
    <col min="2058" max="2060" width="7.140625" customWidth="1"/>
    <col min="2305" max="2305" width="33.140625" bestFit="1" customWidth="1"/>
    <col min="2306" max="2308" width="7.140625" customWidth="1"/>
    <col min="2309" max="2309" width="5" customWidth="1"/>
    <col min="2310" max="2312" width="7.140625" customWidth="1"/>
    <col min="2313" max="2313" width="5" customWidth="1"/>
    <col min="2314" max="2316" width="7.140625" customWidth="1"/>
    <col min="2561" max="2561" width="33.140625" bestFit="1" customWidth="1"/>
    <col min="2562" max="2564" width="7.140625" customWidth="1"/>
    <col min="2565" max="2565" width="5" customWidth="1"/>
    <col min="2566" max="2568" width="7.140625" customWidth="1"/>
    <col min="2569" max="2569" width="5" customWidth="1"/>
    <col min="2570" max="2572" width="7.140625" customWidth="1"/>
    <col min="2817" max="2817" width="33.140625" bestFit="1" customWidth="1"/>
    <col min="2818" max="2820" width="7.140625" customWidth="1"/>
    <col min="2821" max="2821" width="5" customWidth="1"/>
    <col min="2822" max="2824" width="7.140625" customWidth="1"/>
    <col min="2825" max="2825" width="5" customWidth="1"/>
    <col min="2826" max="2828" width="7.140625" customWidth="1"/>
    <col min="3073" max="3073" width="33.140625" bestFit="1" customWidth="1"/>
    <col min="3074" max="3076" width="7.140625" customWidth="1"/>
    <col min="3077" max="3077" width="5" customWidth="1"/>
    <col min="3078" max="3080" width="7.140625" customWidth="1"/>
    <col min="3081" max="3081" width="5" customWidth="1"/>
    <col min="3082" max="3084" width="7.140625" customWidth="1"/>
    <col min="3329" max="3329" width="33.140625" bestFit="1" customWidth="1"/>
    <col min="3330" max="3332" width="7.140625" customWidth="1"/>
    <col min="3333" max="3333" width="5" customWidth="1"/>
    <col min="3334" max="3336" width="7.140625" customWidth="1"/>
    <col min="3337" max="3337" width="5" customWidth="1"/>
    <col min="3338" max="3340" width="7.140625" customWidth="1"/>
    <col min="3585" max="3585" width="33.140625" bestFit="1" customWidth="1"/>
    <col min="3586" max="3588" width="7.140625" customWidth="1"/>
    <col min="3589" max="3589" width="5" customWidth="1"/>
    <col min="3590" max="3592" width="7.140625" customWidth="1"/>
    <col min="3593" max="3593" width="5" customWidth="1"/>
    <col min="3594" max="3596" width="7.140625" customWidth="1"/>
    <col min="3841" max="3841" width="33.140625" bestFit="1" customWidth="1"/>
    <col min="3842" max="3844" width="7.140625" customWidth="1"/>
    <col min="3845" max="3845" width="5" customWidth="1"/>
    <col min="3846" max="3848" width="7.140625" customWidth="1"/>
    <col min="3849" max="3849" width="5" customWidth="1"/>
    <col min="3850" max="3852" width="7.140625" customWidth="1"/>
    <col min="4097" max="4097" width="33.140625" bestFit="1" customWidth="1"/>
    <col min="4098" max="4100" width="7.140625" customWidth="1"/>
    <col min="4101" max="4101" width="5" customWidth="1"/>
    <col min="4102" max="4104" width="7.140625" customWidth="1"/>
    <col min="4105" max="4105" width="5" customWidth="1"/>
    <col min="4106" max="4108" width="7.140625" customWidth="1"/>
    <col min="4353" max="4353" width="33.140625" bestFit="1" customWidth="1"/>
    <col min="4354" max="4356" width="7.140625" customWidth="1"/>
    <col min="4357" max="4357" width="5" customWidth="1"/>
    <col min="4358" max="4360" width="7.140625" customWidth="1"/>
    <col min="4361" max="4361" width="5" customWidth="1"/>
    <col min="4362" max="4364" width="7.140625" customWidth="1"/>
    <col min="4609" max="4609" width="33.140625" bestFit="1" customWidth="1"/>
    <col min="4610" max="4612" width="7.140625" customWidth="1"/>
    <col min="4613" max="4613" width="5" customWidth="1"/>
    <col min="4614" max="4616" width="7.140625" customWidth="1"/>
    <col min="4617" max="4617" width="5" customWidth="1"/>
    <col min="4618" max="4620" width="7.140625" customWidth="1"/>
    <col min="4865" max="4865" width="33.140625" bestFit="1" customWidth="1"/>
    <col min="4866" max="4868" width="7.140625" customWidth="1"/>
    <col min="4869" max="4869" width="5" customWidth="1"/>
    <col min="4870" max="4872" width="7.140625" customWidth="1"/>
    <col min="4873" max="4873" width="5" customWidth="1"/>
    <col min="4874" max="4876" width="7.140625" customWidth="1"/>
    <col min="5121" max="5121" width="33.140625" bestFit="1" customWidth="1"/>
    <col min="5122" max="5124" width="7.140625" customWidth="1"/>
    <col min="5125" max="5125" width="5" customWidth="1"/>
    <col min="5126" max="5128" width="7.140625" customWidth="1"/>
    <col min="5129" max="5129" width="5" customWidth="1"/>
    <col min="5130" max="5132" width="7.140625" customWidth="1"/>
    <col min="5377" max="5377" width="33.140625" bestFit="1" customWidth="1"/>
    <col min="5378" max="5380" width="7.140625" customWidth="1"/>
    <col min="5381" max="5381" width="5" customWidth="1"/>
    <col min="5382" max="5384" width="7.140625" customWidth="1"/>
    <col min="5385" max="5385" width="5" customWidth="1"/>
    <col min="5386" max="5388" width="7.140625" customWidth="1"/>
    <col min="5633" max="5633" width="33.140625" bestFit="1" customWidth="1"/>
    <col min="5634" max="5636" width="7.140625" customWidth="1"/>
    <col min="5637" max="5637" width="5" customWidth="1"/>
    <col min="5638" max="5640" width="7.140625" customWidth="1"/>
    <col min="5641" max="5641" width="5" customWidth="1"/>
    <col min="5642" max="5644" width="7.140625" customWidth="1"/>
    <col min="5889" max="5889" width="33.140625" bestFit="1" customWidth="1"/>
    <col min="5890" max="5892" width="7.140625" customWidth="1"/>
    <col min="5893" max="5893" width="5" customWidth="1"/>
    <col min="5894" max="5896" width="7.140625" customWidth="1"/>
    <col min="5897" max="5897" width="5" customWidth="1"/>
    <col min="5898" max="5900" width="7.140625" customWidth="1"/>
    <col min="6145" max="6145" width="33.140625" bestFit="1" customWidth="1"/>
    <col min="6146" max="6148" width="7.140625" customWidth="1"/>
    <col min="6149" max="6149" width="5" customWidth="1"/>
    <col min="6150" max="6152" width="7.140625" customWidth="1"/>
    <col min="6153" max="6153" width="5" customWidth="1"/>
    <col min="6154" max="6156" width="7.140625" customWidth="1"/>
    <col min="6401" max="6401" width="33.140625" bestFit="1" customWidth="1"/>
    <col min="6402" max="6404" width="7.140625" customWidth="1"/>
    <col min="6405" max="6405" width="5" customWidth="1"/>
    <col min="6406" max="6408" width="7.140625" customWidth="1"/>
    <col min="6409" max="6409" width="5" customWidth="1"/>
    <col min="6410" max="6412" width="7.140625" customWidth="1"/>
    <col min="6657" max="6657" width="33.140625" bestFit="1" customWidth="1"/>
    <col min="6658" max="6660" width="7.140625" customWidth="1"/>
    <col min="6661" max="6661" width="5" customWidth="1"/>
    <col min="6662" max="6664" width="7.140625" customWidth="1"/>
    <col min="6665" max="6665" width="5" customWidth="1"/>
    <col min="6666" max="6668" width="7.140625" customWidth="1"/>
    <col min="6913" max="6913" width="33.140625" bestFit="1" customWidth="1"/>
    <col min="6914" max="6916" width="7.140625" customWidth="1"/>
    <col min="6917" max="6917" width="5" customWidth="1"/>
    <col min="6918" max="6920" width="7.140625" customWidth="1"/>
    <col min="6921" max="6921" width="5" customWidth="1"/>
    <col min="6922" max="6924" width="7.140625" customWidth="1"/>
    <col min="7169" max="7169" width="33.140625" bestFit="1" customWidth="1"/>
    <col min="7170" max="7172" width="7.140625" customWidth="1"/>
    <col min="7173" max="7173" width="5" customWidth="1"/>
    <col min="7174" max="7176" width="7.140625" customWidth="1"/>
    <col min="7177" max="7177" width="5" customWidth="1"/>
    <col min="7178" max="7180" width="7.140625" customWidth="1"/>
    <col min="7425" max="7425" width="33.140625" bestFit="1" customWidth="1"/>
    <col min="7426" max="7428" width="7.140625" customWidth="1"/>
    <col min="7429" max="7429" width="5" customWidth="1"/>
    <col min="7430" max="7432" width="7.140625" customWidth="1"/>
    <col min="7433" max="7433" width="5" customWidth="1"/>
    <col min="7434" max="7436" width="7.140625" customWidth="1"/>
    <col min="7681" max="7681" width="33.140625" bestFit="1" customWidth="1"/>
    <col min="7682" max="7684" width="7.140625" customWidth="1"/>
    <col min="7685" max="7685" width="5" customWidth="1"/>
    <col min="7686" max="7688" width="7.140625" customWidth="1"/>
    <col min="7689" max="7689" width="5" customWidth="1"/>
    <col min="7690" max="7692" width="7.140625" customWidth="1"/>
    <col min="7937" max="7937" width="33.140625" bestFit="1" customWidth="1"/>
    <col min="7938" max="7940" width="7.140625" customWidth="1"/>
    <col min="7941" max="7941" width="5" customWidth="1"/>
    <col min="7942" max="7944" width="7.140625" customWidth="1"/>
    <col min="7945" max="7945" width="5" customWidth="1"/>
    <col min="7946" max="7948" width="7.140625" customWidth="1"/>
    <col min="8193" max="8193" width="33.140625" bestFit="1" customWidth="1"/>
    <col min="8194" max="8196" width="7.140625" customWidth="1"/>
    <col min="8197" max="8197" width="5" customWidth="1"/>
    <col min="8198" max="8200" width="7.140625" customWidth="1"/>
    <col min="8201" max="8201" width="5" customWidth="1"/>
    <col min="8202" max="8204" width="7.140625" customWidth="1"/>
    <col min="8449" max="8449" width="33.140625" bestFit="1" customWidth="1"/>
    <col min="8450" max="8452" width="7.140625" customWidth="1"/>
    <col min="8453" max="8453" width="5" customWidth="1"/>
    <col min="8454" max="8456" width="7.140625" customWidth="1"/>
    <col min="8457" max="8457" width="5" customWidth="1"/>
    <col min="8458" max="8460" width="7.140625" customWidth="1"/>
    <col min="8705" max="8705" width="33.140625" bestFit="1" customWidth="1"/>
    <col min="8706" max="8708" width="7.140625" customWidth="1"/>
    <col min="8709" max="8709" width="5" customWidth="1"/>
    <col min="8710" max="8712" width="7.140625" customWidth="1"/>
    <col min="8713" max="8713" width="5" customWidth="1"/>
    <col min="8714" max="8716" width="7.140625" customWidth="1"/>
    <col min="8961" max="8961" width="33.140625" bestFit="1" customWidth="1"/>
    <col min="8962" max="8964" width="7.140625" customWidth="1"/>
    <col min="8965" max="8965" width="5" customWidth="1"/>
    <col min="8966" max="8968" width="7.140625" customWidth="1"/>
    <col min="8969" max="8969" width="5" customWidth="1"/>
    <col min="8970" max="8972" width="7.140625" customWidth="1"/>
    <col min="9217" max="9217" width="33.140625" bestFit="1" customWidth="1"/>
    <col min="9218" max="9220" width="7.140625" customWidth="1"/>
    <col min="9221" max="9221" width="5" customWidth="1"/>
    <col min="9222" max="9224" width="7.140625" customWidth="1"/>
    <col min="9225" max="9225" width="5" customWidth="1"/>
    <col min="9226" max="9228" width="7.140625" customWidth="1"/>
    <col min="9473" max="9473" width="33.140625" bestFit="1" customWidth="1"/>
    <col min="9474" max="9476" width="7.140625" customWidth="1"/>
    <col min="9477" max="9477" width="5" customWidth="1"/>
    <col min="9478" max="9480" width="7.140625" customWidth="1"/>
    <col min="9481" max="9481" width="5" customWidth="1"/>
    <col min="9482" max="9484" width="7.140625" customWidth="1"/>
    <col min="9729" max="9729" width="33.140625" bestFit="1" customWidth="1"/>
    <col min="9730" max="9732" width="7.140625" customWidth="1"/>
    <col min="9733" max="9733" width="5" customWidth="1"/>
    <col min="9734" max="9736" width="7.140625" customWidth="1"/>
    <col min="9737" max="9737" width="5" customWidth="1"/>
    <col min="9738" max="9740" width="7.140625" customWidth="1"/>
    <col min="9985" max="9985" width="33.140625" bestFit="1" customWidth="1"/>
    <col min="9986" max="9988" width="7.140625" customWidth="1"/>
    <col min="9989" max="9989" width="5" customWidth="1"/>
    <col min="9990" max="9992" width="7.140625" customWidth="1"/>
    <col min="9993" max="9993" width="5" customWidth="1"/>
    <col min="9994" max="9996" width="7.140625" customWidth="1"/>
    <col min="10241" max="10241" width="33.140625" bestFit="1" customWidth="1"/>
    <col min="10242" max="10244" width="7.140625" customWidth="1"/>
    <col min="10245" max="10245" width="5" customWidth="1"/>
    <col min="10246" max="10248" width="7.140625" customWidth="1"/>
    <col min="10249" max="10249" width="5" customWidth="1"/>
    <col min="10250" max="10252" width="7.140625" customWidth="1"/>
    <col min="10497" max="10497" width="33.140625" bestFit="1" customWidth="1"/>
    <col min="10498" max="10500" width="7.140625" customWidth="1"/>
    <col min="10501" max="10501" width="5" customWidth="1"/>
    <col min="10502" max="10504" width="7.140625" customWidth="1"/>
    <col min="10505" max="10505" width="5" customWidth="1"/>
    <col min="10506" max="10508" width="7.140625" customWidth="1"/>
    <col min="10753" max="10753" width="33.140625" bestFit="1" customWidth="1"/>
    <col min="10754" max="10756" width="7.140625" customWidth="1"/>
    <col min="10757" max="10757" width="5" customWidth="1"/>
    <col min="10758" max="10760" width="7.140625" customWidth="1"/>
    <col min="10761" max="10761" width="5" customWidth="1"/>
    <col min="10762" max="10764" width="7.140625" customWidth="1"/>
    <col min="11009" max="11009" width="33.140625" bestFit="1" customWidth="1"/>
    <col min="11010" max="11012" width="7.140625" customWidth="1"/>
    <col min="11013" max="11013" width="5" customWidth="1"/>
    <col min="11014" max="11016" width="7.140625" customWidth="1"/>
    <col min="11017" max="11017" width="5" customWidth="1"/>
    <col min="11018" max="11020" width="7.140625" customWidth="1"/>
    <col min="11265" max="11265" width="33.140625" bestFit="1" customWidth="1"/>
    <col min="11266" max="11268" width="7.140625" customWidth="1"/>
    <col min="11269" max="11269" width="5" customWidth="1"/>
    <col min="11270" max="11272" width="7.140625" customWidth="1"/>
    <col min="11273" max="11273" width="5" customWidth="1"/>
    <col min="11274" max="11276" width="7.140625" customWidth="1"/>
    <col min="11521" max="11521" width="33.140625" bestFit="1" customWidth="1"/>
    <col min="11522" max="11524" width="7.140625" customWidth="1"/>
    <col min="11525" max="11525" width="5" customWidth="1"/>
    <col min="11526" max="11528" width="7.140625" customWidth="1"/>
    <col min="11529" max="11529" width="5" customWidth="1"/>
    <col min="11530" max="11532" width="7.140625" customWidth="1"/>
    <col min="11777" max="11777" width="33.140625" bestFit="1" customWidth="1"/>
    <col min="11778" max="11780" width="7.140625" customWidth="1"/>
    <col min="11781" max="11781" width="5" customWidth="1"/>
    <col min="11782" max="11784" width="7.140625" customWidth="1"/>
    <col min="11785" max="11785" width="5" customWidth="1"/>
    <col min="11786" max="11788" width="7.140625" customWidth="1"/>
    <col min="12033" max="12033" width="33.140625" bestFit="1" customWidth="1"/>
    <col min="12034" max="12036" width="7.140625" customWidth="1"/>
    <col min="12037" max="12037" width="5" customWidth="1"/>
    <col min="12038" max="12040" width="7.140625" customWidth="1"/>
    <col min="12041" max="12041" width="5" customWidth="1"/>
    <col min="12042" max="12044" width="7.140625" customWidth="1"/>
    <col min="12289" max="12289" width="33.140625" bestFit="1" customWidth="1"/>
    <col min="12290" max="12292" width="7.140625" customWidth="1"/>
    <col min="12293" max="12293" width="5" customWidth="1"/>
    <col min="12294" max="12296" width="7.140625" customWidth="1"/>
    <col min="12297" max="12297" width="5" customWidth="1"/>
    <col min="12298" max="12300" width="7.140625" customWidth="1"/>
    <col min="12545" max="12545" width="33.140625" bestFit="1" customWidth="1"/>
    <col min="12546" max="12548" width="7.140625" customWidth="1"/>
    <col min="12549" max="12549" width="5" customWidth="1"/>
    <col min="12550" max="12552" width="7.140625" customWidth="1"/>
    <col min="12553" max="12553" width="5" customWidth="1"/>
    <col min="12554" max="12556" width="7.140625" customWidth="1"/>
    <col min="12801" max="12801" width="33.140625" bestFit="1" customWidth="1"/>
    <col min="12802" max="12804" width="7.140625" customWidth="1"/>
    <col min="12805" max="12805" width="5" customWidth="1"/>
    <col min="12806" max="12808" width="7.140625" customWidth="1"/>
    <col min="12809" max="12809" width="5" customWidth="1"/>
    <col min="12810" max="12812" width="7.140625" customWidth="1"/>
    <col min="13057" max="13057" width="33.140625" bestFit="1" customWidth="1"/>
    <col min="13058" max="13060" width="7.140625" customWidth="1"/>
    <col min="13061" max="13061" width="5" customWidth="1"/>
    <col min="13062" max="13064" width="7.140625" customWidth="1"/>
    <col min="13065" max="13065" width="5" customWidth="1"/>
    <col min="13066" max="13068" width="7.140625" customWidth="1"/>
    <col min="13313" max="13313" width="33.140625" bestFit="1" customWidth="1"/>
    <col min="13314" max="13316" width="7.140625" customWidth="1"/>
    <col min="13317" max="13317" width="5" customWidth="1"/>
    <col min="13318" max="13320" width="7.140625" customWidth="1"/>
    <col min="13321" max="13321" width="5" customWidth="1"/>
    <col min="13322" max="13324" width="7.140625" customWidth="1"/>
    <col min="13569" max="13569" width="33.140625" bestFit="1" customWidth="1"/>
    <col min="13570" max="13572" width="7.140625" customWidth="1"/>
    <col min="13573" max="13573" width="5" customWidth="1"/>
    <col min="13574" max="13576" width="7.140625" customWidth="1"/>
    <col min="13577" max="13577" width="5" customWidth="1"/>
    <col min="13578" max="13580" width="7.140625" customWidth="1"/>
    <col min="13825" max="13825" width="33.140625" bestFit="1" customWidth="1"/>
    <col min="13826" max="13828" width="7.140625" customWidth="1"/>
    <col min="13829" max="13829" width="5" customWidth="1"/>
    <col min="13830" max="13832" width="7.140625" customWidth="1"/>
    <col min="13833" max="13833" width="5" customWidth="1"/>
    <col min="13834" max="13836" width="7.140625" customWidth="1"/>
    <col min="14081" max="14081" width="33.140625" bestFit="1" customWidth="1"/>
    <col min="14082" max="14084" width="7.140625" customWidth="1"/>
    <col min="14085" max="14085" width="5" customWidth="1"/>
    <col min="14086" max="14088" width="7.140625" customWidth="1"/>
    <col min="14089" max="14089" width="5" customWidth="1"/>
    <col min="14090" max="14092" width="7.140625" customWidth="1"/>
    <col min="14337" max="14337" width="33.140625" bestFit="1" customWidth="1"/>
    <col min="14338" max="14340" width="7.140625" customWidth="1"/>
    <col min="14341" max="14341" width="5" customWidth="1"/>
    <col min="14342" max="14344" width="7.140625" customWidth="1"/>
    <col min="14345" max="14345" width="5" customWidth="1"/>
    <col min="14346" max="14348" width="7.140625" customWidth="1"/>
    <col min="14593" max="14593" width="33.140625" bestFit="1" customWidth="1"/>
    <col min="14594" max="14596" width="7.140625" customWidth="1"/>
    <col min="14597" max="14597" width="5" customWidth="1"/>
    <col min="14598" max="14600" width="7.140625" customWidth="1"/>
    <col min="14601" max="14601" width="5" customWidth="1"/>
    <col min="14602" max="14604" width="7.140625" customWidth="1"/>
    <col min="14849" max="14849" width="33.140625" bestFit="1" customWidth="1"/>
    <col min="14850" max="14852" width="7.140625" customWidth="1"/>
    <col min="14853" max="14853" width="5" customWidth="1"/>
    <col min="14854" max="14856" width="7.140625" customWidth="1"/>
    <col min="14857" max="14857" width="5" customWidth="1"/>
    <col min="14858" max="14860" width="7.140625" customWidth="1"/>
    <col min="15105" max="15105" width="33.140625" bestFit="1" customWidth="1"/>
    <col min="15106" max="15108" width="7.140625" customWidth="1"/>
    <col min="15109" max="15109" width="5" customWidth="1"/>
    <col min="15110" max="15112" width="7.140625" customWidth="1"/>
    <col min="15113" max="15113" width="5" customWidth="1"/>
    <col min="15114" max="15116" width="7.140625" customWidth="1"/>
    <col min="15361" max="15361" width="33.140625" bestFit="1" customWidth="1"/>
    <col min="15362" max="15364" width="7.140625" customWidth="1"/>
    <col min="15365" max="15365" width="5" customWidth="1"/>
    <col min="15366" max="15368" width="7.140625" customWidth="1"/>
    <col min="15369" max="15369" width="5" customWidth="1"/>
    <col min="15370" max="15372" width="7.140625" customWidth="1"/>
    <col min="15617" max="15617" width="33.140625" bestFit="1" customWidth="1"/>
    <col min="15618" max="15620" width="7.140625" customWidth="1"/>
    <col min="15621" max="15621" width="5" customWidth="1"/>
    <col min="15622" max="15624" width="7.140625" customWidth="1"/>
    <col min="15625" max="15625" width="5" customWidth="1"/>
    <col min="15626" max="15628" width="7.140625" customWidth="1"/>
    <col min="15873" max="15873" width="33.140625" bestFit="1" customWidth="1"/>
    <col min="15874" max="15876" width="7.140625" customWidth="1"/>
    <col min="15877" max="15877" width="5" customWidth="1"/>
    <col min="15878" max="15880" width="7.140625" customWidth="1"/>
    <col min="15881" max="15881" width="5" customWidth="1"/>
    <col min="15882" max="15884" width="7.140625" customWidth="1"/>
    <col min="16129" max="16129" width="33.140625" bestFit="1" customWidth="1"/>
    <col min="16130" max="16132" width="7.140625" customWidth="1"/>
    <col min="16133" max="16133" width="5" customWidth="1"/>
    <col min="16134" max="16136" width="7.140625" customWidth="1"/>
    <col min="16137" max="16137" width="5" customWidth="1"/>
    <col min="16138" max="16140" width="7.140625" customWidth="1"/>
  </cols>
  <sheetData>
    <row r="1" spans="1:14" ht="15.75" x14ac:dyDescent="0.25">
      <c r="A1" s="19" t="str">
        <f>CONCATENATE("Industry and Occupation Table 1  Occupation composition (SOC2020) by gender, ",B$6,"-",J$6,", ",Info!B5)</f>
        <v>Industry and Occupation Table 1  Occupation composition (SOC2020) by gender, 2015-2035, Greater Lincolnshire</v>
      </c>
      <c r="B1" s="236"/>
      <c r="C1" s="236"/>
      <c r="D1" s="236"/>
      <c r="E1" s="236"/>
      <c r="F1" s="236"/>
      <c r="G1" s="236"/>
      <c r="H1" s="236"/>
      <c r="I1" s="236"/>
      <c r="J1" s="236"/>
      <c r="K1" s="236"/>
      <c r="L1" s="248"/>
      <c r="M1" s="236"/>
      <c r="N1" s="236"/>
    </row>
    <row r="2" spans="1:14" x14ac:dyDescent="0.2">
      <c r="A2" s="258" t="s">
        <v>516</v>
      </c>
      <c r="B2" s="236"/>
      <c r="C2" s="236"/>
      <c r="D2" s="236"/>
      <c r="E2" s="236"/>
      <c r="F2" s="236"/>
      <c r="G2" s="236"/>
      <c r="H2" s="236"/>
      <c r="I2" s="236"/>
      <c r="J2" s="236"/>
      <c r="K2" s="236"/>
      <c r="L2" s="248"/>
      <c r="M2" s="236"/>
      <c r="N2" s="236"/>
    </row>
    <row r="3" spans="1:14" x14ac:dyDescent="0.2">
      <c r="A3" s="236"/>
      <c r="B3" s="236"/>
      <c r="C3" s="236"/>
      <c r="D3" s="236"/>
      <c r="E3" s="236"/>
      <c r="F3" s="236"/>
      <c r="G3" s="236"/>
      <c r="H3" s="236"/>
      <c r="I3" s="236"/>
      <c r="J3" s="236"/>
      <c r="K3" s="236"/>
      <c r="L3" s="248"/>
      <c r="M3" s="236"/>
      <c r="N3" s="236"/>
    </row>
    <row r="4" spans="1:14" x14ac:dyDescent="0.2">
      <c r="A4" s="236"/>
      <c r="B4" s="236"/>
      <c r="C4" s="236"/>
      <c r="D4" s="236"/>
      <c r="E4" s="236"/>
      <c r="F4" s="236"/>
      <c r="G4" s="236"/>
      <c r="H4" s="236"/>
      <c r="I4" s="236"/>
      <c r="J4" s="236"/>
      <c r="K4" s="236"/>
      <c r="L4" s="251" t="s">
        <v>36</v>
      </c>
      <c r="M4" s="236"/>
      <c r="N4" s="236"/>
    </row>
    <row r="5" spans="1:14" x14ac:dyDescent="0.2">
      <c r="A5" s="242"/>
      <c r="B5" s="242"/>
      <c r="C5" s="243"/>
      <c r="D5" s="243"/>
      <c r="E5" s="243"/>
      <c r="F5" s="243"/>
      <c r="G5" s="243"/>
      <c r="H5" s="243"/>
      <c r="I5" s="243"/>
      <c r="J5" s="243"/>
      <c r="K5" s="243"/>
      <c r="L5" s="236"/>
      <c r="M5" s="236"/>
      <c r="N5" s="236"/>
    </row>
    <row r="6" spans="1:14" x14ac:dyDescent="0.2">
      <c r="A6" s="241" t="s">
        <v>0</v>
      </c>
      <c r="B6" s="375">
        <v>2015</v>
      </c>
      <c r="C6" s="376"/>
      <c r="D6" s="376"/>
      <c r="E6" s="246"/>
      <c r="F6" s="375">
        <v>2020</v>
      </c>
      <c r="G6" s="375"/>
      <c r="H6" s="375"/>
      <c r="I6" s="246"/>
      <c r="J6" s="375">
        <v>2035</v>
      </c>
      <c r="K6" s="375"/>
      <c r="L6" s="375"/>
      <c r="M6" s="236"/>
      <c r="N6" s="236"/>
    </row>
    <row r="7" spans="1:14" x14ac:dyDescent="0.2">
      <c r="A7" s="252"/>
      <c r="B7" s="245" t="s">
        <v>361</v>
      </c>
      <c r="C7" s="245" t="s">
        <v>362</v>
      </c>
      <c r="D7" s="245" t="s">
        <v>33</v>
      </c>
      <c r="E7" s="245"/>
      <c r="F7" s="245" t="s">
        <v>361</v>
      </c>
      <c r="G7" s="245" t="s">
        <v>362</v>
      </c>
      <c r="H7" s="245" t="s">
        <v>33</v>
      </c>
      <c r="I7" s="245"/>
      <c r="J7" s="245" t="s">
        <v>361</v>
      </c>
      <c r="K7" s="245" t="s">
        <v>362</v>
      </c>
      <c r="L7" s="245" t="s">
        <v>33</v>
      </c>
      <c r="M7" s="236"/>
      <c r="N7" s="236"/>
    </row>
    <row r="8" spans="1:14" x14ac:dyDescent="0.2">
      <c r="A8" s="236"/>
      <c r="B8" s="257"/>
      <c r="C8" s="257"/>
      <c r="D8" s="257"/>
      <c r="E8" s="257"/>
      <c r="F8" s="257"/>
      <c r="G8" s="257"/>
      <c r="H8" s="257"/>
      <c r="I8" s="257"/>
      <c r="J8" s="257"/>
      <c r="K8" s="257"/>
      <c r="L8" s="257"/>
      <c r="M8" s="236"/>
      <c r="N8" s="236"/>
    </row>
    <row r="9" spans="1:14" x14ac:dyDescent="0.2">
      <c r="A9" s="237" t="str">
        <f>name!E$4</f>
        <v>Managers, directors and senior officials</v>
      </c>
      <c r="B9" s="249">
        <f>SUM(B26,B43,B60,B77,B94,B111,B128,B145,B162,B179,B196,B213,B230,B247,B264,B281,B298,B315,B332,B349,B366,B383)</f>
        <v>14.017257813706463</v>
      </c>
      <c r="C9" s="249">
        <f>SUM(C26,C43,C60,C77,C94,C111,C128,C145,C162,C179,C196,C213,C230,C247,C264,C281,C298,C315,C332,C349,C366,C383)</f>
        <v>31.713337362826177</v>
      </c>
      <c r="D9" s="249">
        <f>SUM(B9:C9)</f>
        <v>45.730595176532638</v>
      </c>
      <c r="E9" s="238"/>
      <c r="F9" s="249">
        <f>SUM(F26,F43,F60,F77,F94,F111,F128,F145,F162,F179,F196,F213,F230,F247,F264,F281,F298,F315,F332,F349,F366,F383)</f>
        <v>17.927439061732251</v>
      </c>
      <c r="G9" s="249">
        <f>SUM(G26,G43,G60,G77,G94,G111,G128,G145,G162,G179,G196,G213,G230,G247,G264,G281,G298,G315,G332,G349,G366,G383)</f>
        <v>36.980847876373588</v>
      </c>
      <c r="H9" s="249">
        <f>SUM(F9:G9)</f>
        <v>54.908286938105839</v>
      </c>
      <c r="I9" s="238"/>
      <c r="J9" s="249">
        <f>SUM(J26,J43,J60,J77,J94,J111,J128,J145,J162,J179,J196,J213,J230,J247,J264,J281,J298,J315,J332,J349,J366,J383)</f>
        <v>19.16771748378034</v>
      </c>
      <c r="K9" s="249">
        <f>SUM(K26,K43,K60,K77,K94,K111,K128,K145,K162,K179,K196,K213,K230,K247,K264,K281,K298,K315,K332,K349,K366,K383)</f>
        <v>36.775790116225075</v>
      </c>
      <c r="L9" s="249">
        <f>SUM(J9:K9)</f>
        <v>55.943507600005418</v>
      </c>
      <c r="M9" s="236"/>
      <c r="N9" s="236"/>
    </row>
    <row r="10" spans="1:14" x14ac:dyDescent="0.2">
      <c r="A10" s="237" t="str">
        <f>name!E$5</f>
        <v>Professional occupations</v>
      </c>
      <c r="B10" s="249">
        <f t="shared" ref="B10:C17" si="0">SUM(B27,B44,B61,B78,B95,B112,B129,B146,B163,B180,B197,B214,B231,B248,B265,B282,B299,B316,B333,B350,B367,B384)</f>
        <v>38.752020684459922</v>
      </c>
      <c r="C10" s="249">
        <f t="shared" si="0"/>
        <v>45.396039716008858</v>
      </c>
      <c r="D10" s="249">
        <f t="shared" ref="D10:D17" si="1">SUM(B10:C10)</f>
        <v>84.148060400468779</v>
      </c>
      <c r="E10" s="238"/>
      <c r="F10" s="249">
        <f t="shared" ref="F10:G17" si="2">SUM(F27,F44,F61,F78,F95,F112,F129,F146,F163,F180,F197,F214,F231,F248,F265,F282,F299,F316,F333,F350,F367,F384)</f>
        <v>48.496250732474586</v>
      </c>
      <c r="G10" s="249">
        <f t="shared" si="2"/>
        <v>52.256977779632578</v>
      </c>
      <c r="H10" s="249">
        <f t="shared" ref="H10:H17" si="3">SUM(F10:G10)</f>
        <v>100.75322851210717</v>
      </c>
      <c r="I10" s="238"/>
      <c r="J10" s="249">
        <f t="shared" ref="J10:K17" si="4">SUM(J27,J44,J61,J78,J95,J112,J129,J146,J163,J180,J197,J214,J231,J248,J265,J282,J299,J316,J333,J350,J367,J384)</f>
        <v>54.713587465815557</v>
      </c>
      <c r="K10" s="249">
        <f t="shared" si="4"/>
        <v>62.557131636450919</v>
      </c>
      <c r="L10" s="249">
        <f t="shared" ref="L10:L17" si="5">SUM(J10:K10)</f>
        <v>117.27071910226647</v>
      </c>
      <c r="M10" s="236"/>
      <c r="N10" s="236"/>
    </row>
    <row r="11" spans="1:14" x14ac:dyDescent="0.2">
      <c r="A11" s="237" t="str">
        <f>name!E$6</f>
        <v>Associate professional occupations</v>
      </c>
      <c r="B11" s="249">
        <f t="shared" si="0"/>
        <v>23.698219088728443</v>
      </c>
      <c r="C11" s="249">
        <f t="shared" si="0"/>
        <v>30.228666360773104</v>
      </c>
      <c r="D11" s="249">
        <f t="shared" si="1"/>
        <v>53.926885449501547</v>
      </c>
      <c r="E11" s="238"/>
      <c r="F11" s="249">
        <f t="shared" si="2"/>
        <v>27.993487328854307</v>
      </c>
      <c r="G11" s="249">
        <f t="shared" si="2"/>
        <v>33.443885817292994</v>
      </c>
      <c r="H11" s="249">
        <f t="shared" si="3"/>
        <v>61.437373146147301</v>
      </c>
      <c r="I11" s="238"/>
      <c r="J11" s="249">
        <f t="shared" si="4"/>
        <v>37.178516608478041</v>
      </c>
      <c r="K11" s="249">
        <f t="shared" si="4"/>
        <v>32.620389556604977</v>
      </c>
      <c r="L11" s="249">
        <f t="shared" si="5"/>
        <v>69.798906165083025</v>
      </c>
      <c r="M11" s="236"/>
      <c r="N11" s="236"/>
    </row>
    <row r="12" spans="1:14" x14ac:dyDescent="0.2">
      <c r="A12" s="237" t="str">
        <f>name!E$7</f>
        <v>Administrative and secretarial occupations</v>
      </c>
      <c r="B12" s="249">
        <f t="shared" si="0"/>
        <v>40.546728087919327</v>
      </c>
      <c r="C12" s="249">
        <f t="shared" si="0"/>
        <v>10.819682357163613</v>
      </c>
      <c r="D12" s="249">
        <f t="shared" si="1"/>
        <v>51.366410445082941</v>
      </c>
      <c r="E12" s="238"/>
      <c r="F12" s="249">
        <f t="shared" si="2"/>
        <v>39.309589068267343</v>
      </c>
      <c r="G12" s="249">
        <f t="shared" si="2"/>
        <v>11.842551343788974</v>
      </c>
      <c r="H12" s="249">
        <f t="shared" si="3"/>
        <v>51.152140412056319</v>
      </c>
      <c r="I12" s="238"/>
      <c r="J12" s="249">
        <f t="shared" si="4"/>
        <v>34.679381631670587</v>
      </c>
      <c r="K12" s="249">
        <f t="shared" si="4"/>
        <v>13.497244657653697</v>
      </c>
      <c r="L12" s="249">
        <f t="shared" si="5"/>
        <v>48.176626289324282</v>
      </c>
      <c r="M12" s="236"/>
      <c r="N12" s="236"/>
    </row>
    <row r="13" spans="1:14" x14ac:dyDescent="0.2">
      <c r="A13" s="237" t="str">
        <f>name!E$8</f>
        <v>Skilled trades occupations</v>
      </c>
      <c r="B13" s="249">
        <f t="shared" si="0"/>
        <v>6.7639718498318189</v>
      </c>
      <c r="C13" s="249">
        <f t="shared" si="0"/>
        <v>48.808096153272572</v>
      </c>
      <c r="D13" s="249">
        <f t="shared" si="1"/>
        <v>55.572068003104391</v>
      </c>
      <c r="E13" s="238"/>
      <c r="F13" s="249">
        <f t="shared" si="2"/>
        <v>6.9799341483812531</v>
      </c>
      <c r="G13" s="249">
        <f t="shared" si="2"/>
        <v>41.553006799001899</v>
      </c>
      <c r="H13" s="249">
        <f t="shared" si="3"/>
        <v>48.532940947383153</v>
      </c>
      <c r="I13" s="238"/>
      <c r="J13" s="249">
        <f t="shared" si="4"/>
        <v>6.9922160521488186</v>
      </c>
      <c r="K13" s="249">
        <f t="shared" si="4"/>
        <v>36.242674369242764</v>
      </c>
      <c r="L13" s="249">
        <f t="shared" si="5"/>
        <v>43.234890421391583</v>
      </c>
      <c r="M13" s="236"/>
      <c r="N13" s="236"/>
    </row>
    <row r="14" spans="1:14" x14ac:dyDescent="0.2">
      <c r="A14" s="237" t="str">
        <f>name!E$9</f>
        <v>Caring, leisure and other service occupations</v>
      </c>
      <c r="B14" s="249">
        <f t="shared" si="0"/>
        <v>45.125965973061298</v>
      </c>
      <c r="C14" s="249">
        <f t="shared" si="0"/>
        <v>10.095208833862607</v>
      </c>
      <c r="D14" s="249">
        <f t="shared" si="1"/>
        <v>55.221174806923905</v>
      </c>
      <c r="E14" s="238"/>
      <c r="F14" s="249">
        <f t="shared" si="2"/>
        <v>46.055010225640373</v>
      </c>
      <c r="G14" s="249">
        <f t="shared" si="2"/>
        <v>10.791487795048308</v>
      </c>
      <c r="H14" s="249">
        <f t="shared" si="3"/>
        <v>56.846498020688685</v>
      </c>
      <c r="I14" s="238"/>
      <c r="J14" s="249">
        <f t="shared" si="4"/>
        <v>47.143931925310156</v>
      </c>
      <c r="K14" s="249">
        <f t="shared" si="4"/>
        <v>13.283714291669909</v>
      </c>
      <c r="L14" s="249">
        <f t="shared" si="5"/>
        <v>60.427646216980065</v>
      </c>
      <c r="M14" s="236"/>
      <c r="N14" s="236"/>
    </row>
    <row r="15" spans="1:14" x14ac:dyDescent="0.2">
      <c r="A15" s="237" t="str">
        <f>name!E$10</f>
        <v>Sales and customer service occupations</v>
      </c>
      <c r="B15" s="249">
        <f t="shared" si="0"/>
        <v>29.831261641942415</v>
      </c>
      <c r="C15" s="249">
        <f t="shared" si="0"/>
        <v>16.536810528752209</v>
      </c>
      <c r="D15" s="249">
        <f t="shared" si="1"/>
        <v>46.368072170694624</v>
      </c>
      <c r="E15" s="238"/>
      <c r="F15" s="249">
        <f t="shared" si="2"/>
        <v>26.891571881882697</v>
      </c>
      <c r="G15" s="249">
        <f t="shared" si="2"/>
        <v>15.935901958922207</v>
      </c>
      <c r="H15" s="249">
        <f t="shared" si="3"/>
        <v>42.827473840804906</v>
      </c>
      <c r="I15" s="238"/>
      <c r="J15" s="249">
        <f t="shared" si="4"/>
        <v>26.003496357274138</v>
      </c>
      <c r="K15" s="249">
        <f t="shared" si="4"/>
        <v>16.518001782113807</v>
      </c>
      <c r="L15" s="249">
        <f t="shared" si="5"/>
        <v>42.521498139387944</v>
      </c>
      <c r="M15" s="236"/>
      <c r="N15" s="236"/>
    </row>
    <row r="16" spans="1:14" x14ac:dyDescent="0.2">
      <c r="A16" s="237" t="str">
        <f>name!E$11</f>
        <v>Process, plant and machine operatives</v>
      </c>
      <c r="B16" s="249">
        <f t="shared" si="0"/>
        <v>6.9490116971803717</v>
      </c>
      <c r="C16" s="249">
        <f t="shared" si="0"/>
        <v>37.772800417087339</v>
      </c>
      <c r="D16" s="249">
        <f t="shared" si="1"/>
        <v>44.721812114267713</v>
      </c>
      <c r="E16" s="238"/>
      <c r="F16" s="249">
        <f t="shared" si="2"/>
        <v>6.1237955078384596</v>
      </c>
      <c r="G16" s="249">
        <f t="shared" si="2"/>
        <v>35.405273255422046</v>
      </c>
      <c r="H16" s="249">
        <f t="shared" si="3"/>
        <v>41.529068763260504</v>
      </c>
      <c r="I16" s="238"/>
      <c r="J16" s="249">
        <f t="shared" si="4"/>
        <v>7.4087158843787915</v>
      </c>
      <c r="K16" s="249">
        <f t="shared" si="4"/>
        <v>31.85180622422515</v>
      </c>
      <c r="L16" s="249">
        <f t="shared" si="5"/>
        <v>39.260522108603944</v>
      </c>
      <c r="M16" s="236"/>
      <c r="N16" s="236"/>
    </row>
    <row r="17" spans="1:14" x14ac:dyDescent="0.2">
      <c r="A17" s="237" t="str">
        <f>name!E$12</f>
        <v>Elementary occupations</v>
      </c>
      <c r="B17" s="249">
        <f t="shared" si="0"/>
        <v>28.440240795959667</v>
      </c>
      <c r="C17" s="249">
        <f t="shared" si="0"/>
        <v>36.109680637463903</v>
      </c>
      <c r="D17" s="249">
        <f t="shared" si="1"/>
        <v>64.549921433423577</v>
      </c>
      <c r="E17" s="238"/>
      <c r="F17" s="249">
        <f t="shared" si="2"/>
        <v>25.587373961410414</v>
      </c>
      <c r="G17" s="249">
        <f t="shared" si="2"/>
        <v>31.270615458035962</v>
      </c>
      <c r="H17" s="249">
        <f t="shared" si="3"/>
        <v>56.857989419446376</v>
      </c>
      <c r="I17" s="238"/>
      <c r="J17" s="249">
        <f t="shared" si="4"/>
        <v>24.747310831200071</v>
      </c>
      <c r="K17" s="249">
        <f t="shared" si="4"/>
        <v>31.530373125757386</v>
      </c>
      <c r="L17" s="249">
        <f t="shared" si="5"/>
        <v>56.277683956957461</v>
      </c>
      <c r="M17" s="236"/>
      <c r="N17" s="236"/>
    </row>
    <row r="18" spans="1:14" x14ac:dyDescent="0.2">
      <c r="A18" s="237"/>
      <c r="B18" s="249"/>
      <c r="C18" s="249"/>
      <c r="D18" s="249"/>
      <c r="E18" s="238"/>
      <c r="F18" s="249"/>
      <c r="G18" s="249"/>
      <c r="H18" s="249"/>
      <c r="I18" s="238"/>
      <c r="J18" s="249"/>
      <c r="K18" s="249"/>
      <c r="L18" s="249"/>
      <c r="M18" s="236"/>
      <c r="N18" s="236"/>
    </row>
    <row r="19" spans="1:14" x14ac:dyDescent="0.2">
      <c r="A19" s="244" t="s">
        <v>33</v>
      </c>
      <c r="B19" s="247">
        <f>SUM(B9:B17)</f>
        <v>234.12467763278971</v>
      </c>
      <c r="C19" s="247">
        <f t="shared" ref="C19:L19" si="6">SUM(C9:C17)</f>
        <v>267.48032236721036</v>
      </c>
      <c r="D19" s="247">
        <f t="shared" si="6"/>
        <v>501.60500000000013</v>
      </c>
      <c r="E19" s="247"/>
      <c r="F19" s="247">
        <f t="shared" si="6"/>
        <v>245.3644519164817</v>
      </c>
      <c r="G19" s="247">
        <f t="shared" si="6"/>
        <v>269.48054808351856</v>
      </c>
      <c r="H19" s="247">
        <f t="shared" si="6"/>
        <v>514.84500000000025</v>
      </c>
      <c r="I19" s="247"/>
      <c r="J19" s="247">
        <f t="shared" si="6"/>
        <v>258.03487424005652</v>
      </c>
      <c r="K19" s="247">
        <f t="shared" si="6"/>
        <v>274.87712575994368</v>
      </c>
      <c r="L19" s="247">
        <f t="shared" si="6"/>
        <v>532.91200000000026</v>
      </c>
      <c r="M19" s="236"/>
      <c r="N19" s="236"/>
    </row>
    <row r="20" spans="1:14" x14ac:dyDescent="0.2">
      <c r="A20" s="237"/>
      <c r="B20" s="238"/>
      <c r="C20" s="238"/>
      <c r="D20" s="238"/>
      <c r="E20" s="238"/>
      <c r="F20" s="238"/>
      <c r="G20" s="238"/>
      <c r="H20" s="238"/>
      <c r="I20" s="238"/>
      <c r="J20" s="238"/>
      <c r="K20" s="238"/>
      <c r="L20" s="239"/>
      <c r="M20" s="236"/>
      <c r="N20" s="236"/>
    </row>
    <row r="21" spans="1:14" x14ac:dyDescent="0.2">
      <c r="A21" s="237"/>
      <c r="B21" s="237"/>
      <c r="C21" s="237"/>
      <c r="D21" s="237"/>
      <c r="E21" s="237"/>
      <c r="F21" s="237"/>
      <c r="G21" s="237"/>
      <c r="H21" s="237"/>
      <c r="I21" s="237"/>
      <c r="J21" s="237"/>
      <c r="K21" s="237"/>
      <c r="L21" s="256" t="s">
        <v>36</v>
      </c>
      <c r="M21" s="236"/>
      <c r="N21" s="236"/>
    </row>
    <row r="22" spans="1:14" x14ac:dyDescent="0.2">
      <c r="A22" s="242"/>
      <c r="B22" s="250"/>
      <c r="C22" s="250"/>
      <c r="D22" s="250"/>
      <c r="E22" s="250"/>
      <c r="F22" s="250"/>
      <c r="G22" s="250"/>
      <c r="H22" s="250"/>
      <c r="I22" s="250"/>
      <c r="J22" s="250"/>
      <c r="K22" s="250"/>
      <c r="L22" s="236"/>
      <c r="M22" s="236"/>
      <c r="N22" s="236"/>
    </row>
    <row r="23" spans="1:14" x14ac:dyDescent="0.2">
      <c r="A23" s="241" t="str">
        <f>name!B4</f>
        <v>Agriculture</v>
      </c>
      <c r="B23" s="375">
        <f>B$6</f>
        <v>2015</v>
      </c>
      <c r="C23" s="375"/>
      <c r="D23" s="375"/>
      <c r="E23" s="253"/>
      <c r="F23" s="375">
        <f>F$6</f>
        <v>2020</v>
      </c>
      <c r="G23" s="375"/>
      <c r="H23" s="375"/>
      <c r="I23" s="253"/>
      <c r="J23" s="375">
        <f>J$6</f>
        <v>2035</v>
      </c>
      <c r="K23" s="375"/>
      <c r="L23" s="375"/>
      <c r="M23" s="236"/>
      <c r="N23" s="236"/>
    </row>
    <row r="24" spans="1:14" x14ac:dyDescent="0.2">
      <c r="A24" s="254"/>
      <c r="B24" s="255" t="s">
        <v>361</v>
      </c>
      <c r="C24" s="255" t="s">
        <v>362</v>
      </c>
      <c r="D24" s="255" t="s">
        <v>33</v>
      </c>
      <c r="E24" s="255"/>
      <c r="F24" s="255" t="s">
        <v>361</v>
      </c>
      <c r="G24" s="255" t="s">
        <v>362</v>
      </c>
      <c r="H24" s="255" t="s">
        <v>33</v>
      </c>
      <c r="I24" s="255"/>
      <c r="J24" s="255" t="s">
        <v>361</v>
      </c>
      <c r="K24" s="255" t="s">
        <v>362</v>
      </c>
      <c r="L24" s="255" t="s">
        <v>33</v>
      </c>
      <c r="M24" s="236"/>
      <c r="N24" s="236"/>
    </row>
    <row r="25" spans="1:14" x14ac:dyDescent="0.2">
      <c r="A25" s="258"/>
      <c r="B25" s="259"/>
      <c r="C25" s="259"/>
      <c r="D25" s="259"/>
      <c r="E25" s="259"/>
      <c r="F25" s="259"/>
      <c r="G25" s="259"/>
      <c r="H25" s="259"/>
      <c r="I25" s="259"/>
      <c r="J25" s="259"/>
      <c r="K25" s="259"/>
      <c r="L25" s="259"/>
      <c r="M25" s="236"/>
      <c r="N25" s="236"/>
    </row>
    <row r="26" spans="1:14" x14ac:dyDescent="0.2">
      <c r="A26" s="237" t="str">
        <f>name!E$4</f>
        <v>Managers, directors and senior officials</v>
      </c>
      <c r="B26" s="302">
        <v>0.26367441717503187</v>
      </c>
      <c r="C26" s="302">
        <v>0.61797825978903442</v>
      </c>
      <c r="D26" s="302">
        <f>SUM(B26:C26)</f>
        <v>0.88165267696406624</v>
      </c>
      <c r="E26" s="303"/>
      <c r="F26" s="302">
        <v>0.33109259508222205</v>
      </c>
      <c r="G26" s="302">
        <v>1.0518970429018863</v>
      </c>
      <c r="H26" s="302">
        <f>SUM(F26:G26)</f>
        <v>1.3829896379841085</v>
      </c>
      <c r="I26" s="303"/>
      <c r="J26" s="302">
        <v>0.29176601503093341</v>
      </c>
      <c r="K26" s="302">
        <v>1.2514580453237252</v>
      </c>
      <c r="L26" s="302">
        <f>SUM(J26:K26)</f>
        <v>1.5432240603546585</v>
      </c>
      <c r="M26" s="236"/>
      <c r="N26" s="236"/>
    </row>
    <row r="27" spans="1:14" x14ac:dyDescent="0.2">
      <c r="A27" s="237" t="str">
        <f>name!E$5</f>
        <v>Professional occupations</v>
      </c>
      <c r="B27" s="302">
        <v>0.36234001630439583</v>
      </c>
      <c r="C27" s="302">
        <v>0.35009067458702497</v>
      </c>
      <c r="D27" s="302">
        <f t="shared" ref="D27:D34" si="7">SUM(B27:C27)</f>
        <v>0.71243069089142086</v>
      </c>
      <c r="E27" s="303"/>
      <c r="F27" s="302">
        <v>0.54125054405743256</v>
      </c>
      <c r="G27" s="302">
        <v>0.65302153503223626</v>
      </c>
      <c r="H27" s="302">
        <f t="shared" ref="H27:H34" si="8">SUM(F27:G27)</f>
        <v>1.1942720790896688</v>
      </c>
      <c r="I27" s="303"/>
      <c r="J27" s="302">
        <v>0.59844023907394317</v>
      </c>
      <c r="K27" s="302">
        <v>0.94099736080906748</v>
      </c>
      <c r="L27" s="302">
        <f t="shared" ref="L27:L34" si="9">SUM(J27:K27)</f>
        <v>1.5394375998830108</v>
      </c>
      <c r="M27" s="236"/>
      <c r="N27" s="236"/>
    </row>
    <row r="28" spans="1:14" x14ac:dyDescent="0.2">
      <c r="A28" s="237" t="str">
        <f>name!E$6</f>
        <v>Associate professional occupations</v>
      </c>
      <c r="B28" s="302">
        <v>0.18753298371093127</v>
      </c>
      <c r="C28" s="302">
        <v>0.26052334456938786</v>
      </c>
      <c r="D28" s="302">
        <f t="shared" si="7"/>
        <v>0.44805632828031916</v>
      </c>
      <c r="E28" s="303"/>
      <c r="F28" s="302">
        <v>0.22239662686091294</v>
      </c>
      <c r="G28" s="302">
        <v>0.41212472878673601</v>
      </c>
      <c r="H28" s="302">
        <f t="shared" si="8"/>
        <v>0.634521355647649</v>
      </c>
      <c r="I28" s="303"/>
      <c r="J28" s="302">
        <v>0.22605100303837244</v>
      </c>
      <c r="K28" s="302">
        <v>0.39817615801803979</v>
      </c>
      <c r="L28" s="302">
        <f t="shared" si="9"/>
        <v>0.62422716105641229</v>
      </c>
      <c r="M28" s="236"/>
      <c r="N28" s="236"/>
    </row>
    <row r="29" spans="1:14" x14ac:dyDescent="0.2">
      <c r="A29" s="237" t="str">
        <f>name!E$7</f>
        <v>Administrative and secretarial occupations</v>
      </c>
      <c r="B29" s="302">
        <v>0.68241418869836135</v>
      </c>
      <c r="C29" s="302">
        <v>7.8777020209606849E-2</v>
      </c>
      <c r="D29" s="302">
        <f t="shared" si="7"/>
        <v>0.76119120890796821</v>
      </c>
      <c r="E29" s="303"/>
      <c r="F29" s="302">
        <v>0.45009780233984703</v>
      </c>
      <c r="G29" s="302">
        <v>0.10232338259529677</v>
      </c>
      <c r="H29" s="302">
        <f t="shared" si="8"/>
        <v>0.55242118493514381</v>
      </c>
      <c r="I29" s="303"/>
      <c r="J29" s="302">
        <v>0.27801430542288275</v>
      </c>
      <c r="K29" s="302">
        <v>8.2206264962499581E-2</v>
      </c>
      <c r="L29" s="302">
        <f t="shared" si="9"/>
        <v>0.36022057038538235</v>
      </c>
      <c r="M29" s="236"/>
      <c r="N29" s="236"/>
    </row>
    <row r="30" spans="1:14" x14ac:dyDescent="0.2">
      <c r="A30" s="237" t="str">
        <f>name!E$8</f>
        <v>Skilled trades occupations</v>
      </c>
      <c r="B30" s="302">
        <v>1.3597500956150699</v>
      </c>
      <c r="C30" s="302">
        <v>5.0446304132986883</v>
      </c>
      <c r="D30" s="302">
        <f t="shared" si="7"/>
        <v>6.404380508913758</v>
      </c>
      <c r="E30" s="303"/>
      <c r="F30" s="302">
        <v>1.7401390022896404</v>
      </c>
      <c r="G30" s="302">
        <v>5.7496565478641353</v>
      </c>
      <c r="H30" s="302">
        <f t="shared" si="8"/>
        <v>7.4897955501537758</v>
      </c>
      <c r="I30" s="303"/>
      <c r="J30" s="302">
        <v>1.7056291712520359</v>
      </c>
      <c r="K30" s="302">
        <v>4.6773919302564924</v>
      </c>
      <c r="L30" s="302">
        <f t="shared" si="9"/>
        <v>6.3830211015085281</v>
      </c>
      <c r="M30" s="236"/>
      <c r="N30" s="236"/>
    </row>
    <row r="31" spans="1:14" x14ac:dyDescent="0.2">
      <c r="A31" s="237" t="str">
        <f>name!E$9</f>
        <v>Caring, leisure and other service occupations</v>
      </c>
      <c r="B31" s="302">
        <v>0.32706813612687996</v>
      </c>
      <c r="C31" s="302">
        <v>0.17407461319804868</v>
      </c>
      <c r="D31" s="302">
        <f t="shared" si="7"/>
        <v>0.50114274932492864</v>
      </c>
      <c r="E31" s="303"/>
      <c r="F31" s="302">
        <v>0.22690377079107249</v>
      </c>
      <c r="G31" s="302">
        <v>0.22936624783635443</v>
      </c>
      <c r="H31" s="302">
        <f t="shared" si="8"/>
        <v>0.45627001862742689</v>
      </c>
      <c r="I31" s="303"/>
      <c r="J31" s="302">
        <v>0.14043796439292563</v>
      </c>
      <c r="K31" s="302">
        <v>0.30620572228569432</v>
      </c>
      <c r="L31" s="302">
        <f t="shared" si="9"/>
        <v>0.44664368667861998</v>
      </c>
      <c r="M31" s="236"/>
      <c r="N31" s="236"/>
    </row>
    <row r="32" spans="1:14" x14ac:dyDescent="0.2">
      <c r="A32" s="237" t="str">
        <f>name!E$10</f>
        <v>Sales and customer service occupations</v>
      </c>
      <c r="B32" s="302">
        <v>0.10018366133557348</v>
      </c>
      <c r="C32" s="302">
        <v>0.28383890531842404</v>
      </c>
      <c r="D32" s="302">
        <f t="shared" si="7"/>
        <v>0.38402256665399753</v>
      </c>
      <c r="E32" s="303"/>
      <c r="F32" s="302">
        <v>8.5150004621608516E-2</v>
      </c>
      <c r="G32" s="302">
        <v>0.346505177535394</v>
      </c>
      <c r="H32" s="302">
        <f t="shared" si="8"/>
        <v>0.43165518215700249</v>
      </c>
      <c r="I32" s="303"/>
      <c r="J32" s="302">
        <v>7.5752693450365796E-2</v>
      </c>
      <c r="K32" s="302">
        <v>0.35155451051240744</v>
      </c>
      <c r="L32" s="302">
        <f t="shared" si="9"/>
        <v>0.42730720396277322</v>
      </c>
      <c r="M32" s="236"/>
      <c r="N32" s="236"/>
    </row>
    <row r="33" spans="1:18" x14ac:dyDescent="0.2">
      <c r="A33" s="237" t="str">
        <f>name!E$11</f>
        <v>Process, plant and machine operatives</v>
      </c>
      <c r="B33" s="302">
        <v>0.16772174259285347</v>
      </c>
      <c r="C33" s="302">
        <v>0.38250184346425076</v>
      </c>
      <c r="D33" s="302">
        <f t="shared" si="7"/>
        <v>0.5502235860571042</v>
      </c>
      <c r="E33" s="303"/>
      <c r="F33" s="302">
        <v>0.12817231575834606</v>
      </c>
      <c r="G33" s="302">
        <v>0.47679845619434458</v>
      </c>
      <c r="H33" s="302">
        <f t="shared" si="8"/>
        <v>0.60497077195269067</v>
      </c>
      <c r="I33" s="303"/>
      <c r="J33" s="302">
        <v>7.4096921819239034E-2</v>
      </c>
      <c r="K33" s="302">
        <v>0.50800550515237941</v>
      </c>
      <c r="L33" s="302">
        <f t="shared" si="9"/>
        <v>0.5821024269716184</v>
      </c>
      <c r="M33" s="236"/>
      <c r="N33" s="236"/>
    </row>
    <row r="34" spans="1:18" x14ac:dyDescent="0.2">
      <c r="A34" s="237" t="str">
        <f>name!E$12</f>
        <v>Elementary occupations</v>
      </c>
      <c r="B34" s="302">
        <v>0.55700498980053426</v>
      </c>
      <c r="C34" s="302">
        <v>1.1918946942059196</v>
      </c>
      <c r="D34" s="302">
        <f t="shared" si="7"/>
        <v>1.7488996840064539</v>
      </c>
      <c r="E34" s="303"/>
      <c r="F34" s="302">
        <v>0.3055585842867547</v>
      </c>
      <c r="G34" s="302">
        <v>1.2825456351658027</v>
      </c>
      <c r="H34" s="302">
        <f t="shared" si="8"/>
        <v>1.5881042194525574</v>
      </c>
      <c r="I34" s="303"/>
      <c r="J34" s="302">
        <v>0.3927916557539699</v>
      </c>
      <c r="K34" s="302">
        <v>1.5850245334450517</v>
      </c>
      <c r="L34" s="302">
        <f t="shared" si="9"/>
        <v>1.9778161891990216</v>
      </c>
      <c r="M34" s="236"/>
      <c r="N34" s="236"/>
    </row>
    <row r="35" spans="1:18" x14ac:dyDescent="0.2">
      <c r="A35" s="237"/>
      <c r="B35" s="302"/>
      <c r="C35" s="302"/>
      <c r="D35" s="302"/>
      <c r="E35" s="303"/>
      <c r="F35" s="302"/>
      <c r="G35" s="302"/>
      <c r="H35" s="302"/>
      <c r="I35" s="303"/>
      <c r="J35" s="302"/>
      <c r="K35" s="302"/>
      <c r="L35" s="302"/>
      <c r="M35" s="236"/>
      <c r="N35" s="312"/>
      <c r="R35" s="313"/>
    </row>
    <row r="36" spans="1:18" x14ac:dyDescent="0.2">
      <c r="A36" s="244" t="s">
        <v>33</v>
      </c>
      <c r="B36" s="311">
        <f>SUM(B26:B34)</f>
        <v>4.0076902313596321</v>
      </c>
      <c r="C36" s="311">
        <f t="shared" ref="C36:K36" si="10">SUM(C26:C34)</f>
        <v>8.3843097686403851</v>
      </c>
      <c r="D36" s="311">
        <f t="shared" si="10"/>
        <v>12.392000000000017</v>
      </c>
      <c r="E36" s="311"/>
      <c r="F36" s="311">
        <f t="shared" si="10"/>
        <v>4.0307612460878364</v>
      </c>
      <c r="G36" s="311">
        <f t="shared" si="10"/>
        <v>10.304238753912188</v>
      </c>
      <c r="H36" s="311">
        <f t="shared" si="10"/>
        <v>14.335000000000022</v>
      </c>
      <c r="I36" s="311"/>
      <c r="J36" s="311">
        <f t="shared" si="10"/>
        <v>3.7829799692346677</v>
      </c>
      <c r="K36" s="311">
        <f t="shared" si="10"/>
        <v>10.101020030765358</v>
      </c>
      <c r="L36" s="311">
        <f>SUM(L26:L34)</f>
        <v>13.884000000000023</v>
      </c>
      <c r="M36" s="236"/>
      <c r="N36" s="236"/>
    </row>
    <row r="37" spans="1:18" x14ac:dyDescent="0.2">
      <c r="A37" s="237"/>
      <c r="B37" s="237"/>
      <c r="C37" s="237"/>
      <c r="D37" s="237"/>
      <c r="E37" s="237"/>
      <c r="F37" s="237"/>
      <c r="G37" s="237"/>
      <c r="H37" s="237"/>
      <c r="I37" s="237"/>
      <c r="J37" s="237"/>
      <c r="K37" s="237"/>
      <c r="L37" s="240"/>
      <c r="M37" s="236"/>
      <c r="N37" s="236"/>
    </row>
    <row r="38" spans="1:18" x14ac:dyDescent="0.2">
      <c r="A38" s="237"/>
      <c r="B38" s="237"/>
      <c r="C38" s="237"/>
      <c r="D38" s="237"/>
      <c r="E38" s="237"/>
      <c r="F38" s="237"/>
      <c r="G38" s="237"/>
      <c r="H38" s="237"/>
      <c r="I38" s="237"/>
      <c r="J38" s="237"/>
      <c r="K38" s="237"/>
      <c r="L38" s="256" t="s">
        <v>36</v>
      </c>
      <c r="M38" s="236"/>
      <c r="N38" s="236"/>
    </row>
    <row r="39" spans="1:18" x14ac:dyDescent="0.2">
      <c r="A39" s="242"/>
      <c r="B39" s="250"/>
      <c r="C39" s="250"/>
      <c r="D39" s="250"/>
      <c r="E39" s="250"/>
      <c r="F39" s="250"/>
      <c r="G39" s="250"/>
      <c r="H39" s="250"/>
      <c r="I39" s="250"/>
      <c r="J39" s="250"/>
      <c r="K39" s="250"/>
      <c r="L39" s="236"/>
      <c r="M39" s="236"/>
      <c r="N39" s="236"/>
    </row>
    <row r="40" spans="1:18" x14ac:dyDescent="0.2">
      <c r="A40" s="241" t="str">
        <f>name!B5</f>
        <v>Mining and quarrying</v>
      </c>
      <c r="B40" s="375">
        <f>B$6</f>
        <v>2015</v>
      </c>
      <c r="C40" s="375"/>
      <c r="D40" s="375"/>
      <c r="E40" s="253"/>
      <c r="F40" s="375">
        <f>F23</f>
        <v>2020</v>
      </c>
      <c r="G40" s="375"/>
      <c r="H40" s="375"/>
      <c r="I40" s="253"/>
      <c r="J40" s="375">
        <f>J23</f>
        <v>2035</v>
      </c>
      <c r="K40" s="375"/>
      <c r="L40" s="375"/>
      <c r="M40" s="236"/>
      <c r="N40" s="236"/>
    </row>
    <row r="41" spans="1:18" x14ac:dyDescent="0.2">
      <c r="A41" s="254"/>
      <c r="B41" s="255" t="s">
        <v>361</v>
      </c>
      <c r="C41" s="255" t="s">
        <v>362</v>
      </c>
      <c r="D41" s="255" t="s">
        <v>33</v>
      </c>
      <c r="E41" s="255"/>
      <c r="F41" s="255" t="s">
        <v>361</v>
      </c>
      <c r="G41" s="255" t="s">
        <v>362</v>
      </c>
      <c r="H41" s="255" t="s">
        <v>33</v>
      </c>
      <c r="I41" s="255"/>
      <c r="J41" s="255" t="s">
        <v>361</v>
      </c>
      <c r="K41" s="255" t="s">
        <v>362</v>
      </c>
      <c r="L41" s="255" t="s">
        <v>33</v>
      </c>
      <c r="M41" s="236"/>
      <c r="N41" s="236"/>
    </row>
    <row r="42" spans="1:18" x14ac:dyDescent="0.2">
      <c r="A42" s="258"/>
      <c r="B42" s="259"/>
      <c r="C42" s="259"/>
      <c r="D42" s="259"/>
      <c r="E42" s="259"/>
      <c r="F42" s="259"/>
      <c r="G42" s="259"/>
      <c r="H42" s="259"/>
      <c r="I42" s="259"/>
      <c r="J42" s="259"/>
      <c r="K42" s="259"/>
      <c r="L42" s="259"/>
      <c r="M42" s="236"/>
      <c r="N42" s="236"/>
    </row>
    <row r="43" spans="1:18" x14ac:dyDescent="0.2">
      <c r="A43" s="237" t="str">
        <f>name!E$4</f>
        <v>Managers, directors and senior officials</v>
      </c>
      <c r="B43" s="302">
        <v>7.3851895875274142E-3</v>
      </c>
      <c r="C43" s="302">
        <v>4.6489410096368602E-2</v>
      </c>
      <c r="D43" s="302">
        <f>SUM(B43:C43)</f>
        <v>5.3874599683896018E-2</v>
      </c>
      <c r="E43" s="303"/>
      <c r="F43" s="302">
        <v>1.2279017751229096E-2</v>
      </c>
      <c r="G43" s="302">
        <v>7.3909133534459034E-2</v>
      </c>
      <c r="H43" s="302">
        <f>SUM(F43:G43)</f>
        <v>8.618815128568813E-2</v>
      </c>
      <c r="I43" s="303"/>
      <c r="J43" s="302">
        <v>6.0505943163899753E-3</v>
      </c>
      <c r="K43" s="302">
        <v>4.5994447601465455E-2</v>
      </c>
      <c r="L43" s="302">
        <f>SUM(J43:K43)</f>
        <v>5.2045041917855431E-2</v>
      </c>
      <c r="M43" s="236"/>
      <c r="N43" s="236"/>
    </row>
    <row r="44" spans="1:18" x14ac:dyDescent="0.2">
      <c r="A44" s="237" t="str">
        <f>name!E$5</f>
        <v>Professional occupations</v>
      </c>
      <c r="B44" s="302">
        <v>1.4775509801963361E-2</v>
      </c>
      <c r="C44" s="302">
        <v>6.2050176344798633E-2</v>
      </c>
      <c r="D44" s="302">
        <f t="shared" ref="D44:D51" si="11">SUM(B44:C44)</f>
        <v>7.6825686146761996E-2</v>
      </c>
      <c r="E44" s="303"/>
      <c r="F44" s="302">
        <v>2.3478878132526006E-2</v>
      </c>
      <c r="G44" s="302">
        <v>0.11053657890535226</v>
      </c>
      <c r="H44" s="302">
        <f t="shared" ref="H44:H51" si="12">SUM(F44:G44)</f>
        <v>0.13401545703787826</v>
      </c>
      <c r="I44" s="303"/>
      <c r="J44" s="302">
        <v>1.2679814855147291E-2</v>
      </c>
      <c r="K44" s="302">
        <v>9.3636704979347687E-2</v>
      </c>
      <c r="L44" s="302">
        <f t="shared" ref="L44:L51" si="13">SUM(J44:K44)</f>
        <v>0.10631651983449497</v>
      </c>
      <c r="M44" s="236"/>
      <c r="N44" s="236"/>
    </row>
    <row r="45" spans="1:18" x14ac:dyDescent="0.2">
      <c r="A45" s="237" t="str">
        <f>name!E$6</f>
        <v>Associate professional occupations</v>
      </c>
      <c r="B45" s="302">
        <v>8.4868068691071382E-3</v>
      </c>
      <c r="C45" s="302">
        <v>4.8735359780251175E-2</v>
      </c>
      <c r="D45" s="302">
        <f t="shared" si="11"/>
        <v>5.7222166649358315E-2</v>
      </c>
      <c r="E45" s="303"/>
      <c r="F45" s="302">
        <v>1.1478407274465223E-2</v>
      </c>
      <c r="G45" s="302">
        <v>8.0758762717958565E-2</v>
      </c>
      <c r="H45" s="302">
        <f t="shared" si="12"/>
        <v>9.223716999242379E-2</v>
      </c>
      <c r="I45" s="303"/>
      <c r="J45" s="302">
        <v>7.0259984055638727E-3</v>
      </c>
      <c r="K45" s="302">
        <v>4.8328247629996296E-2</v>
      </c>
      <c r="L45" s="302">
        <f t="shared" si="13"/>
        <v>5.5354246035560169E-2</v>
      </c>
      <c r="M45" s="236"/>
      <c r="N45" s="236"/>
    </row>
    <row r="46" spans="1:18" x14ac:dyDescent="0.2">
      <c r="A46" s="237" t="str">
        <f>name!E$7</f>
        <v>Administrative and secretarial occupations</v>
      </c>
      <c r="B46" s="302">
        <v>3.4059034006480915E-2</v>
      </c>
      <c r="C46" s="302">
        <v>1.2783422985003305E-2</v>
      </c>
      <c r="D46" s="302">
        <f t="shared" si="11"/>
        <v>4.6842456991484219E-2</v>
      </c>
      <c r="E46" s="303"/>
      <c r="F46" s="302">
        <v>4.2147117133092868E-2</v>
      </c>
      <c r="G46" s="302">
        <v>2.1757705589384141E-2</v>
      </c>
      <c r="H46" s="302">
        <f t="shared" si="12"/>
        <v>6.3904822722477009E-2</v>
      </c>
      <c r="I46" s="303"/>
      <c r="J46" s="302">
        <v>2.1757707732177237E-2</v>
      </c>
      <c r="K46" s="302">
        <v>1.3023722235879132E-2</v>
      </c>
      <c r="L46" s="302">
        <f t="shared" si="13"/>
        <v>3.4781429968056367E-2</v>
      </c>
      <c r="M46" s="236"/>
      <c r="N46" s="236"/>
    </row>
    <row r="47" spans="1:18" x14ac:dyDescent="0.2">
      <c r="A47" s="237" t="str">
        <f>name!E$8</f>
        <v>Skilled trades occupations</v>
      </c>
      <c r="B47" s="302">
        <v>3.6913639567132625E-3</v>
      </c>
      <c r="C47" s="302">
        <v>0.2388679140291611</v>
      </c>
      <c r="D47" s="302">
        <f t="shared" si="11"/>
        <v>0.24255927798587437</v>
      </c>
      <c r="E47" s="303"/>
      <c r="F47" s="302">
        <v>3.0839071206552153E-3</v>
      </c>
      <c r="G47" s="302">
        <v>0.2751491218209336</v>
      </c>
      <c r="H47" s="302">
        <f>SUM(F47:G47)</f>
        <v>0.2782330289415888</v>
      </c>
      <c r="I47" s="303"/>
      <c r="J47" s="302">
        <v>1.8076294079694933E-3</v>
      </c>
      <c r="K47" s="302">
        <v>0.14612013751198918</v>
      </c>
      <c r="L47" s="302">
        <f t="shared" si="13"/>
        <v>0.14792776691995868</v>
      </c>
      <c r="M47" s="236"/>
      <c r="N47" s="236"/>
    </row>
    <row r="48" spans="1:18" x14ac:dyDescent="0.2">
      <c r="A48" s="237" t="str">
        <f>name!E$9</f>
        <v>Caring, leisure and other service occupations</v>
      </c>
      <c r="B48" s="302">
        <v>1.1811970248500824E-2</v>
      </c>
      <c r="C48" s="302">
        <v>4.4892596037461145E-3</v>
      </c>
      <c r="D48" s="302">
        <f t="shared" si="11"/>
        <v>1.630122985224694E-2</v>
      </c>
      <c r="E48" s="303"/>
      <c r="F48" s="302">
        <v>9.2159158042328347E-3</v>
      </c>
      <c r="G48" s="302">
        <v>9.0134648081489251E-3</v>
      </c>
      <c r="H48" s="302">
        <f t="shared" si="12"/>
        <v>1.822938061238176E-2</v>
      </c>
      <c r="I48" s="303"/>
      <c r="J48" s="302">
        <v>5.4514669319005718E-3</v>
      </c>
      <c r="K48" s="302">
        <v>5.7933444806164058E-3</v>
      </c>
      <c r="L48" s="302">
        <f t="shared" si="13"/>
        <v>1.1244811412516978E-2</v>
      </c>
      <c r="M48" s="236"/>
      <c r="N48" s="236"/>
    </row>
    <row r="49" spans="1:14" x14ac:dyDescent="0.2">
      <c r="A49" s="237" t="str">
        <f>name!E$10</f>
        <v>Sales and customer service occupations</v>
      </c>
      <c r="B49" s="302">
        <v>8.6230413818334309E-3</v>
      </c>
      <c r="C49" s="302">
        <v>1.0737910004945084E-2</v>
      </c>
      <c r="D49" s="302">
        <f t="shared" si="11"/>
        <v>1.9360951386778513E-2</v>
      </c>
      <c r="E49" s="303"/>
      <c r="F49" s="302">
        <v>9.7415173899948904E-3</v>
      </c>
      <c r="G49" s="302">
        <v>1.7530193554125439E-2</v>
      </c>
      <c r="H49" s="302">
        <f t="shared" si="12"/>
        <v>2.7271710944120328E-2</v>
      </c>
      <c r="I49" s="303"/>
      <c r="J49" s="302">
        <v>5.5333311301912552E-3</v>
      </c>
      <c r="K49" s="302">
        <v>1.0855826093682642E-2</v>
      </c>
      <c r="L49" s="302">
        <f t="shared" si="13"/>
        <v>1.6389157223873897E-2</v>
      </c>
      <c r="M49" s="236"/>
      <c r="N49" s="236"/>
    </row>
    <row r="50" spans="1:14" x14ac:dyDescent="0.2">
      <c r="A50" s="237" t="str">
        <f>name!E$11</f>
        <v>Process, plant and machine operatives</v>
      </c>
      <c r="B50" s="302">
        <v>7.2744291090098756E-3</v>
      </c>
      <c r="C50" s="302">
        <v>0.14801245886217865</v>
      </c>
      <c r="D50" s="302">
        <f t="shared" si="11"/>
        <v>0.15528688797118853</v>
      </c>
      <c r="E50" s="303"/>
      <c r="F50" s="302">
        <v>6.5228777123494232E-3</v>
      </c>
      <c r="G50" s="302">
        <v>0.17152721299536949</v>
      </c>
      <c r="H50" s="302">
        <f t="shared" si="12"/>
        <v>0.17805009070771891</v>
      </c>
      <c r="I50" s="303"/>
      <c r="J50" s="302">
        <v>5.6379194303933025E-3</v>
      </c>
      <c r="K50" s="302">
        <v>8.3886937532349007E-2</v>
      </c>
      <c r="L50" s="302">
        <f t="shared" si="13"/>
        <v>8.9524856962742316E-2</v>
      </c>
      <c r="M50" s="236"/>
      <c r="N50" s="236"/>
    </row>
    <row r="51" spans="1:14" x14ac:dyDescent="0.2">
      <c r="A51" s="237" t="str">
        <f>name!E$12</f>
        <v>Elementary occupations</v>
      </c>
      <c r="B51" s="302">
        <v>7.3919387065299238E-3</v>
      </c>
      <c r="C51" s="302">
        <v>3.4334804625881628E-2</v>
      </c>
      <c r="D51" s="302">
        <f t="shared" si="11"/>
        <v>4.1726743332411553E-2</v>
      </c>
      <c r="E51" s="303"/>
      <c r="F51" s="302">
        <v>5.333819449930278E-3</v>
      </c>
      <c r="G51" s="302">
        <v>3.8536368305792677E-2</v>
      </c>
      <c r="H51" s="302">
        <f t="shared" si="12"/>
        <v>4.3870187755722954E-2</v>
      </c>
      <c r="I51" s="303"/>
      <c r="J51" s="302">
        <v>4.9496648366515695E-3</v>
      </c>
      <c r="K51" s="302">
        <v>2.2466504888288729E-2</v>
      </c>
      <c r="L51" s="302">
        <f t="shared" si="13"/>
        <v>2.7416169724940299E-2</v>
      </c>
      <c r="M51" s="236"/>
      <c r="N51" s="236"/>
    </row>
    <row r="52" spans="1:14" x14ac:dyDescent="0.2">
      <c r="A52" s="237"/>
      <c r="B52" s="302"/>
      <c r="C52" s="302"/>
      <c r="D52" s="302"/>
      <c r="E52" s="303"/>
      <c r="F52" s="302"/>
      <c r="G52" s="302"/>
      <c r="H52" s="302"/>
      <c r="I52" s="303"/>
      <c r="J52" s="302"/>
      <c r="K52" s="302"/>
      <c r="L52" s="302"/>
      <c r="M52" s="236"/>
      <c r="N52" s="236"/>
    </row>
    <row r="53" spans="1:14" x14ac:dyDescent="0.2">
      <c r="A53" s="244" t="s">
        <v>33</v>
      </c>
      <c r="B53" s="311">
        <f>SUM(B43:B51)</f>
        <v>0.10349928366766614</v>
      </c>
      <c r="C53" s="311">
        <f t="shared" ref="C53:L53" si="14">SUM(C43:C51)</f>
        <v>0.60650071633233438</v>
      </c>
      <c r="D53" s="311">
        <f t="shared" si="14"/>
        <v>0.71000000000000041</v>
      </c>
      <c r="E53" s="311"/>
      <c r="F53" s="311">
        <f t="shared" si="14"/>
        <v>0.12328145776847584</v>
      </c>
      <c r="G53" s="311">
        <f t="shared" si="14"/>
        <v>0.79871854223152394</v>
      </c>
      <c r="H53" s="311">
        <f t="shared" si="14"/>
        <v>0.92199999999999993</v>
      </c>
      <c r="I53" s="311"/>
      <c r="J53" s="311">
        <f t="shared" si="14"/>
        <v>7.0894127046384578E-2</v>
      </c>
      <c r="K53" s="311">
        <f t="shared" si="14"/>
        <v>0.4701058729536145</v>
      </c>
      <c r="L53" s="311">
        <f t="shared" si="14"/>
        <v>0.54099999999999915</v>
      </c>
      <c r="M53" s="236"/>
      <c r="N53" s="236"/>
    </row>
    <row r="54" spans="1:14" x14ac:dyDescent="0.2">
      <c r="A54" s="237"/>
      <c r="B54" s="237"/>
      <c r="C54" s="237"/>
      <c r="D54" s="237"/>
      <c r="E54" s="237"/>
      <c r="F54" s="237"/>
      <c r="G54" s="237"/>
      <c r="H54" s="237"/>
      <c r="I54" s="237"/>
      <c r="J54" s="237"/>
      <c r="K54" s="237"/>
      <c r="L54" s="240"/>
      <c r="M54" s="236"/>
      <c r="N54" s="236"/>
    </row>
    <row r="55" spans="1:14" x14ac:dyDescent="0.2">
      <c r="A55" s="237"/>
      <c r="B55" s="237"/>
      <c r="C55" s="237"/>
      <c r="D55" s="237"/>
      <c r="E55" s="237"/>
      <c r="F55" s="237"/>
      <c r="G55" s="237"/>
      <c r="H55" s="237"/>
      <c r="I55" s="237"/>
      <c r="J55" s="237"/>
      <c r="K55" s="237"/>
      <c r="L55" s="256" t="s">
        <v>36</v>
      </c>
      <c r="M55" s="236"/>
      <c r="N55" s="236"/>
    </row>
    <row r="56" spans="1:14" x14ac:dyDescent="0.2">
      <c r="A56" s="242"/>
      <c r="B56" s="250"/>
      <c r="C56" s="250"/>
      <c r="D56" s="250"/>
      <c r="E56" s="250"/>
      <c r="F56" s="250"/>
      <c r="G56" s="250"/>
      <c r="H56" s="250"/>
      <c r="I56" s="250"/>
      <c r="J56" s="250"/>
      <c r="K56" s="250"/>
      <c r="L56" s="236"/>
      <c r="M56" s="236"/>
      <c r="N56" s="236"/>
    </row>
    <row r="57" spans="1:14" x14ac:dyDescent="0.2">
      <c r="A57" s="241" t="str">
        <f>name!B6</f>
        <v>Food drink and tobacco</v>
      </c>
      <c r="B57" s="375">
        <f>B$6</f>
        <v>2015</v>
      </c>
      <c r="C57" s="375"/>
      <c r="D57" s="375"/>
      <c r="E57" s="253"/>
      <c r="F57" s="375">
        <f>F40</f>
        <v>2020</v>
      </c>
      <c r="G57" s="375"/>
      <c r="H57" s="375"/>
      <c r="I57" s="253"/>
      <c r="J57" s="375">
        <f>J40</f>
        <v>2035</v>
      </c>
      <c r="K57" s="375"/>
      <c r="L57" s="375"/>
      <c r="M57" s="236"/>
      <c r="N57" s="236"/>
    </row>
    <row r="58" spans="1:14" x14ac:dyDescent="0.2">
      <c r="A58" s="254"/>
      <c r="B58" s="255" t="s">
        <v>361</v>
      </c>
      <c r="C58" s="255" t="s">
        <v>362</v>
      </c>
      <c r="D58" s="255" t="s">
        <v>33</v>
      </c>
      <c r="E58" s="255"/>
      <c r="F58" s="255" t="s">
        <v>361</v>
      </c>
      <c r="G58" s="255" t="s">
        <v>362</v>
      </c>
      <c r="H58" s="255" t="s">
        <v>33</v>
      </c>
      <c r="I58" s="255"/>
      <c r="J58" s="255" t="s">
        <v>361</v>
      </c>
      <c r="K58" s="255" t="s">
        <v>362</v>
      </c>
      <c r="L58" s="255" t="s">
        <v>33</v>
      </c>
      <c r="M58" s="236"/>
      <c r="N58" s="236"/>
    </row>
    <row r="59" spans="1:14" x14ac:dyDescent="0.2">
      <c r="A59" s="258"/>
      <c r="B59" s="259"/>
      <c r="C59" s="259"/>
      <c r="D59" s="259"/>
      <c r="E59" s="259"/>
      <c r="F59" s="259"/>
      <c r="G59" s="259"/>
      <c r="H59" s="259"/>
      <c r="I59" s="259"/>
      <c r="J59" s="259"/>
      <c r="K59" s="259"/>
      <c r="L59" s="259"/>
      <c r="M59" s="236"/>
      <c r="N59" s="236"/>
    </row>
    <row r="60" spans="1:14" x14ac:dyDescent="0.2">
      <c r="A60" s="237" t="str">
        <f>name!E$4</f>
        <v>Managers, directors and senior officials</v>
      </c>
      <c r="B60" s="302">
        <v>0.61479786610803489</v>
      </c>
      <c r="C60" s="302">
        <v>1.2495784977511757</v>
      </c>
      <c r="D60" s="302">
        <f>SUM(B60:C60)</f>
        <v>1.8643763638592106</v>
      </c>
      <c r="E60" s="303"/>
      <c r="F60" s="302">
        <v>0.78391756669987589</v>
      </c>
      <c r="G60" s="302">
        <v>1.6274329233911891</v>
      </c>
      <c r="H60" s="302">
        <f>SUM(F60:G60)</f>
        <v>2.4113504900910652</v>
      </c>
      <c r="I60" s="303"/>
      <c r="J60" s="302">
        <v>0.8019227215747593</v>
      </c>
      <c r="K60" s="302">
        <v>1.5114508848880008</v>
      </c>
      <c r="L60" s="302">
        <f>SUM(J60:K60)</f>
        <v>2.3133736064627604</v>
      </c>
      <c r="M60" s="236"/>
      <c r="N60" s="236"/>
    </row>
    <row r="61" spans="1:14" x14ac:dyDescent="0.2">
      <c r="A61" s="237" t="str">
        <f>name!E$5</f>
        <v>Professional occupations</v>
      </c>
      <c r="B61" s="302">
        <v>0.76910721867159826</v>
      </c>
      <c r="C61" s="302">
        <v>1.2395555040461885</v>
      </c>
      <c r="D61" s="302">
        <f t="shared" ref="D61:D68" si="15">SUM(B61:C61)</f>
        <v>2.0086627227177867</v>
      </c>
      <c r="E61" s="303"/>
      <c r="F61" s="302">
        <v>1.0885485677680982</v>
      </c>
      <c r="G61" s="302">
        <v>1.7066738961208821</v>
      </c>
      <c r="H61" s="302">
        <f t="shared" ref="H61:H68" si="16">SUM(F61:G61)</f>
        <v>2.7952224638889804</v>
      </c>
      <c r="I61" s="303"/>
      <c r="J61" s="302">
        <v>1.4522822709559939</v>
      </c>
      <c r="K61" s="302">
        <v>2.5583981273395437</v>
      </c>
      <c r="L61" s="302">
        <f t="shared" ref="L61:L68" si="17">SUM(J61:K61)</f>
        <v>4.0106803982955377</v>
      </c>
      <c r="M61" s="236"/>
      <c r="N61" s="236"/>
    </row>
    <row r="62" spans="1:14" x14ac:dyDescent="0.2">
      <c r="A62" s="237" t="str">
        <f>name!E$6</f>
        <v>Associate professional occupations</v>
      </c>
      <c r="B62" s="302">
        <v>0.93367796446740814</v>
      </c>
      <c r="C62" s="302">
        <v>1.7018309387751429</v>
      </c>
      <c r="D62" s="302">
        <f t="shared" si="15"/>
        <v>2.6355089032425512</v>
      </c>
      <c r="E62" s="303"/>
      <c r="F62" s="302">
        <v>1.1751713104069452</v>
      </c>
      <c r="G62" s="302">
        <v>2.3759423301415863</v>
      </c>
      <c r="H62" s="302">
        <f t="shared" si="16"/>
        <v>3.5511136405485315</v>
      </c>
      <c r="I62" s="303"/>
      <c r="J62" s="302">
        <v>1.4152686115056954</v>
      </c>
      <c r="K62" s="302">
        <v>2.4417250213293209</v>
      </c>
      <c r="L62" s="302">
        <f t="shared" si="17"/>
        <v>3.8569936328350165</v>
      </c>
      <c r="M62" s="236"/>
      <c r="N62" s="236"/>
    </row>
    <row r="63" spans="1:14" x14ac:dyDescent="0.2">
      <c r="A63" s="237" t="str">
        <f>name!E$7</f>
        <v>Administrative and secretarial occupations</v>
      </c>
      <c r="B63" s="302">
        <v>1.0720741436573349</v>
      </c>
      <c r="C63" s="302">
        <v>0.38453492007830692</v>
      </c>
      <c r="D63" s="302">
        <f t="shared" si="15"/>
        <v>1.4566090637356419</v>
      </c>
      <c r="E63" s="303"/>
      <c r="F63" s="302">
        <v>1.1461566801523428</v>
      </c>
      <c r="G63" s="302">
        <v>0.49513772546922546</v>
      </c>
      <c r="H63" s="302">
        <f t="shared" si="16"/>
        <v>1.6412944056215684</v>
      </c>
      <c r="I63" s="303"/>
      <c r="J63" s="302">
        <v>1.0320323314246771</v>
      </c>
      <c r="K63" s="302">
        <v>0.50197512415908152</v>
      </c>
      <c r="L63" s="302">
        <f t="shared" si="17"/>
        <v>1.5340074555837586</v>
      </c>
      <c r="M63" s="236"/>
      <c r="N63" s="236"/>
    </row>
    <row r="64" spans="1:14" x14ac:dyDescent="0.2">
      <c r="A64" s="237" t="str">
        <f>name!E$8</f>
        <v>Skilled trades occupations</v>
      </c>
      <c r="B64" s="302">
        <v>0.75798762569462019</v>
      </c>
      <c r="C64" s="302">
        <v>2.3135397965077904</v>
      </c>
      <c r="D64" s="302">
        <f t="shared" si="15"/>
        <v>3.0715274222024105</v>
      </c>
      <c r="E64" s="303"/>
      <c r="F64" s="302">
        <v>0.60623827008387543</v>
      </c>
      <c r="G64" s="302">
        <v>2.0689358564385008</v>
      </c>
      <c r="H64" s="302">
        <f t="shared" si="16"/>
        <v>2.6751741265223763</v>
      </c>
      <c r="I64" s="303"/>
      <c r="J64" s="302">
        <v>0.37142314907568563</v>
      </c>
      <c r="K64" s="302">
        <v>1.8742951521483202</v>
      </c>
      <c r="L64" s="302">
        <f t="shared" si="17"/>
        <v>2.2457183012240058</v>
      </c>
      <c r="M64" s="236"/>
      <c r="N64" s="236"/>
    </row>
    <row r="65" spans="1:14" x14ac:dyDescent="0.2">
      <c r="A65" s="237" t="str">
        <f>name!E$9</f>
        <v>Caring, leisure and other service occupations</v>
      </c>
      <c r="B65" s="302">
        <v>9.93036641706488E-2</v>
      </c>
      <c r="C65" s="302">
        <v>9.7719422341155437E-2</v>
      </c>
      <c r="D65" s="302">
        <f t="shared" si="15"/>
        <v>0.19702308651180422</v>
      </c>
      <c r="E65" s="303"/>
      <c r="F65" s="302">
        <v>8.5757105901598948E-2</v>
      </c>
      <c r="G65" s="302">
        <v>0.1264492072585347</v>
      </c>
      <c r="H65" s="302">
        <f t="shared" si="16"/>
        <v>0.21220631316013366</v>
      </c>
      <c r="I65" s="303"/>
      <c r="J65" s="302">
        <v>6.0488239664376504E-2</v>
      </c>
      <c r="K65" s="302">
        <v>0.12344821883377732</v>
      </c>
      <c r="L65" s="302">
        <f t="shared" si="17"/>
        <v>0.18393645849815382</v>
      </c>
      <c r="M65" s="236"/>
      <c r="N65" s="236"/>
    </row>
    <row r="66" spans="1:14" x14ac:dyDescent="0.2">
      <c r="A66" s="237" t="str">
        <f>name!E$10</f>
        <v>Sales and customer service occupations</v>
      </c>
      <c r="B66" s="302">
        <v>0.22299897299693339</v>
      </c>
      <c r="C66" s="302">
        <v>0.13986756605902909</v>
      </c>
      <c r="D66" s="302">
        <f t="shared" si="15"/>
        <v>0.36286653905596244</v>
      </c>
      <c r="E66" s="303"/>
      <c r="F66" s="302">
        <v>0.22841555673954014</v>
      </c>
      <c r="G66" s="302">
        <v>0.1744092160617067</v>
      </c>
      <c r="H66" s="302">
        <f t="shared" si="16"/>
        <v>0.40282477280124684</v>
      </c>
      <c r="I66" s="303"/>
      <c r="J66" s="302">
        <v>0.21430865563388926</v>
      </c>
      <c r="K66" s="302">
        <v>0.18992372438824515</v>
      </c>
      <c r="L66" s="302">
        <f t="shared" si="17"/>
        <v>0.40423238002213441</v>
      </c>
      <c r="M66" s="236"/>
      <c r="N66" s="236"/>
    </row>
    <row r="67" spans="1:14" x14ac:dyDescent="0.2">
      <c r="A67" s="237" t="str">
        <f>name!E$11</f>
        <v>Process, plant and machine operatives</v>
      </c>
      <c r="B67" s="302">
        <v>1.6169519969693751</v>
      </c>
      <c r="C67" s="302">
        <v>4.5835926597317265</v>
      </c>
      <c r="D67" s="302">
        <f t="shared" si="15"/>
        <v>6.2005446567011013</v>
      </c>
      <c r="E67" s="303"/>
      <c r="F67" s="302">
        <v>1.4074608748384791</v>
      </c>
      <c r="G67" s="302">
        <v>4.4982522105149476</v>
      </c>
      <c r="H67" s="302">
        <f t="shared" si="16"/>
        <v>5.905713085353427</v>
      </c>
      <c r="I67" s="303"/>
      <c r="J67" s="302">
        <v>1.6021899708939473</v>
      </c>
      <c r="K67" s="302">
        <v>3.6965853258489267</v>
      </c>
      <c r="L67" s="302">
        <f t="shared" si="17"/>
        <v>5.2987752967428738</v>
      </c>
      <c r="M67" s="236"/>
      <c r="N67" s="236"/>
    </row>
    <row r="68" spans="1:14" x14ac:dyDescent="0.2">
      <c r="A68" s="237" t="str">
        <f>name!E$12</f>
        <v>Elementary occupations</v>
      </c>
      <c r="B68" s="302">
        <v>1.8817515985382496</v>
      </c>
      <c r="C68" s="302">
        <v>2.6891296434352809</v>
      </c>
      <c r="D68" s="302">
        <f t="shared" si="15"/>
        <v>4.570881241973531</v>
      </c>
      <c r="E68" s="303"/>
      <c r="F68" s="302">
        <v>1.6528116375586146</v>
      </c>
      <c r="G68" s="302">
        <v>2.9042890644540758</v>
      </c>
      <c r="H68" s="302">
        <f t="shared" si="16"/>
        <v>4.5571007020126899</v>
      </c>
      <c r="I68" s="303"/>
      <c r="J68" s="302">
        <v>2.1939042990453541</v>
      </c>
      <c r="K68" s="302">
        <v>3.1503781712904018</v>
      </c>
      <c r="L68" s="302">
        <f t="shared" si="17"/>
        <v>5.3442824703357559</v>
      </c>
      <c r="M68" s="236"/>
      <c r="N68" s="236"/>
    </row>
    <row r="69" spans="1:14" x14ac:dyDescent="0.2">
      <c r="A69" s="237"/>
      <c r="B69" s="302"/>
      <c r="C69" s="302"/>
      <c r="D69" s="302"/>
      <c r="E69" s="303"/>
      <c r="F69" s="302"/>
      <c r="G69" s="302"/>
      <c r="H69" s="302"/>
      <c r="I69" s="303"/>
      <c r="J69" s="302"/>
      <c r="K69" s="302"/>
      <c r="L69" s="302"/>
      <c r="M69" s="236"/>
      <c r="N69" s="236"/>
    </row>
    <row r="70" spans="1:14" x14ac:dyDescent="0.2">
      <c r="A70" s="244" t="s">
        <v>33</v>
      </c>
      <c r="B70" s="311">
        <f>SUM(B60:B68)</f>
        <v>7.968651051274203</v>
      </c>
      <c r="C70" s="311">
        <f t="shared" ref="C70:L70" si="18">SUM(C60:C68)</f>
        <v>14.399348948725796</v>
      </c>
      <c r="D70" s="311">
        <f t="shared" si="18"/>
        <v>22.368000000000002</v>
      </c>
      <c r="E70" s="311"/>
      <c r="F70" s="311">
        <f t="shared" si="18"/>
        <v>8.1744775701493708</v>
      </c>
      <c r="G70" s="311">
        <f t="shared" si="18"/>
        <v>15.977522429850648</v>
      </c>
      <c r="H70" s="311">
        <f t="shared" si="18"/>
        <v>24.152000000000019</v>
      </c>
      <c r="I70" s="311"/>
      <c r="J70" s="311">
        <f t="shared" si="18"/>
        <v>9.1438202497743788</v>
      </c>
      <c r="K70" s="311">
        <f t="shared" si="18"/>
        <v>16.048179750225618</v>
      </c>
      <c r="L70" s="311">
        <f t="shared" si="18"/>
        <v>25.191999999999997</v>
      </c>
      <c r="M70" s="236"/>
      <c r="N70" s="236"/>
    </row>
    <row r="71" spans="1:14" x14ac:dyDescent="0.2">
      <c r="A71" s="237"/>
      <c r="B71" s="237"/>
      <c r="C71" s="237"/>
      <c r="D71" s="237"/>
      <c r="E71" s="237"/>
      <c r="F71" s="237"/>
      <c r="G71" s="237"/>
      <c r="H71" s="237"/>
      <c r="I71" s="237"/>
      <c r="J71" s="237"/>
      <c r="K71" s="237"/>
      <c r="L71" s="240"/>
      <c r="M71" s="236"/>
      <c r="N71" s="236"/>
    </row>
    <row r="72" spans="1:14" x14ac:dyDescent="0.2">
      <c r="A72" s="237"/>
      <c r="B72" s="237"/>
      <c r="C72" s="237"/>
      <c r="D72" s="237"/>
      <c r="E72" s="237"/>
      <c r="F72" s="237"/>
      <c r="G72" s="237"/>
      <c r="H72" s="237"/>
      <c r="I72" s="237"/>
      <c r="J72" s="237"/>
      <c r="K72" s="237"/>
      <c r="L72" s="256" t="s">
        <v>36</v>
      </c>
      <c r="M72" s="236"/>
      <c r="N72" s="236"/>
    </row>
    <row r="73" spans="1:14" x14ac:dyDescent="0.2">
      <c r="A73" s="242"/>
      <c r="B73" s="250"/>
      <c r="C73" s="250"/>
      <c r="D73" s="250"/>
      <c r="E73" s="250"/>
      <c r="F73" s="250"/>
      <c r="G73" s="250"/>
      <c r="H73" s="250"/>
      <c r="I73" s="250"/>
      <c r="J73" s="250"/>
      <c r="K73" s="250"/>
      <c r="L73" s="236"/>
      <c r="M73" s="236"/>
      <c r="N73" s="236"/>
    </row>
    <row r="74" spans="1:14" x14ac:dyDescent="0.2">
      <c r="A74" s="241" t="str">
        <f>name!B7</f>
        <v>Engineering</v>
      </c>
      <c r="B74" s="375">
        <f>B$6</f>
        <v>2015</v>
      </c>
      <c r="C74" s="375"/>
      <c r="D74" s="375"/>
      <c r="E74" s="253"/>
      <c r="F74" s="375">
        <f>F57</f>
        <v>2020</v>
      </c>
      <c r="G74" s="375"/>
      <c r="H74" s="375"/>
      <c r="I74" s="253"/>
      <c r="J74" s="375">
        <f>J57</f>
        <v>2035</v>
      </c>
      <c r="K74" s="375"/>
      <c r="L74" s="375"/>
      <c r="M74" s="236"/>
      <c r="N74" s="236"/>
    </row>
    <row r="75" spans="1:14" x14ac:dyDescent="0.2">
      <c r="A75" s="254"/>
      <c r="B75" s="255" t="s">
        <v>361</v>
      </c>
      <c r="C75" s="255" t="s">
        <v>362</v>
      </c>
      <c r="D75" s="255" t="s">
        <v>33</v>
      </c>
      <c r="E75" s="255"/>
      <c r="F75" s="255" t="s">
        <v>361</v>
      </c>
      <c r="G75" s="255" t="s">
        <v>362</v>
      </c>
      <c r="H75" s="255" t="s">
        <v>33</v>
      </c>
      <c r="I75" s="255"/>
      <c r="J75" s="255" t="s">
        <v>361</v>
      </c>
      <c r="K75" s="255" t="s">
        <v>362</v>
      </c>
      <c r="L75" s="255" t="s">
        <v>33</v>
      </c>
      <c r="M75" s="236"/>
      <c r="N75" s="236"/>
    </row>
    <row r="76" spans="1:14" x14ac:dyDescent="0.2">
      <c r="A76" s="258"/>
      <c r="B76" s="259"/>
      <c r="C76" s="259"/>
      <c r="D76" s="259"/>
      <c r="E76" s="259"/>
      <c r="F76" s="259"/>
      <c r="G76" s="259"/>
      <c r="H76" s="259"/>
      <c r="I76" s="259"/>
      <c r="J76" s="259"/>
      <c r="K76" s="259"/>
      <c r="L76" s="259"/>
      <c r="M76" s="236"/>
      <c r="N76" s="236"/>
    </row>
    <row r="77" spans="1:14" x14ac:dyDescent="0.2">
      <c r="A77" s="237" t="str">
        <f>name!E$4</f>
        <v>Managers, directors and senior officials</v>
      </c>
      <c r="B77" s="302">
        <v>0.11580066412646058</v>
      </c>
      <c r="C77" s="302">
        <v>0.87456945388479146</v>
      </c>
      <c r="D77" s="302">
        <f>SUM(B77:C77)</f>
        <v>0.99037011801125208</v>
      </c>
      <c r="E77" s="303"/>
      <c r="F77" s="302">
        <v>0.10495317962529183</v>
      </c>
      <c r="G77" s="302">
        <v>0.68362682537938579</v>
      </c>
      <c r="H77" s="302">
        <f>SUM(F77:G77)</f>
        <v>0.78858000500467762</v>
      </c>
      <c r="I77" s="303"/>
      <c r="J77" s="302">
        <v>9.052868271963363E-2</v>
      </c>
      <c r="K77" s="302">
        <v>0.57210403526020448</v>
      </c>
      <c r="L77" s="302">
        <f>SUM(J77:K77)</f>
        <v>0.66263271797983814</v>
      </c>
      <c r="M77" s="236"/>
      <c r="N77" s="236"/>
    </row>
    <row r="78" spans="1:14" x14ac:dyDescent="0.2">
      <c r="A78" s="237" t="str">
        <f>name!E$5</f>
        <v>Professional occupations</v>
      </c>
      <c r="B78" s="302">
        <v>0.13401055626328406</v>
      </c>
      <c r="C78" s="302">
        <v>1.3672878783094597</v>
      </c>
      <c r="D78" s="302">
        <f t="shared" ref="D78:D85" si="19">SUM(B78:C78)</f>
        <v>1.5012984345727438</v>
      </c>
      <c r="E78" s="303"/>
      <c r="F78" s="302">
        <v>0.12470086678467113</v>
      </c>
      <c r="G78" s="302">
        <v>1.1159780747015373</v>
      </c>
      <c r="H78" s="302">
        <f t="shared" ref="H78:H85" si="20">SUM(F78:G78)</f>
        <v>1.2406789414862085</v>
      </c>
      <c r="I78" s="303"/>
      <c r="J78" s="302">
        <v>0.10904406885226386</v>
      </c>
      <c r="K78" s="302">
        <v>1.2427573853895788</v>
      </c>
      <c r="L78" s="302">
        <f t="shared" ref="L78:L85" si="21">SUM(J78:K78)</f>
        <v>1.3518014542418426</v>
      </c>
      <c r="M78" s="236"/>
      <c r="N78" s="236"/>
    </row>
    <row r="79" spans="1:14" x14ac:dyDescent="0.2">
      <c r="A79" s="237" t="str">
        <f>name!E$6</f>
        <v>Associate professional occupations</v>
      </c>
      <c r="B79" s="302">
        <v>0.16230610143943089</v>
      </c>
      <c r="C79" s="302">
        <v>0.72295161193399793</v>
      </c>
      <c r="D79" s="302">
        <f t="shared" si="19"/>
        <v>0.88525771337342885</v>
      </c>
      <c r="E79" s="303"/>
      <c r="F79" s="302">
        <v>0.12660632671033903</v>
      </c>
      <c r="G79" s="302">
        <v>0.57747941565270022</v>
      </c>
      <c r="H79" s="302">
        <f t="shared" si="20"/>
        <v>0.70408574236303922</v>
      </c>
      <c r="I79" s="303"/>
      <c r="J79" s="302">
        <v>0.1020637319129227</v>
      </c>
      <c r="K79" s="302">
        <v>0.48388626348806008</v>
      </c>
      <c r="L79" s="302">
        <f t="shared" si="21"/>
        <v>0.5859499954009828</v>
      </c>
      <c r="M79" s="236"/>
      <c r="N79" s="236"/>
    </row>
    <row r="80" spans="1:14" x14ac:dyDescent="0.2">
      <c r="A80" s="237" t="str">
        <f>name!E$7</f>
        <v>Administrative and secretarial occupations</v>
      </c>
      <c r="B80" s="302">
        <v>0.4300210764650349</v>
      </c>
      <c r="C80" s="302">
        <v>0.2027058491731219</v>
      </c>
      <c r="D80" s="302">
        <f t="shared" si="19"/>
        <v>0.6327269256381568</v>
      </c>
      <c r="E80" s="303"/>
      <c r="F80" s="302">
        <v>0.30261425410536319</v>
      </c>
      <c r="G80" s="302">
        <v>0.16350115392010453</v>
      </c>
      <c r="H80" s="302">
        <f t="shared" si="20"/>
        <v>0.46611540802546769</v>
      </c>
      <c r="I80" s="303"/>
      <c r="J80" s="302">
        <v>0.20464119269639192</v>
      </c>
      <c r="K80" s="302">
        <v>0.1883158025468957</v>
      </c>
      <c r="L80" s="302">
        <f t="shared" si="21"/>
        <v>0.39295699524328764</v>
      </c>
      <c r="M80" s="236"/>
      <c r="N80" s="236"/>
    </row>
    <row r="81" spans="1:14" x14ac:dyDescent="0.2">
      <c r="A81" s="237" t="str">
        <f>name!E$8</f>
        <v>Skilled trades occupations</v>
      </c>
      <c r="B81" s="302">
        <v>6.9299242501367112E-2</v>
      </c>
      <c r="C81" s="302">
        <v>1.6662838496857981</v>
      </c>
      <c r="D81" s="302">
        <f t="shared" si="19"/>
        <v>1.7355830921871653</v>
      </c>
      <c r="E81" s="303"/>
      <c r="F81" s="302">
        <v>4.8775641434377841E-2</v>
      </c>
      <c r="G81" s="302">
        <v>0.97136887039871345</v>
      </c>
      <c r="H81" s="302">
        <f t="shared" si="20"/>
        <v>1.0201445118330912</v>
      </c>
      <c r="I81" s="303"/>
      <c r="J81" s="302">
        <v>5.7387334645823317E-2</v>
      </c>
      <c r="K81" s="302">
        <v>0.70277493294667348</v>
      </c>
      <c r="L81" s="302">
        <f t="shared" si="21"/>
        <v>0.76016226759249683</v>
      </c>
      <c r="M81" s="236"/>
      <c r="N81" s="236"/>
    </row>
    <row r="82" spans="1:14" x14ac:dyDescent="0.2">
      <c r="A82" s="237" t="str">
        <f>name!E$9</f>
        <v>Caring, leisure and other service occupations</v>
      </c>
      <c r="B82" s="302">
        <v>3.6087450529879037E-2</v>
      </c>
      <c r="C82" s="302">
        <v>1.7085313548901852E-2</v>
      </c>
      <c r="D82" s="302">
        <f t="shared" si="19"/>
        <v>5.3172764078780889E-2</v>
      </c>
      <c r="E82" s="303"/>
      <c r="F82" s="302">
        <v>2.283743259894009E-2</v>
      </c>
      <c r="G82" s="302">
        <v>1.2784433080383481E-2</v>
      </c>
      <c r="H82" s="302">
        <f t="shared" si="20"/>
        <v>3.5621865679323572E-2</v>
      </c>
      <c r="I82" s="303"/>
      <c r="J82" s="302">
        <v>1.2875563800700244E-2</v>
      </c>
      <c r="K82" s="302">
        <v>1.2440829620393164E-2</v>
      </c>
      <c r="L82" s="302">
        <f t="shared" si="21"/>
        <v>2.531639342109341E-2</v>
      </c>
      <c r="M82" s="236"/>
      <c r="N82" s="236"/>
    </row>
    <row r="83" spans="1:14" x14ac:dyDescent="0.2">
      <c r="A83" s="237" t="str">
        <f>name!E$10</f>
        <v>Sales and customer service occupations</v>
      </c>
      <c r="B83" s="302">
        <v>9.4040526707789424E-2</v>
      </c>
      <c r="C83" s="302">
        <v>0.14995316873368905</v>
      </c>
      <c r="D83" s="302">
        <f t="shared" si="19"/>
        <v>0.24399369544147848</v>
      </c>
      <c r="E83" s="303"/>
      <c r="F83" s="302">
        <v>6.6150144650365658E-2</v>
      </c>
      <c r="G83" s="302">
        <v>0.11859493768591517</v>
      </c>
      <c r="H83" s="302">
        <f t="shared" si="20"/>
        <v>0.18474508233628084</v>
      </c>
      <c r="I83" s="303"/>
      <c r="J83" s="302">
        <v>4.9604559572771878E-2</v>
      </c>
      <c r="K83" s="302">
        <v>0.13253685865641918</v>
      </c>
      <c r="L83" s="302">
        <f t="shared" si="21"/>
        <v>0.18214141822919105</v>
      </c>
      <c r="M83" s="236"/>
      <c r="N83" s="236"/>
    </row>
    <row r="84" spans="1:14" x14ac:dyDescent="0.2">
      <c r="A84" s="237" t="str">
        <f>name!E$11</f>
        <v>Process, plant and machine operatives</v>
      </c>
      <c r="B84" s="302">
        <v>0.37425807411647716</v>
      </c>
      <c r="C84" s="302">
        <v>0.77809204263813703</v>
      </c>
      <c r="D84" s="302">
        <f t="shared" si="19"/>
        <v>1.1523501167546142</v>
      </c>
      <c r="E84" s="303"/>
      <c r="F84" s="302">
        <v>0.18024693220456461</v>
      </c>
      <c r="G84" s="302">
        <v>0.44966126787002053</v>
      </c>
      <c r="H84" s="302">
        <f t="shared" si="20"/>
        <v>0.62990820007458515</v>
      </c>
      <c r="I84" s="303"/>
      <c r="J84" s="302">
        <v>0.18268029520353737</v>
      </c>
      <c r="K84" s="302">
        <v>0.35203856492166918</v>
      </c>
      <c r="L84" s="302">
        <f t="shared" si="21"/>
        <v>0.53471886012520653</v>
      </c>
      <c r="M84" s="236"/>
      <c r="N84" s="236"/>
    </row>
    <row r="85" spans="1:14" x14ac:dyDescent="0.2">
      <c r="A85" s="237" t="str">
        <f>name!E$12</f>
        <v>Elementary occupations</v>
      </c>
      <c r="B85" s="302">
        <v>8.7594420177010177E-2</v>
      </c>
      <c r="C85" s="302">
        <v>0.29265271976536789</v>
      </c>
      <c r="D85" s="302">
        <f t="shared" si="19"/>
        <v>0.38024713994237808</v>
      </c>
      <c r="E85" s="303"/>
      <c r="F85" s="302">
        <v>4.6430850575635702E-2</v>
      </c>
      <c r="G85" s="302">
        <v>0.16168939262168042</v>
      </c>
      <c r="H85" s="302">
        <f t="shared" si="20"/>
        <v>0.20812024319731612</v>
      </c>
      <c r="I85" s="303"/>
      <c r="J85" s="302">
        <v>7.1914764818777219E-2</v>
      </c>
      <c r="K85" s="302">
        <v>0.14440513294727514</v>
      </c>
      <c r="L85" s="302">
        <f t="shared" si="21"/>
        <v>0.21631989776605237</v>
      </c>
      <c r="M85" s="236"/>
      <c r="N85" s="236"/>
    </row>
    <row r="86" spans="1:14" x14ac:dyDescent="0.2">
      <c r="A86" s="237"/>
      <c r="B86" s="302"/>
      <c r="C86" s="302"/>
      <c r="D86" s="302"/>
      <c r="E86" s="303"/>
      <c r="F86" s="302"/>
      <c r="G86" s="302"/>
      <c r="H86" s="302"/>
      <c r="I86" s="303"/>
      <c r="J86" s="302"/>
      <c r="K86" s="302"/>
      <c r="L86" s="302"/>
      <c r="M86" s="236"/>
      <c r="N86" s="236"/>
    </row>
    <row r="87" spans="1:14" x14ac:dyDescent="0.2">
      <c r="A87" s="244" t="s">
        <v>33</v>
      </c>
      <c r="B87" s="311">
        <f>SUM(B77:B85)</f>
        <v>1.5034181123267334</v>
      </c>
      <c r="C87" s="311">
        <f t="shared" ref="C87:D87" si="22">SUM(C77:C85)</f>
        <v>6.0715818876732648</v>
      </c>
      <c r="D87" s="311">
        <f t="shared" si="22"/>
        <v>7.5749999999999993</v>
      </c>
      <c r="E87" s="311"/>
      <c r="F87" s="311">
        <f t="shared" ref="F87:H87" si="23">SUM(F77:F85)</f>
        <v>1.0233156286895491</v>
      </c>
      <c r="G87" s="311">
        <f t="shared" si="23"/>
        <v>4.2546843713104403</v>
      </c>
      <c r="H87" s="311">
        <f t="shared" si="23"/>
        <v>5.277999999999988</v>
      </c>
      <c r="I87" s="311"/>
      <c r="J87" s="311">
        <f t="shared" ref="J87:L87" si="24">SUM(J77:J85)</f>
        <v>0.88074019422282213</v>
      </c>
      <c r="K87" s="311">
        <f t="shared" si="24"/>
        <v>3.8312598057771696</v>
      </c>
      <c r="L87" s="311">
        <f t="shared" si="24"/>
        <v>4.7119999999999918</v>
      </c>
      <c r="M87" s="236"/>
      <c r="N87" s="236"/>
    </row>
    <row r="88" spans="1:14" x14ac:dyDescent="0.2">
      <c r="A88" s="237"/>
      <c r="B88" s="237"/>
      <c r="C88" s="237"/>
      <c r="D88" s="237"/>
      <c r="E88" s="237"/>
      <c r="F88" s="237"/>
      <c r="G88" s="237"/>
      <c r="H88" s="237"/>
      <c r="I88" s="237"/>
      <c r="J88" s="237"/>
      <c r="K88" s="237"/>
      <c r="L88" s="240"/>
      <c r="M88" s="236"/>
      <c r="N88" s="236"/>
    </row>
    <row r="89" spans="1:14" x14ac:dyDescent="0.2">
      <c r="A89" s="237"/>
      <c r="B89" s="237"/>
      <c r="C89" s="237"/>
      <c r="D89" s="237"/>
      <c r="E89" s="237"/>
      <c r="F89" s="237"/>
      <c r="G89" s="237"/>
      <c r="H89" s="237"/>
      <c r="I89" s="237"/>
      <c r="J89" s="237"/>
      <c r="K89" s="237"/>
      <c r="L89" s="256" t="s">
        <v>36</v>
      </c>
      <c r="M89" s="236"/>
      <c r="N89" s="236"/>
    </row>
    <row r="90" spans="1:14" x14ac:dyDescent="0.2">
      <c r="A90" s="242"/>
      <c r="B90" s="250"/>
      <c r="C90" s="250"/>
      <c r="D90" s="250"/>
      <c r="E90" s="250"/>
      <c r="F90" s="250"/>
      <c r="G90" s="250"/>
      <c r="H90" s="250"/>
      <c r="I90" s="250"/>
      <c r="J90" s="250"/>
      <c r="K90" s="250"/>
      <c r="L90" s="236"/>
      <c r="M90" s="236"/>
      <c r="N90" s="236"/>
    </row>
    <row r="91" spans="1:14" x14ac:dyDescent="0.2">
      <c r="A91" s="241" t="str">
        <f>name!B8</f>
        <v>Rest of manufacturing</v>
      </c>
      <c r="B91" s="375">
        <f>B$6</f>
        <v>2015</v>
      </c>
      <c r="C91" s="375"/>
      <c r="D91" s="375"/>
      <c r="E91" s="253"/>
      <c r="F91" s="375">
        <f>F74</f>
        <v>2020</v>
      </c>
      <c r="G91" s="375"/>
      <c r="H91" s="375"/>
      <c r="I91" s="253"/>
      <c r="J91" s="375">
        <f>J74</f>
        <v>2035</v>
      </c>
      <c r="K91" s="375"/>
      <c r="L91" s="375"/>
      <c r="M91" s="236"/>
      <c r="N91" s="236"/>
    </row>
    <row r="92" spans="1:14" x14ac:dyDescent="0.2">
      <c r="A92" s="254"/>
      <c r="B92" s="255" t="s">
        <v>361</v>
      </c>
      <c r="C92" s="255" t="s">
        <v>362</v>
      </c>
      <c r="D92" s="255" t="s">
        <v>33</v>
      </c>
      <c r="E92" s="255"/>
      <c r="F92" s="255" t="s">
        <v>361</v>
      </c>
      <c r="G92" s="255" t="s">
        <v>362</v>
      </c>
      <c r="H92" s="255" t="s">
        <v>33</v>
      </c>
      <c r="I92" s="255"/>
      <c r="J92" s="255" t="s">
        <v>361</v>
      </c>
      <c r="K92" s="255" t="s">
        <v>362</v>
      </c>
      <c r="L92" s="255" t="s">
        <v>33</v>
      </c>
      <c r="M92" s="236"/>
      <c r="N92" s="236"/>
    </row>
    <row r="93" spans="1:14" x14ac:dyDescent="0.2">
      <c r="A93" s="258"/>
      <c r="B93" s="259"/>
      <c r="C93" s="259"/>
      <c r="D93" s="259"/>
      <c r="E93" s="259"/>
      <c r="F93" s="259"/>
      <c r="G93" s="259"/>
      <c r="H93" s="259"/>
      <c r="I93" s="259"/>
      <c r="J93" s="259"/>
      <c r="K93" s="259"/>
      <c r="L93" s="259"/>
      <c r="M93" s="236"/>
      <c r="N93" s="236"/>
    </row>
    <row r="94" spans="1:14" x14ac:dyDescent="0.2">
      <c r="A94" s="237" t="str">
        <f>name!E$4</f>
        <v>Managers, directors and senior officials</v>
      </c>
      <c r="B94" s="302">
        <v>0.75459577135822786</v>
      </c>
      <c r="C94" s="302">
        <v>3.3246852893021761</v>
      </c>
      <c r="D94" s="302">
        <f>SUM(B94:C94)</f>
        <v>4.0792810606604037</v>
      </c>
      <c r="E94" s="303"/>
      <c r="F94" s="302">
        <v>0.90792604683262834</v>
      </c>
      <c r="G94" s="302">
        <v>3.7456098192140703</v>
      </c>
      <c r="H94" s="302">
        <f>SUM(F94:G94)</f>
        <v>4.653535866046699</v>
      </c>
      <c r="I94" s="303"/>
      <c r="J94" s="302">
        <v>0.71673607165644182</v>
      </c>
      <c r="K94" s="302">
        <v>2.9450844008500843</v>
      </c>
      <c r="L94" s="302">
        <f>SUM(J94:K94)</f>
        <v>3.661820472506526</v>
      </c>
      <c r="M94" s="236"/>
      <c r="N94" s="236"/>
    </row>
    <row r="95" spans="1:14" x14ac:dyDescent="0.2">
      <c r="A95" s="237" t="str">
        <f>name!E$5</f>
        <v>Professional occupations</v>
      </c>
      <c r="B95" s="302">
        <v>0.74476541866460255</v>
      </c>
      <c r="C95" s="302">
        <v>3.9030711872635906</v>
      </c>
      <c r="D95" s="302">
        <f t="shared" ref="D95:D102" si="25">SUM(B95:C95)</f>
        <v>4.6478366059281928</v>
      </c>
      <c r="E95" s="303"/>
      <c r="F95" s="302">
        <v>1.1385461267599672</v>
      </c>
      <c r="G95" s="302">
        <v>4.9123342614309529</v>
      </c>
      <c r="H95" s="302">
        <f t="shared" ref="H95:H102" si="26">SUM(F95:G95)</f>
        <v>6.0508803881909206</v>
      </c>
      <c r="I95" s="303"/>
      <c r="J95" s="302">
        <v>1.089598107320864</v>
      </c>
      <c r="K95" s="302">
        <v>5.5704017804345787</v>
      </c>
      <c r="L95" s="302">
        <f t="shared" ref="L95:L102" si="27">SUM(J95:K95)</f>
        <v>6.6599998877554425</v>
      </c>
      <c r="M95" s="236"/>
      <c r="N95" s="236"/>
    </row>
    <row r="96" spans="1:14" x14ac:dyDescent="0.2">
      <c r="A96" s="237" t="str">
        <f>name!E$6</f>
        <v>Associate professional occupations</v>
      </c>
      <c r="B96" s="302">
        <v>1.0544944369135913</v>
      </c>
      <c r="C96" s="302">
        <v>2.6516293909490587</v>
      </c>
      <c r="D96" s="302">
        <f t="shared" si="25"/>
        <v>3.7061238278626503</v>
      </c>
      <c r="E96" s="303"/>
      <c r="F96" s="302">
        <v>1.1390765806806666</v>
      </c>
      <c r="G96" s="302">
        <v>3.1210272577756961</v>
      </c>
      <c r="H96" s="302">
        <f t="shared" si="26"/>
        <v>4.260103838456363</v>
      </c>
      <c r="I96" s="303"/>
      <c r="J96" s="302">
        <v>0.95289049650799906</v>
      </c>
      <c r="K96" s="302">
        <v>2.5522562823887456</v>
      </c>
      <c r="L96" s="302">
        <f t="shared" si="27"/>
        <v>3.5051467788967448</v>
      </c>
      <c r="M96" s="236"/>
      <c r="N96" s="236"/>
    </row>
    <row r="97" spans="1:14" x14ac:dyDescent="0.2">
      <c r="A97" s="237" t="str">
        <f>name!E$7</f>
        <v>Administrative and secretarial occupations</v>
      </c>
      <c r="B97" s="302">
        <v>2.4054382459771571</v>
      </c>
      <c r="C97" s="302">
        <v>1.4007731738997957</v>
      </c>
      <c r="D97" s="302">
        <f t="shared" si="25"/>
        <v>3.806211419876953</v>
      </c>
      <c r="E97" s="303"/>
      <c r="F97" s="302">
        <v>2.1314813239301604</v>
      </c>
      <c r="G97" s="302">
        <v>1.545107426192976</v>
      </c>
      <c r="H97" s="302">
        <f t="shared" si="26"/>
        <v>3.6765887501231367</v>
      </c>
      <c r="I97" s="303"/>
      <c r="J97" s="302">
        <v>1.4958158262710617</v>
      </c>
      <c r="K97" s="302">
        <v>1.6042331606764191</v>
      </c>
      <c r="L97" s="302">
        <f t="shared" si="27"/>
        <v>3.1000489869474808</v>
      </c>
      <c r="M97" s="236"/>
      <c r="N97" s="236"/>
    </row>
    <row r="98" spans="1:14" x14ac:dyDescent="0.2">
      <c r="A98" s="237" t="str">
        <f>name!E$8</f>
        <v>Skilled trades occupations</v>
      </c>
      <c r="B98" s="302">
        <v>0.58165987437987299</v>
      </c>
      <c r="C98" s="302">
        <v>8.4998787971855538</v>
      </c>
      <c r="D98" s="302">
        <f t="shared" si="25"/>
        <v>9.0815386715654274</v>
      </c>
      <c r="E98" s="303"/>
      <c r="F98" s="302">
        <v>0.46342625688881217</v>
      </c>
      <c r="G98" s="302">
        <v>7.1309192694996719</v>
      </c>
      <c r="H98" s="302">
        <f t="shared" si="26"/>
        <v>7.5943455263884845</v>
      </c>
      <c r="I98" s="303"/>
      <c r="J98" s="302">
        <v>0.33094331151211553</v>
      </c>
      <c r="K98" s="302">
        <v>4.8496649707243575</v>
      </c>
      <c r="L98" s="302">
        <f t="shared" si="27"/>
        <v>5.1806082822364727</v>
      </c>
      <c r="M98" s="236"/>
      <c r="N98" s="236"/>
    </row>
    <row r="99" spans="1:14" x14ac:dyDescent="0.2">
      <c r="A99" s="237" t="str">
        <f>name!E$9</f>
        <v>Caring, leisure and other service occupations</v>
      </c>
      <c r="B99" s="302">
        <v>0.19019158075829537</v>
      </c>
      <c r="C99" s="302">
        <v>0.13925219411225193</v>
      </c>
      <c r="D99" s="302">
        <f t="shared" si="25"/>
        <v>0.32944377487054732</v>
      </c>
      <c r="E99" s="303"/>
      <c r="F99" s="302">
        <v>0.29031628627463724</v>
      </c>
      <c r="G99" s="302">
        <v>0.20946632297936663</v>
      </c>
      <c r="H99" s="302">
        <f t="shared" si="26"/>
        <v>0.49978260925400386</v>
      </c>
      <c r="I99" s="303"/>
      <c r="J99" s="302">
        <v>0.257388898953127</v>
      </c>
      <c r="K99" s="302">
        <v>0.22550951508663974</v>
      </c>
      <c r="L99" s="302">
        <f t="shared" si="27"/>
        <v>0.48289841403976674</v>
      </c>
      <c r="M99" s="236"/>
      <c r="N99" s="236"/>
    </row>
    <row r="100" spans="1:14" x14ac:dyDescent="0.2">
      <c r="A100" s="237" t="str">
        <f>name!E$10</f>
        <v>Sales and customer service occupations</v>
      </c>
      <c r="B100" s="302">
        <v>0.56769722935881761</v>
      </c>
      <c r="C100" s="302">
        <v>0.82752534996311</v>
      </c>
      <c r="D100" s="302">
        <f t="shared" si="25"/>
        <v>1.3952225793219277</v>
      </c>
      <c r="E100" s="303"/>
      <c r="F100" s="302">
        <v>0.52089885137529335</v>
      </c>
      <c r="G100" s="302">
        <v>0.80229185785863955</v>
      </c>
      <c r="H100" s="302">
        <f t="shared" si="26"/>
        <v>1.3231907092339328</v>
      </c>
      <c r="I100" s="303"/>
      <c r="J100" s="302">
        <v>0.39820989629522419</v>
      </c>
      <c r="K100" s="302">
        <v>0.75983574021695688</v>
      </c>
      <c r="L100" s="302">
        <f t="shared" si="27"/>
        <v>1.1580456365121812</v>
      </c>
      <c r="M100" s="236"/>
      <c r="N100" s="236"/>
    </row>
    <row r="101" spans="1:14" x14ac:dyDescent="0.2">
      <c r="A101" s="237" t="str">
        <f>name!E$11</f>
        <v>Process, plant and machine operatives</v>
      </c>
      <c r="B101" s="302">
        <v>1.5610530001843379</v>
      </c>
      <c r="C101" s="302">
        <v>6.8063491206227322</v>
      </c>
      <c r="D101" s="302">
        <f t="shared" si="25"/>
        <v>8.3674021208070695</v>
      </c>
      <c r="E101" s="303"/>
      <c r="F101" s="302">
        <v>1.1959521182832955</v>
      </c>
      <c r="G101" s="302">
        <v>6.1549228229071096</v>
      </c>
      <c r="H101" s="302">
        <f t="shared" si="26"/>
        <v>7.3508749411904049</v>
      </c>
      <c r="I101" s="303"/>
      <c r="J101" s="302">
        <v>1.0324009622298742</v>
      </c>
      <c r="K101" s="302">
        <v>4.5023959570021672</v>
      </c>
      <c r="L101" s="302">
        <f t="shared" si="27"/>
        <v>5.5347969192320416</v>
      </c>
      <c r="M101" s="236"/>
      <c r="N101" s="236"/>
    </row>
    <row r="102" spans="1:14" x14ac:dyDescent="0.2">
      <c r="A102" s="237" t="str">
        <f>name!E$12</f>
        <v>Elementary occupations</v>
      </c>
      <c r="B102" s="302">
        <v>0.92788964990153344</v>
      </c>
      <c r="C102" s="302">
        <v>2.7050502892054138</v>
      </c>
      <c r="D102" s="302">
        <f t="shared" si="25"/>
        <v>3.6329399391069472</v>
      </c>
      <c r="E102" s="303"/>
      <c r="F102" s="302">
        <v>0.69162653498190663</v>
      </c>
      <c r="G102" s="302">
        <v>2.5030708361341905</v>
      </c>
      <c r="H102" s="302">
        <f t="shared" si="26"/>
        <v>3.1946973711160971</v>
      </c>
      <c r="I102" s="303"/>
      <c r="J102" s="302">
        <v>0.85066796160099201</v>
      </c>
      <c r="K102" s="302">
        <v>2.122966660272311</v>
      </c>
      <c r="L102" s="302">
        <f t="shared" si="27"/>
        <v>2.9736346218733027</v>
      </c>
      <c r="M102" s="236"/>
      <c r="N102" s="236"/>
    </row>
    <row r="103" spans="1:14" x14ac:dyDescent="0.2">
      <c r="A103" s="237"/>
      <c r="B103" s="302"/>
      <c r="C103" s="302"/>
      <c r="D103" s="302"/>
      <c r="E103" s="303"/>
      <c r="F103" s="302"/>
      <c r="G103" s="302"/>
      <c r="H103" s="302"/>
      <c r="I103" s="303"/>
      <c r="J103" s="302"/>
      <c r="K103" s="302"/>
      <c r="L103" s="302"/>
      <c r="M103" s="236"/>
      <c r="N103" s="236"/>
    </row>
    <row r="104" spans="1:14" x14ac:dyDescent="0.2">
      <c r="A104" s="244" t="s">
        <v>33</v>
      </c>
      <c r="B104" s="311">
        <f>SUM(B94:B102)</f>
        <v>8.7877852074964355</v>
      </c>
      <c r="C104" s="311">
        <f t="shared" ref="C104:D104" si="28">SUM(C94:C102)</f>
        <v>30.258214792503683</v>
      </c>
      <c r="D104" s="311">
        <f t="shared" si="28"/>
        <v>39.04600000000012</v>
      </c>
      <c r="E104" s="311"/>
      <c r="F104" s="311">
        <f t="shared" ref="F104:H104" si="29">SUM(F94:F102)</f>
        <v>8.4792501260073685</v>
      </c>
      <c r="G104" s="311">
        <f t="shared" si="29"/>
        <v>30.124749873992677</v>
      </c>
      <c r="H104" s="311">
        <f t="shared" si="29"/>
        <v>38.604000000000049</v>
      </c>
      <c r="I104" s="311"/>
      <c r="J104" s="311">
        <f t="shared" ref="J104:L104" si="30">SUM(J94:J102)</f>
        <v>7.1246515323477002</v>
      </c>
      <c r="K104" s="311">
        <f t="shared" si="30"/>
        <v>25.13234846765226</v>
      </c>
      <c r="L104" s="311">
        <f t="shared" si="30"/>
        <v>32.256999999999955</v>
      </c>
      <c r="M104" s="236"/>
      <c r="N104" s="236"/>
    </row>
    <row r="105" spans="1:14" x14ac:dyDescent="0.2">
      <c r="A105" s="237"/>
      <c r="B105" s="237"/>
      <c r="C105" s="237"/>
      <c r="D105" s="237"/>
      <c r="E105" s="237"/>
      <c r="F105" s="237"/>
      <c r="G105" s="237"/>
      <c r="H105" s="237"/>
      <c r="I105" s="237"/>
      <c r="J105" s="237"/>
      <c r="K105" s="237"/>
      <c r="L105" s="240"/>
      <c r="M105" s="236"/>
      <c r="N105" s="236"/>
    </row>
    <row r="106" spans="1:14" x14ac:dyDescent="0.2">
      <c r="A106" s="237"/>
      <c r="B106" s="237"/>
      <c r="C106" s="237"/>
      <c r="D106" s="237"/>
      <c r="E106" s="237"/>
      <c r="F106" s="237"/>
      <c r="G106" s="237"/>
      <c r="H106" s="237"/>
      <c r="I106" s="237"/>
      <c r="J106" s="237"/>
      <c r="K106" s="237"/>
      <c r="L106" s="256" t="s">
        <v>36</v>
      </c>
      <c r="M106" s="236"/>
      <c r="N106" s="236"/>
    </row>
    <row r="107" spans="1:14" x14ac:dyDescent="0.2">
      <c r="A107" s="242"/>
      <c r="B107" s="250"/>
      <c r="C107" s="250"/>
      <c r="D107" s="250"/>
      <c r="E107" s="250"/>
      <c r="F107" s="250"/>
      <c r="G107" s="250"/>
      <c r="H107" s="250"/>
      <c r="I107" s="250"/>
      <c r="J107" s="250"/>
      <c r="K107" s="250"/>
      <c r="L107" s="236"/>
      <c r="M107" s="236"/>
      <c r="N107" s="236"/>
    </row>
    <row r="108" spans="1:14" x14ac:dyDescent="0.2">
      <c r="A108" s="241" t="str">
        <f>name!B9</f>
        <v>Electricity and gas</v>
      </c>
      <c r="B108" s="375">
        <f>B$6</f>
        <v>2015</v>
      </c>
      <c r="C108" s="375"/>
      <c r="D108" s="375"/>
      <c r="E108" s="253"/>
      <c r="F108" s="375">
        <f>F91</f>
        <v>2020</v>
      </c>
      <c r="G108" s="375"/>
      <c r="H108" s="375"/>
      <c r="I108" s="253"/>
      <c r="J108" s="375">
        <f>J91</f>
        <v>2035</v>
      </c>
      <c r="K108" s="375"/>
      <c r="L108" s="375"/>
      <c r="M108" s="236"/>
      <c r="N108" s="236"/>
    </row>
    <row r="109" spans="1:14" x14ac:dyDescent="0.2">
      <c r="A109" s="254"/>
      <c r="B109" s="255" t="s">
        <v>361</v>
      </c>
      <c r="C109" s="255" t="s">
        <v>362</v>
      </c>
      <c r="D109" s="255" t="s">
        <v>33</v>
      </c>
      <c r="E109" s="255"/>
      <c r="F109" s="255" t="s">
        <v>361</v>
      </c>
      <c r="G109" s="255" t="s">
        <v>362</v>
      </c>
      <c r="H109" s="255" t="s">
        <v>33</v>
      </c>
      <c r="I109" s="255"/>
      <c r="J109" s="255" t="s">
        <v>361</v>
      </c>
      <c r="K109" s="255" t="s">
        <v>362</v>
      </c>
      <c r="L109" s="255" t="s">
        <v>33</v>
      </c>
      <c r="M109" s="236"/>
      <c r="N109" s="236"/>
    </row>
    <row r="110" spans="1:14" x14ac:dyDescent="0.2">
      <c r="A110" s="258"/>
      <c r="B110" s="259"/>
      <c r="C110" s="259"/>
      <c r="D110" s="259"/>
      <c r="E110" s="259"/>
      <c r="F110" s="259"/>
      <c r="G110" s="259"/>
      <c r="H110" s="259"/>
      <c r="I110" s="259"/>
      <c r="J110" s="259"/>
      <c r="K110" s="259"/>
      <c r="L110" s="259"/>
      <c r="M110" s="236"/>
      <c r="N110" s="236"/>
    </row>
    <row r="111" spans="1:14" x14ac:dyDescent="0.2">
      <c r="A111" s="237" t="str">
        <f>name!E$4</f>
        <v>Managers, directors and senior officials</v>
      </c>
      <c r="B111" s="302">
        <v>3.8363045312803858E-2</v>
      </c>
      <c r="C111" s="302">
        <v>9.6087615705362589E-2</v>
      </c>
      <c r="D111" s="302">
        <f>SUM(B111:C111)</f>
        <v>0.13445066101816644</v>
      </c>
      <c r="E111" s="303"/>
      <c r="F111" s="302">
        <v>5.1507495981923411E-2</v>
      </c>
      <c r="G111" s="302">
        <v>9.9749372905882802E-2</v>
      </c>
      <c r="H111" s="302">
        <f>SUM(F111:G111)</f>
        <v>0.15125686888780621</v>
      </c>
      <c r="I111" s="303"/>
      <c r="J111" s="302">
        <v>5.0947082483015355E-2</v>
      </c>
      <c r="K111" s="302">
        <v>8.7401807360541345E-2</v>
      </c>
      <c r="L111" s="302">
        <f>SUM(J111:K111)</f>
        <v>0.1383488898435567</v>
      </c>
      <c r="M111" s="236"/>
      <c r="N111" s="236"/>
    </row>
    <row r="112" spans="1:14" x14ac:dyDescent="0.2">
      <c r="A112" s="237" t="str">
        <f>name!E$5</f>
        <v>Professional occupations</v>
      </c>
      <c r="B112" s="302">
        <v>4.5073815869514346E-2</v>
      </c>
      <c r="C112" s="302">
        <v>0.25580888047064948</v>
      </c>
      <c r="D112" s="302">
        <f t="shared" ref="D112:D119" si="31">SUM(B112:C112)</f>
        <v>0.30088269634016385</v>
      </c>
      <c r="E112" s="303"/>
      <c r="F112" s="302">
        <v>6.8899907930768028E-2</v>
      </c>
      <c r="G112" s="302">
        <v>0.30859754297215181</v>
      </c>
      <c r="H112" s="302">
        <f t="shared" ref="H112:H119" si="32">SUM(F112:G112)</f>
        <v>0.37749745090291986</v>
      </c>
      <c r="I112" s="303"/>
      <c r="J112" s="302">
        <v>8.4769112287198703E-2</v>
      </c>
      <c r="K112" s="302">
        <v>0.36933318465114934</v>
      </c>
      <c r="L112" s="302">
        <f t="shared" ref="L112:L119" si="33">SUM(J112:K112)</f>
        <v>0.45410229693834803</v>
      </c>
      <c r="M112" s="236"/>
      <c r="N112" s="236"/>
    </row>
    <row r="113" spans="1:14" x14ac:dyDescent="0.2">
      <c r="A113" s="237" t="str">
        <f>name!E$6</f>
        <v>Associate professional occupations</v>
      </c>
      <c r="B113" s="302">
        <v>4.0616829190823683E-2</v>
      </c>
      <c r="C113" s="302">
        <v>0.11622732435908847</v>
      </c>
      <c r="D113" s="302">
        <f t="shared" si="31"/>
        <v>0.15684415354991216</v>
      </c>
      <c r="E113" s="303"/>
      <c r="F113" s="302">
        <v>5.1935870483440318E-2</v>
      </c>
      <c r="G113" s="302">
        <v>0.14181927036127279</v>
      </c>
      <c r="H113" s="302">
        <f t="shared" si="32"/>
        <v>0.1937551408447131</v>
      </c>
      <c r="I113" s="303"/>
      <c r="J113" s="302">
        <v>5.4821453907542547E-2</v>
      </c>
      <c r="K113" s="302">
        <v>0.12043503582757588</v>
      </c>
      <c r="L113" s="302">
        <f t="shared" si="33"/>
        <v>0.17525648973511843</v>
      </c>
      <c r="M113" s="236"/>
      <c r="N113" s="236"/>
    </row>
    <row r="114" spans="1:14" x14ac:dyDescent="0.2">
      <c r="A114" s="237" t="str">
        <f>name!E$7</f>
        <v>Administrative and secretarial occupations</v>
      </c>
      <c r="B114" s="302">
        <v>0.12484447170735115</v>
      </c>
      <c r="C114" s="302">
        <v>2.3058689529255313E-2</v>
      </c>
      <c r="D114" s="302">
        <f t="shared" si="31"/>
        <v>0.14790316123660646</v>
      </c>
      <c r="E114" s="303"/>
      <c r="F114" s="302">
        <v>0.12317334383902646</v>
      </c>
      <c r="G114" s="302">
        <v>2.4376265253704829E-2</v>
      </c>
      <c r="H114" s="302">
        <f t="shared" si="32"/>
        <v>0.14754960909273129</v>
      </c>
      <c r="I114" s="303"/>
      <c r="J114" s="302">
        <v>9.6360456783497125E-2</v>
      </c>
      <c r="K114" s="302">
        <v>1.736184501069098E-2</v>
      </c>
      <c r="L114" s="302">
        <f t="shared" si="33"/>
        <v>0.1137223017941881</v>
      </c>
      <c r="M114" s="236"/>
      <c r="N114" s="236"/>
    </row>
    <row r="115" spans="1:14" x14ac:dyDescent="0.2">
      <c r="A115" s="237" t="str">
        <f>name!E$8</f>
        <v>Skilled trades occupations</v>
      </c>
      <c r="B115" s="302">
        <v>3.1125897751310143E-3</v>
      </c>
      <c r="C115" s="302">
        <v>0.2852872016037295</v>
      </c>
      <c r="D115" s="302">
        <f t="shared" si="31"/>
        <v>0.28839979137886051</v>
      </c>
      <c r="E115" s="303"/>
      <c r="F115" s="302">
        <v>3.1343316548863619E-3</v>
      </c>
      <c r="G115" s="302">
        <v>0.21965187154396593</v>
      </c>
      <c r="H115" s="302">
        <f t="shared" si="32"/>
        <v>0.22278620319885228</v>
      </c>
      <c r="I115" s="303"/>
      <c r="J115" s="302">
        <v>4.04647963838114E-3</v>
      </c>
      <c r="K115" s="302">
        <v>0.15761863632682874</v>
      </c>
      <c r="L115" s="302">
        <f t="shared" si="33"/>
        <v>0.16166511596520988</v>
      </c>
      <c r="M115" s="236"/>
      <c r="N115" s="236"/>
    </row>
    <row r="116" spans="1:14" x14ac:dyDescent="0.2">
      <c r="A116" s="237" t="str">
        <f>name!E$9</f>
        <v>Caring, leisure and other service occupations</v>
      </c>
      <c r="B116" s="302">
        <v>2.2676424675012422E-2</v>
      </c>
      <c r="C116" s="302">
        <v>5.5335734535379945E-3</v>
      </c>
      <c r="D116" s="302">
        <f t="shared" si="31"/>
        <v>2.8209998128550417E-2</v>
      </c>
      <c r="E116" s="303"/>
      <c r="F116" s="302">
        <v>2.1381872565842033E-2</v>
      </c>
      <c r="G116" s="302">
        <v>4.8988602673680987E-3</v>
      </c>
      <c r="H116" s="302">
        <f t="shared" si="32"/>
        <v>2.628073283321013E-2</v>
      </c>
      <c r="I116" s="303"/>
      <c r="J116" s="302">
        <v>1.9652642879537108E-2</v>
      </c>
      <c r="K116" s="302">
        <v>4.3164983355328534E-3</v>
      </c>
      <c r="L116" s="302">
        <f t="shared" si="33"/>
        <v>2.3969141215069961E-2</v>
      </c>
      <c r="M116" s="236"/>
      <c r="N116" s="236"/>
    </row>
    <row r="117" spans="1:14" x14ac:dyDescent="0.2">
      <c r="A117" s="237" t="str">
        <f>name!E$10</f>
        <v>Sales and customer service occupations</v>
      </c>
      <c r="B117" s="302">
        <v>8.6095180243104891E-2</v>
      </c>
      <c r="C117" s="302">
        <v>7.7001596373798525E-2</v>
      </c>
      <c r="D117" s="302">
        <f t="shared" si="31"/>
        <v>0.16309677661690342</v>
      </c>
      <c r="E117" s="303"/>
      <c r="F117" s="302">
        <v>8.9364912263550256E-2</v>
      </c>
      <c r="G117" s="302">
        <v>5.5698088282157145E-2</v>
      </c>
      <c r="H117" s="302">
        <f t="shared" si="32"/>
        <v>0.14506300054570739</v>
      </c>
      <c r="I117" s="303"/>
      <c r="J117" s="302">
        <v>9.5300117539255269E-2</v>
      </c>
      <c r="K117" s="302">
        <v>5.623844248862149E-2</v>
      </c>
      <c r="L117" s="302">
        <f t="shared" si="33"/>
        <v>0.15153856002787675</v>
      </c>
      <c r="M117" s="236"/>
      <c r="N117" s="236"/>
    </row>
    <row r="118" spans="1:14" x14ac:dyDescent="0.2">
      <c r="A118" s="237" t="str">
        <f>name!E$11</f>
        <v>Process, plant and machine operatives</v>
      </c>
      <c r="B118" s="302">
        <v>1.3715850086504955E-3</v>
      </c>
      <c r="C118" s="302">
        <v>5.4118300864088698E-2</v>
      </c>
      <c r="D118" s="302">
        <f t="shared" si="31"/>
        <v>5.5489885872739196E-2</v>
      </c>
      <c r="E118" s="303"/>
      <c r="F118" s="302">
        <v>1.0856307638952495E-3</v>
      </c>
      <c r="G118" s="302">
        <v>4.0384881806252118E-2</v>
      </c>
      <c r="H118" s="302">
        <f t="shared" si="32"/>
        <v>4.1470512570147368E-2</v>
      </c>
      <c r="I118" s="303"/>
      <c r="J118" s="302">
        <v>9.6957199243042139E-4</v>
      </c>
      <c r="K118" s="302">
        <v>3.6731151371575545E-2</v>
      </c>
      <c r="L118" s="302">
        <f t="shared" si="33"/>
        <v>3.7700723364005963E-2</v>
      </c>
      <c r="M118" s="236"/>
      <c r="N118" s="236"/>
    </row>
    <row r="119" spans="1:14" x14ac:dyDescent="0.2">
      <c r="A119" s="237" t="str">
        <f>name!E$12</f>
        <v>Elementary occupations</v>
      </c>
      <c r="B119" s="302">
        <v>1.1762151591096663E-2</v>
      </c>
      <c r="C119" s="302">
        <v>9.9607242670024625E-3</v>
      </c>
      <c r="D119" s="302">
        <f t="shared" si="31"/>
        <v>2.1722875858099126E-2</v>
      </c>
      <c r="E119" s="303"/>
      <c r="F119" s="302">
        <v>8.6311133543575842E-3</v>
      </c>
      <c r="G119" s="302">
        <v>4.7093677695558703E-3</v>
      </c>
      <c r="H119" s="302">
        <f t="shared" si="32"/>
        <v>1.3340481123913454E-2</v>
      </c>
      <c r="I119" s="303"/>
      <c r="J119" s="302">
        <v>6.7739770630855321E-3</v>
      </c>
      <c r="K119" s="302">
        <v>2.9225040535389804E-3</v>
      </c>
      <c r="L119" s="302">
        <f t="shared" si="33"/>
        <v>9.696481116624512E-3</v>
      </c>
      <c r="M119" s="236"/>
      <c r="N119" s="236"/>
    </row>
    <row r="120" spans="1:14" x14ac:dyDescent="0.2">
      <c r="A120" s="237"/>
      <c r="B120" s="302"/>
      <c r="C120" s="302"/>
      <c r="D120" s="302"/>
      <c r="E120" s="303"/>
      <c r="F120" s="302"/>
      <c r="G120" s="302"/>
      <c r="H120" s="302"/>
      <c r="I120" s="303"/>
      <c r="J120" s="302"/>
      <c r="K120" s="302"/>
      <c r="L120" s="302"/>
      <c r="M120" s="236"/>
      <c r="N120" s="236"/>
    </row>
    <row r="121" spans="1:14" x14ac:dyDescent="0.2">
      <c r="A121" s="244" t="s">
        <v>33</v>
      </c>
      <c r="B121" s="311">
        <f>SUM(B111:B119)</f>
        <v>0.37391609337348852</v>
      </c>
      <c r="C121" s="311">
        <f t="shared" ref="C121:D121" si="34">SUM(C111:C119)</f>
        <v>0.92308390662651296</v>
      </c>
      <c r="D121" s="311">
        <f t="shared" si="34"/>
        <v>1.2970000000000017</v>
      </c>
      <c r="E121" s="311"/>
      <c r="F121" s="311">
        <f t="shared" ref="F121:H121" si="35">SUM(F111:F119)</f>
        <v>0.41911447883768965</v>
      </c>
      <c r="G121" s="311">
        <f t="shared" si="35"/>
        <v>0.89988552116231146</v>
      </c>
      <c r="H121" s="311">
        <f t="shared" si="35"/>
        <v>1.3190000000000013</v>
      </c>
      <c r="I121" s="311"/>
      <c r="J121" s="311">
        <f t="shared" ref="J121:L121" si="36">SUM(J111:J119)</f>
        <v>0.41364089457394321</v>
      </c>
      <c r="K121" s="311">
        <f t="shared" si="36"/>
        <v>0.85235910542605509</v>
      </c>
      <c r="L121" s="311">
        <f t="shared" si="36"/>
        <v>1.265999999999998</v>
      </c>
      <c r="M121" s="236"/>
      <c r="N121" s="236"/>
    </row>
    <row r="122" spans="1:14" x14ac:dyDescent="0.2">
      <c r="A122" s="237"/>
      <c r="B122" s="237"/>
      <c r="C122" s="237"/>
      <c r="D122" s="237"/>
      <c r="E122" s="237"/>
      <c r="F122" s="237"/>
      <c r="G122" s="237"/>
      <c r="H122" s="237"/>
      <c r="I122" s="237"/>
      <c r="J122" s="237"/>
      <c r="K122" s="237"/>
      <c r="L122" s="240"/>
      <c r="M122" s="236"/>
      <c r="N122" s="236"/>
    </row>
    <row r="123" spans="1:14" x14ac:dyDescent="0.2">
      <c r="A123" s="237"/>
      <c r="B123" s="237"/>
      <c r="C123" s="237"/>
      <c r="D123" s="237"/>
      <c r="E123" s="237"/>
      <c r="F123" s="237"/>
      <c r="G123" s="237"/>
      <c r="H123" s="237"/>
      <c r="I123" s="237"/>
      <c r="J123" s="237"/>
      <c r="K123" s="237"/>
      <c r="L123" s="256" t="s">
        <v>36</v>
      </c>
      <c r="M123" s="236"/>
      <c r="N123" s="236"/>
    </row>
    <row r="124" spans="1:14" x14ac:dyDescent="0.2">
      <c r="A124" s="242"/>
      <c r="B124" s="250"/>
      <c r="C124" s="250"/>
      <c r="D124" s="250"/>
      <c r="E124" s="250"/>
      <c r="F124" s="250"/>
      <c r="G124" s="250"/>
      <c r="H124" s="250"/>
      <c r="I124" s="250"/>
      <c r="J124" s="250"/>
      <c r="K124" s="250"/>
      <c r="L124" s="236"/>
      <c r="M124" s="236"/>
      <c r="N124" s="236"/>
    </row>
    <row r="125" spans="1:14" x14ac:dyDescent="0.2">
      <c r="A125" s="241" t="str">
        <f>name!B10</f>
        <v>Water and sewerage</v>
      </c>
      <c r="B125" s="375">
        <f>B$6</f>
        <v>2015</v>
      </c>
      <c r="C125" s="375"/>
      <c r="D125" s="375"/>
      <c r="E125" s="253"/>
      <c r="F125" s="375">
        <f>F108</f>
        <v>2020</v>
      </c>
      <c r="G125" s="375"/>
      <c r="H125" s="375"/>
      <c r="I125" s="253"/>
      <c r="J125" s="375">
        <f>J108</f>
        <v>2035</v>
      </c>
      <c r="K125" s="375"/>
      <c r="L125" s="375"/>
      <c r="M125" s="236"/>
      <c r="N125" s="236"/>
    </row>
    <row r="126" spans="1:14" x14ac:dyDescent="0.2">
      <c r="A126" s="254"/>
      <c r="B126" s="255" t="s">
        <v>361</v>
      </c>
      <c r="C126" s="255" t="s">
        <v>362</v>
      </c>
      <c r="D126" s="255" t="s">
        <v>33</v>
      </c>
      <c r="E126" s="255"/>
      <c r="F126" s="255" t="s">
        <v>361</v>
      </c>
      <c r="G126" s="255" t="s">
        <v>362</v>
      </c>
      <c r="H126" s="255" t="s">
        <v>33</v>
      </c>
      <c r="I126" s="255"/>
      <c r="J126" s="255" t="s">
        <v>361</v>
      </c>
      <c r="K126" s="255" t="s">
        <v>362</v>
      </c>
      <c r="L126" s="255" t="s">
        <v>33</v>
      </c>
      <c r="M126" s="236"/>
      <c r="N126" s="236"/>
    </row>
    <row r="127" spans="1:14" x14ac:dyDescent="0.2">
      <c r="A127" s="258"/>
      <c r="B127" s="259"/>
      <c r="C127" s="259"/>
      <c r="D127" s="259"/>
      <c r="E127" s="259"/>
      <c r="F127" s="259"/>
      <c r="G127" s="259"/>
      <c r="H127" s="259"/>
      <c r="I127" s="259"/>
      <c r="J127" s="259"/>
      <c r="K127" s="259"/>
      <c r="L127" s="259"/>
      <c r="M127" s="236"/>
      <c r="N127" s="236"/>
    </row>
    <row r="128" spans="1:14" x14ac:dyDescent="0.2">
      <c r="A128" s="237" t="str">
        <f>name!E$4</f>
        <v>Managers, directors and senior officials</v>
      </c>
      <c r="B128" s="302">
        <v>8.7222858477726997E-2</v>
      </c>
      <c r="C128" s="302">
        <v>0.4701406237587783</v>
      </c>
      <c r="D128" s="302">
        <f>SUM(B128:C128)</f>
        <v>0.55736348223650534</v>
      </c>
      <c r="E128" s="303"/>
      <c r="F128" s="302">
        <v>0.10103040046863944</v>
      </c>
      <c r="G128" s="302">
        <v>0.46358349703941165</v>
      </c>
      <c r="H128" s="302">
        <f>SUM(F128:G128)</f>
        <v>0.56461389750805113</v>
      </c>
      <c r="I128" s="303"/>
      <c r="J128" s="302">
        <v>0.11044986318048176</v>
      </c>
      <c r="K128" s="302">
        <v>0.47608792776228576</v>
      </c>
      <c r="L128" s="302">
        <f>SUM(J128:K128)</f>
        <v>0.58653779094276748</v>
      </c>
      <c r="M128" s="236"/>
      <c r="N128" s="236"/>
    </row>
    <row r="129" spans="1:14" x14ac:dyDescent="0.2">
      <c r="A129" s="237" t="str">
        <f>name!E$5</f>
        <v>Professional occupations</v>
      </c>
      <c r="B129" s="302">
        <v>0.12481046156804192</v>
      </c>
      <c r="C129" s="302">
        <v>0.37958519299990939</v>
      </c>
      <c r="D129" s="302">
        <f t="shared" ref="D129:D136" si="37">SUM(B129:C129)</f>
        <v>0.50439565456795132</v>
      </c>
      <c r="E129" s="303"/>
      <c r="F129" s="302">
        <v>0.15879435965354718</v>
      </c>
      <c r="G129" s="302">
        <v>0.45530925287558627</v>
      </c>
      <c r="H129" s="302">
        <f t="shared" ref="H129:H136" si="38">SUM(F129:G129)</f>
        <v>0.61410361252913348</v>
      </c>
      <c r="I129" s="303"/>
      <c r="J129" s="302">
        <v>0.22947908153605573</v>
      </c>
      <c r="K129" s="302">
        <v>0.57095761189207384</v>
      </c>
      <c r="L129" s="302">
        <f t="shared" ref="L129:L136" si="39">SUM(J129:K129)</f>
        <v>0.80043669342812951</v>
      </c>
      <c r="M129" s="236"/>
      <c r="N129" s="236"/>
    </row>
    <row r="130" spans="1:14" x14ac:dyDescent="0.2">
      <c r="A130" s="237" t="str">
        <f>name!E$6</f>
        <v>Associate professional occupations</v>
      </c>
      <c r="B130" s="302">
        <v>0.212257155598227</v>
      </c>
      <c r="C130" s="302">
        <v>0.28919770234707076</v>
      </c>
      <c r="D130" s="302">
        <f t="shared" si="37"/>
        <v>0.50145485794529776</v>
      </c>
      <c r="E130" s="303"/>
      <c r="F130" s="302">
        <v>0.26628081319098762</v>
      </c>
      <c r="G130" s="302">
        <v>0.31072774843378331</v>
      </c>
      <c r="H130" s="302">
        <f t="shared" si="38"/>
        <v>0.57700856162477088</v>
      </c>
      <c r="I130" s="303"/>
      <c r="J130" s="302">
        <v>0.37981384680336477</v>
      </c>
      <c r="K130" s="302">
        <v>0.2973392534835122</v>
      </c>
      <c r="L130" s="302">
        <f t="shared" si="39"/>
        <v>0.67715310028687692</v>
      </c>
      <c r="M130" s="236"/>
      <c r="N130" s="236"/>
    </row>
    <row r="131" spans="1:14" x14ac:dyDescent="0.2">
      <c r="A131" s="237" t="str">
        <f>name!E$7</f>
        <v>Administrative and secretarial occupations</v>
      </c>
      <c r="B131" s="302">
        <v>0.31101681403401182</v>
      </c>
      <c r="C131" s="302">
        <v>0.11604805822974625</v>
      </c>
      <c r="D131" s="302">
        <f t="shared" si="37"/>
        <v>0.42706487226375806</v>
      </c>
      <c r="E131" s="303"/>
      <c r="F131" s="302">
        <v>0.26902340823817189</v>
      </c>
      <c r="G131" s="302">
        <v>0.12269753059179028</v>
      </c>
      <c r="H131" s="302">
        <f t="shared" si="38"/>
        <v>0.39172093882996217</v>
      </c>
      <c r="I131" s="303"/>
      <c r="J131" s="302">
        <v>0.23783504849663989</v>
      </c>
      <c r="K131" s="302">
        <v>0.20264396549162317</v>
      </c>
      <c r="L131" s="302">
        <f t="shared" si="39"/>
        <v>0.44047901398826306</v>
      </c>
      <c r="M131" s="236"/>
      <c r="N131" s="236"/>
    </row>
    <row r="132" spans="1:14" x14ac:dyDescent="0.2">
      <c r="A132" s="237" t="str">
        <f>name!E$8</f>
        <v>Skilled trades occupations</v>
      </c>
      <c r="B132" s="302">
        <v>1.7634134628142662E-2</v>
      </c>
      <c r="C132" s="302">
        <v>0.519468163205966</v>
      </c>
      <c r="D132" s="302">
        <f t="shared" si="37"/>
        <v>0.53710229783410868</v>
      </c>
      <c r="E132" s="303"/>
      <c r="F132" s="302">
        <v>2.4492528472953898E-2</v>
      </c>
      <c r="G132" s="302">
        <v>0.35731974075831952</v>
      </c>
      <c r="H132" s="302">
        <f t="shared" si="38"/>
        <v>0.38181226923127343</v>
      </c>
      <c r="I132" s="303"/>
      <c r="J132" s="302">
        <v>2.9583811913370093E-2</v>
      </c>
      <c r="K132" s="302">
        <v>0.29810072042351132</v>
      </c>
      <c r="L132" s="302">
        <f t="shared" si="39"/>
        <v>0.32768453233688144</v>
      </c>
      <c r="M132" s="236"/>
      <c r="N132" s="236"/>
    </row>
    <row r="133" spans="1:14" x14ac:dyDescent="0.2">
      <c r="A133" s="237" t="str">
        <f>name!E$9</f>
        <v>Caring, leisure and other service occupations</v>
      </c>
      <c r="B133" s="302">
        <v>9.3537949480029595E-2</v>
      </c>
      <c r="C133" s="302">
        <v>4.3034862025725387E-2</v>
      </c>
      <c r="D133" s="302">
        <f t="shared" si="37"/>
        <v>0.13657281150575498</v>
      </c>
      <c r="E133" s="303"/>
      <c r="F133" s="302">
        <v>8.764748801988051E-2</v>
      </c>
      <c r="G133" s="302">
        <v>4.306157517821825E-2</v>
      </c>
      <c r="H133" s="302">
        <f t="shared" si="38"/>
        <v>0.13070906319809877</v>
      </c>
      <c r="I133" s="303"/>
      <c r="J133" s="302">
        <v>0.1233627992069769</v>
      </c>
      <c r="K133" s="302">
        <v>4.1943609899618151E-2</v>
      </c>
      <c r="L133" s="302">
        <f t="shared" si="39"/>
        <v>0.16530640910659505</v>
      </c>
      <c r="M133" s="236"/>
      <c r="N133" s="236"/>
    </row>
    <row r="134" spans="1:14" x14ac:dyDescent="0.2">
      <c r="A134" s="237" t="str">
        <f>name!E$10</f>
        <v>Sales and customer service occupations</v>
      </c>
      <c r="B134" s="302">
        <v>7.9062978088476413E-2</v>
      </c>
      <c r="C134" s="302">
        <v>0.10383025393886211</v>
      </c>
      <c r="D134" s="302">
        <f>SUM(B134:C134)</f>
        <v>0.18289323202733854</v>
      </c>
      <c r="E134" s="303"/>
      <c r="F134" s="302">
        <v>7.2341511057799332E-2</v>
      </c>
      <c r="G134" s="302">
        <v>9.1209268435916757E-2</v>
      </c>
      <c r="H134" s="302">
        <f t="shared" si="38"/>
        <v>0.1635507794937161</v>
      </c>
      <c r="I134" s="303"/>
      <c r="J134" s="302">
        <v>7.8003188738561838E-2</v>
      </c>
      <c r="K134" s="302">
        <v>0.1267130837117213</v>
      </c>
      <c r="L134" s="302">
        <f t="shared" si="39"/>
        <v>0.20471627245028312</v>
      </c>
      <c r="M134" s="236"/>
      <c r="N134" s="236"/>
    </row>
    <row r="135" spans="1:14" x14ac:dyDescent="0.2">
      <c r="A135" s="237" t="str">
        <f>name!E$11</f>
        <v>Process, plant and machine operatives</v>
      </c>
      <c r="B135" s="302">
        <v>6.3358050381535302E-2</v>
      </c>
      <c r="C135" s="302">
        <v>1.4063441878363834</v>
      </c>
      <c r="D135" s="302">
        <f t="shared" si="37"/>
        <v>1.4697022382179186</v>
      </c>
      <c r="E135" s="303"/>
      <c r="F135" s="302">
        <v>4.0469245643674212E-2</v>
      </c>
      <c r="G135" s="302">
        <v>1.1624186645618093</v>
      </c>
      <c r="H135" s="302">
        <f t="shared" si="38"/>
        <v>1.2028879102054835</v>
      </c>
      <c r="I135" s="303"/>
      <c r="J135" s="302">
        <v>3.7197466337223317E-2</v>
      </c>
      <c r="K135" s="302">
        <v>1.2637496289378225</v>
      </c>
      <c r="L135" s="302">
        <f t="shared" si="39"/>
        <v>1.3009470952750459</v>
      </c>
      <c r="M135" s="236"/>
      <c r="N135" s="236"/>
    </row>
    <row r="136" spans="1:14" x14ac:dyDescent="0.2">
      <c r="A136" s="237" t="str">
        <f>name!E$12</f>
        <v>Elementary occupations</v>
      </c>
      <c r="B136" s="302">
        <v>0.13340703214856392</v>
      </c>
      <c r="C136" s="302">
        <v>0.79104352125280564</v>
      </c>
      <c r="D136" s="302">
        <f t="shared" si="37"/>
        <v>0.92445055340136961</v>
      </c>
      <c r="E136" s="303"/>
      <c r="F136" s="302">
        <v>9.7082128463623116E-2</v>
      </c>
      <c r="G136" s="302">
        <v>0.66251083891589213</v>
      </c>
      <c r="H136" s="302">
        <f t="shared" si="38"/>
        <v>0.7595929673795152</v>
      </c>
      <c r="I136" s="303"/>
      <c r="J136" s="302">
        <v>0.12242354069671023</v>
      </c>
      <c r="K136" s="302">
        <v>0.67831555148844636</v>
      </c>
      <c r="L136" s="302">
        <f t="shared" si="39"/>
        <v>0.8007390921851566</v>
      </c>
      <c r="M136" s="236"/>
      <c r="N136" s="236"/>
    </row>
    <row r="137" spans="1:14" x14ac:dyDescent="0.2">
      <c r="A137" s="237"/>
      <c r="B137" s="302"/>
      <c r="C137" s="302"/>
      <c r="D137" s="302"/>
      <c r="E137" s="303"/>
      <c r="F137" s="302"/>
      <c r="G137" s="302"/>
      <c r="H137" s="302"/>
      <c r="I137" s="303"/>
      <c r="J137" s="302"/>
      <c r="K137" s="302"/>
      <c r="L137" s="302"/>
      <c r="M137" s="236"/>
      <c r="N137" s="236"/>
    </row>
    <row r="138" spans="1:14" x14ac:dyDescent="0.2">
      <c r="A138" s="244" t="s">
        <v>33</v>
      </c>
      <c r="B138" s="311">
        <f>SUM(B128:B136)</f>
        <v>1.1223074344047557</v>
      </c>
      <c r="C138" s="311">
        <f t="shared" ref="C138" si="40">SUM(C128:C136)</f>
        <v>4.1186925655952473</v>
      </c>
      <c r="D138" s="311">
        <f>SUM(D128:D136)</f>
        <v>5.2410000000000032</v>
      </c>
      <c r="E138" s="311"/>
      <c r="F138" s="311">
        <f t="shared" ref="F138:H138" si="41">SUM(F128:F136)</f>
        <v>1.1171618832092773</v>
      </c>
      <c r="G138" s="311">
        <f t="shared" si="41"/>
        <v>3.6688381167907274</v>
      </c>
      <c r="H138" s="311">
        <f t="shared" si="41"/>
        <v>4.7860000000000049</v>
      </c>
      <c r="I138" s="311"/>
      <c r="J138" s="311">
        <f t="shared" ref="J138:L138" si="42">SUM(J128:J136)</f>
        <v>1.3481486469093846</v>
      </c>
      <c r="K138" s="311">
        <f t="shared" si="42"/>
        <v>3.955851353090615</v>
      </c>
      <c r="L138" s="311">
        <f t="shared" si="42"/>
        <v>5.3039999999999985</v>
      </c>
      <c r="M138" s="236"/>
      <c r="N138" s="236"/>
    </row>
    <row r="139" spans="1:14" x14ac:dyDescent="0.2">
      <c r="A139" s="237"/>
      <c r="B139" s="237"/>
      <c r="C139" s="237"/>
      <c r="D139" s="237"/>
      <c r="E139" s="237"/>
      <c r="F139" s="237"/>
      <c r="G139" s="237"/>
      <c r="H139" s="237"/>
      <c r="I139" s="237"/>
      <c r="J139" s="237"/>
      <c r="K139" s="237"/>
      <c r="L139" s="240"/>
      <c r="M139" s="236"/>
      <c r="N139" s="236"/>
    </row>
    <row r="140" spans="1:14" x14ac:dyDescent="0.2">
      <c r="A140" s="237"/>
      <c r="B140" s="237"/>
      <c r="C140" s="237"/>
      <c r="D140" s="237"/>
      <c r="E140" s="237"/>
      <c r="F140" s="237"/>
      <c r="G140" s="237"/>
      <c r="H140" s="237"/>
      <c r="I140" s="237"/>
      <c r="J140" s="237"/>
      <c r="K140" s="237"/>
      <c r="L140" s="256" t="s">
        <v>36</v>
      </c>
      <c r="M140" s="236"/>
      <c r="N140" s="236"/>
    </row>
    <row r="141" spans="1:14" x14ac:dyDescent="0.2">
      <c r="A141" s="242"/>
      <c r="B141" s="250"/>
      <c r="C141" s="250"/>
      <c r="D141" s="250"/>
      <c r="E141" s="250"/>
      <c r="F141" s="250"/>
      <c r="G141" s="250"/>
      <c r="H141" s="250"/>
      <c r="I141" s="250"/>
      <c r="J141" s="250"/>
      <c r="K141" s="250"/>
      <c r="L141" s="236"/>
      <c r="M141" s="236"/>
      <c r="N141" s="236"/>
    </row>
    <row r="142" spans="1:14" x14ac:dyDescent="0.2">
      <c r="A142" s="241" t="str">
        <f>name!B11</f>
        <v>Construction</v>
      </c>
      <c r="B142" s="375">
        <f>B$6</f>
        <v>2015</v>
      </c>
      <c r="C142" s="375"/>
      <c r="D142" s="375"/>
      <c r="E142" s="253"/>
      <c r="F142" s="375">
        <f>F125</f>
        <v>2020</v>
      </c>
      <c r="G142" s="375"/>
      <c r="H142" s="375"/>
      <c r="I142" s="253"/>
      <c r="J142" s="375">
        <f>J125</f>
        <v>2035</v>
      </c>
      <c r="K142" s="375"/>
      <c r="L142" s="375"/>
      <c r="M142" s="236"/>
      <c r="N142" s="236"/>
    </row>
    <row r="143" spans="1:14" x14ac:dyDescent="0.2">
      <c r="A143" s="254"/>
      <c r="B143" s="255" t="s">
        <v>361</v>
      </c>
      <c r="C143" s="255" t="s">
        <v>362</v>
      </c>
      <c r="D143" s="255" t="s">
        <v>33</v>
      </c>
      <c r="E143" s="255"/>
      <c r="F143" s="255" t="s">
        <v>361</v>
      </c>
      <c r="G143" s="255" t="s">
        <v>362</v>
      </c>
      <c r="H143" s="255" t="s">
        <v>33</v>
      </c>
      <c r="I143" s="255"/>
      <c r="J143" s="255" t="s">
        <v>361</v>
      </c>
      <c r="K143" s="255" t="s">
        <v>362</v>
      </c>
      <c r="L143" s="255" t="s">
        <v>33</v>
      </c>
      <c r="M143" s="236"/>
      <c r="N143" s="236"/>
    </row>
    <row r="144" spans="1:14" x14ac:dyDescent="0.2">
      <c r="A144" s="258"/>
      <c r="B144" s="259"/>
      <c r="C144" s="259"/>
      <c r="D144" s="259"/>
      <c r="E144" s="259"/>
      <c r="F144" s="259"/>
      <c r="G144" s="259"/>
      <c r="H144" s="259"/>
      <c r="I144" s="259"/>
      <c r="J144" s="259"/>
      <c r="K144" s="259"/>
      <c r="L144" s="259"/>
      <c r="M144" s="236"/>
      <c r="N144" s="236"/>
    </row>
    <row r="145" spans="1:14" x14ac:dyDescent="0.2">
      <c r="A145" s="237" t="str">
        <f>name!E$4</f>
        <v>Managers, directors and senior officials</v>
      </c>
      <c r="B145" s="302">
        <v>0.63235002102243043</v>
      </c>
      <c r="C145" s="302">
        <v>2.6802919881116778</v>
      </c>
      <c r="D145" s="302">
        <f>SUM(B145:C145)</f>
        <v>3.312642009134108</v>
      </c>
      <c r="E145" s="303"/>
      <c r="F145" s="302">
        <v>0.81505709247682856</v>
      </c>
      <c r="G145" s="302">
        <v>3.2737878670724632</v>
      </c>
      <c r="H145" s="302">
        <f>SUM(F145:G145)</f>
        <v>4.0888449595492915</v>
      </c>
      <c r="I145" s="303"/>
      <c r="J145" s="302">
        <v>0.93650427539813308</v>
      </c>
      <c r="K145" s="302">
        <v>3.1125792151408862</v>
      </c>
      <c r="L145" s="302">
        <f>SUM(J145:K145)</f>
        <v>4.0490834905390196</v>
      </c>
      <c r="M145" s="236"/>
      <c r="N145" s="236"/>
    </row>
    <row r="146" spans="1:14" x14ac:dyDescent="0.2">
      <c r="A146" s="237" t="str">
        <f>name!E$5</f>
        <v>Professional occupations</v>
      </c>
      <c r="B146" s="302">
        <v>0.67282966445484893</v>
      </c>
      <c r="C146" s="302">
        <v>4.3501962129410785</v>
      </c>
      <c r="D146" s="302">
        <f t="shared" ref="D146:D153" si="43">SUM(B146:C146)</f>
        <v>5.0230258773959271</v>
      </c>
      <c r="E146" s="303"/>
      <c r="F146" s="302">
        <v>0.82061494427257931</v>
      </c>
      <c r="G146" s="302">
        <v>5.4086644695650214</v>
      </c>
      <c r="H146" s="302">
        <f t="shared" ref="H146:H153" si="44">SUM(F146:G146)</f>
        <v>6.2292794138376006</v>
      </c>
      <c r="I146" s="303"/>
      <c r="J146" s="302">
        <v>1.0662999056584861</v>
      </c>
      <c r="K146" s="302">
        <v>7.0062243085560114</v>
      </c>
      <c r="L146" s="302">
        <f t="shared" ref="L146:L153" si="45">SUM(J146:K146)</f>
        <v>8.0725242142144982</v>
      </c>
      <c r="M146" s="236"/>
      <c r="N146" s="236"/>
    </row>
    <row r="147" spans="1:14" x14ac:dyDescent="0.2">
      <c r="A147" s="237" t="str">
        <f>name!E$6</f>
        <v>Associate professional occupations</v>
      </c>
      <c r="B147" s="302">
        <v>0.65321346144884229</v>
      </c>
      <c r="C147" s="302">
        <v>1.8245453201886008</v>
      </c>
      <c r="D147" s="302">
        <f t="shared" si="43"/>
        <v>2.4777587816374433</v>
      </c>
      <c r="E147" s="303"/>
      <c r="F147" s="302">
        <v>0.70032213020673706</v>
      </c>
      <c r="G147" s="302">
        <v>2.1920055034200114</v>
      </c>
      <c r="H147" s="302">
        <f t="shared" si="44"/>
        <v>2.8923276336267483</v>
      </c>
      <c r="I147" s="303"/>
      <c r="J147" s="302">
        <v>0.88436800336030408</v>
      </c>
      <c r="K147" s="302">
        <v>2.2255884474543013</v>
      </c>
      <c r="L147" s="302">
        <f t="shared" si="45"/>
        <v>3.1099564508146056</v>
      </c>
      <c r="M147" s="236"/>
      <c r="N147" s="236"/>
    </row>
    <row r="148" spans="1:14" x14ac:dyDescent="0.2">
      <c r="A148" s="237" t="str">
        <f>name!E$7</f>
        <v>Administrative and secretarial occupations</v>
      </c>
      <c r="B148" s="302">
        <v>2.4960313423839566</v>
      </c>
      <c r="C148" s="302">
        <v>0.95218652216269672</v>
      </c>
      <c r="D148" s="302">
        <f t="shared" si="43"/>
        <v>3.4482178645466535</v>
      </c>
      <c r="E148" s="303"/>
      <c r="F148" s="302">
        <v>2.1409268083999482</v>
      </c>
      <c r="G148" s="302">
        <v>1.0521884554193515</v>
      </c>
      <c r="H148" s="302">
        <f t="shared" si="44"/>
        <v>3.1931152638192994</v>
      </c>
      <c r="I148" s="303"/>
      <c r="J148" s="302">
        <v>1.8668574995529725</v>
      </c>
      <c r="K148" s="302">
        <v>1.3097167555892282</v>
      </c>
      <c r="L148" s="302">
        <f t="shared" si="45"/>
        <v>3.1765742551422007</v>
      </c>
      <c r="M148" s="236"/>
      <c r="N148" s="236"/>
    </row>
    <row r="149" spans="1:14" x14ac:dyDescent="0.2">
      <c r="A149" s="237" t="str">
        <f>name!E$8</f>
        <v>Skilled trades occupations</v>
      </c>
      <c r="B149" s="302">
        <v>3.9004727556841118E-2</v>
      </c>
      <c r="C149" s="302">
        <v>13.613339273168165</v>
      </c>
      <c r="D149" s="302">
        <f t="shared" si="43"/>
        <v>13.652344000725007</v>
      </c>
      <c r="E149" s="303"/>
      <c r="F149" s="302">
        <v>4.9278184371637307E-2</v>
      </c>
      <c r="G149" s="302">
        <v>11.257184499087975</v>
      </c>
      <c r="H149" s="302">
        <f t="shared" si="44"/>
        <v>11.306462683459612</v>
      </c>
      <c r="I149" s="303"/>
      <c r="J149" s="302">
        <v>6.5042679755603475E-2</v>
      </c>
      <c r="K149" s="302">
        <v>10.424646925021889</v>
      </c>
      <c r="L149" s="302">
        <f t="shared" si="45"/>
        <v>10.489689604777492</v>
      </c>
      <c r="M149" s="236"/>
      <c r="N149" s="236"/>
    </row>
    <row r="150" spans="1:14" x14ac:dyDescent="0.2">
      <c r="A150" s="237" t="str">
        <f>name!E$9</f>
        <v>Caring, leisure and other service occupations</v>
      </c>
      <c r="B150" s="302">
        <v>3.253845258276971E-2</v>
      </c>
      <c r="C150" s="302">
        <v>7.3987062626906352E-2</v>
      </c>
      <c r="D150" s="302">
        <f t="shared" si="43"/>
        <v>0.10652551520967607</v>
      </c>
      <c r="E150" s="303"/>
      <c r="F150" s="302">
        <v>3.2367436364220251E-2</v>
      </c>
      <c r="G150" s="302">
        <v>8.3617901941591591E-2</v>
      </c>
      <c r="H150" s="302">
        <f t="shared" si="44"/>
        <v>0.11598533830581184</v>
      </c>
      <c r="I150" s="303"/>
      <c r="J150" s="302">
        <v>3.2014916096918436E-2</v>
      </c>
      <c r="K150" s="302">
        <v>7.5773755674402005E-2</v>
      </c>
      <c r="L150" s="302">
        <f t="shared" si="45"/>
        <v>0.10778867177132044</v>
      </c>
      <c r="M150" s="236"/>
      <c r="N150" s="236"/>
    </row>
    <row r="151" spans="1:14" x14ac:dyDescent="0.2">
      <c r="A151" s="237" t="str">
        <f>name!E$10</f>
        <v>Sales and customer service occupations</v>
      </c>
      <c r="B151" s="302">
        <v>0.36680057844603142</v>
      </c>
      <c r="C151" s="302">
        <v>0.49001595257843761</v>
      </c>
      <c r="D151" s="302">
        <f t="shared" si="43"/>
        <v>0.85681653102446909</v>
      </c>
      <c r="E151" s="303"/>
      <c r="F151" s="302">
        <v>0.33112073526752034</v>
      </c>
      <c r="G151" s="302">
        <v>0.4969162802944791</v>
      </c>
      <c r="H151" s="302">
        <f t="shared" si="44"/>
        <v>0.82803701556199938</v>
      </c>
      <c r="I151" s="303"/>
      <c r="J151" s="302">
        <v>0.31718812959466131</v>
      </c>
      <c r="K151" s="302">
        <v>0.56664316635858425</v>
      </c>
      <c r="L151" s="302">
        <f t="shared" si="45"/>
        <v>0.8838312959532455</v>
      </c>
      <c r="M151" s="236"/>
      <c r="N151" s="236"/>
    </row>
    <row r="152" spans="1:14" x14ac:dyDescent="0.2">
      <c r="A152" s="237" t="str">
        <f>name!E$11</f>
        <v>Process, plant and machine operatives</v>
      </c>
      <c r="B152" s="302">
        <v>5.0235093171443541E-2</v>
      </c>
      <c r="C152" s="302">
        <v>3.862337018836556</v>
      </c>
      <c r="D152" s="302">
        <f t="shared" si="43"/>
        <v>3.9125721120079997</v>
      </c>
      <c r="E152" s="303"/>
      <c r="F152" s="302">
        <v>4.092206106825378E-2</v>
      </c>
      <c r="G152" s="302">
        <v>3.2839191128357403</v>
      </c>
      <c r="H152" s="302">
        <f t="shared" si="44"/>
        <v>3.324841173903994</v>
      </c>
      <c r="I152" s="303"/>
      <c r="J152" s="302">
        <v>5.2394834672056544E-2</v>
      </c>
      <c r="K152" s="302">
        <v>3.2463939136614206</v>
      </c>
      <c r="L152" s="302">
        <f t="shared" si="45"/>
        <v>3.298788748333477</v>
      </c>
      <c r="M152" s="236"/>
      <c r="N152" s="236"/>
    </row>
    <row r="153" spans="1:14" x14ac:dyDescent="0.2">
      <c r="A153" s="237" t="str">
        <f>name!E$12</f>
        <v>Elementary occupations</v>
      </c>
      <c r="B153" s="302">
        <v>0.30030911627389878</v>
      </c>
      <c r="C153" s="302">
        <v>2.1607881920448802</v>
      </c>
      <c r="D153" s="302">
        <f t="shared" si="43"/>
        <v>2.461097308318779</v>
      </c>
      <c r="E153" s="303"/>
      <c r="F153" s="302">
        <v>0.2258928556166751</v>
      </c>
      <c r="G153" s="302">
        <v>1.8162136623189586</v>
      </c>
      <c r="H153" s="302">
        <f t="shared" si="44"/>
        <v>2.0421065179356339</v>
      </c>
      <c r="I153" s="303"/>
      <c r="J153" s="302">
        <v>0.3651621567438284</v>
      </c>
      <c r="K153" s="302">
        <v>2.0736011117103499</v>
      </c>
      <c r="L153" s="302">
        <f t="shared" si="45"/>
        <v>2.4387632684541782</v>
      </c>
      <c r="M153" s="236"/>
      <c r="N153" s="236"/>
    </row>
    <row r="154" spans="1:14" x14ac:dyDescent="0.2">
      <c r="A154" s="237"/>
      <c r="B154" s="302"/>
      <c r="C154" s="302"/>
      <c r="D154" s="302"/>
      <c r="E154" s="303"/>
      <c r="F154" s="302"/>
      <c r="G154" s="302"/>
      <c r="H154" s="302"/>
      <c r="I154" s="303"/>
      <c r="J154" s="302"/>
      <c r="K154" s="302"/>
      <c r="L154" s="302"/>
      <c r="M154" s="236"/>
      <c r="N154" s="236"/>
    </row>
    <row r="155" spans="1:14" x14ac:dyDescent="0.2">
      <c r="A155" s="244" t="s">
        <v>33</v>
      </c>
      <c r="B155" s="311">
        <f>SUM(B145:B153)</f>
        <v>5.2433124573410623</v>
      </c>
      <c r="C155" s="311">
        <f t="shared" ref="C155:D155" si="46">SUM(C145:C153)</f>
        <v>30.007687542658999</v>
      </c>
      <c r="D155" s="311">
        <f t="shared" si="46"/>
        <v>35.251000000000062</v>
      </c>
      <c r="E155" s="311"/>
      <c r="F155" s="311">
        <f t="shared" ref="F155:H155" si="47">SUM(F145:F153)</f>
        <v>5.1565022480443998</v>
      </c>
      <c r="G155" s="311">
        <f t="shared" si="47"/>
        <v>28.864497751955589</v>
      </c>
      <c r="H155" s="311">
        <f t="shared" si="47"/>
        <v>34.020999999999994</v>
      </c>
      <c r="I155" s="311"/>
      <c r="J155" s="311">
        <f t="shared" ref="J155:L155" si="48">SUM(J145:J153)</f>
        <v>5.5858324008329641</v>
      </c>
      <c r="K155" s="311">
        <f t="shared" si="48"/>
        <v>30.041167599167071</v>
      </c>
      <c r="L155" s="311">
        <f t="shared" si="48"/>
        <v>35.627000000000045</v>
      </c>
      <c r="M155" s="236"/>
      <c r="N155" s="236"/>
    </row>
    <row r="156" spans="1:14" x14ac:dyDescent="0.2">
      <c r="A156" s="237"/>
      <c r="B156" s="237"/>
      <c r="C156" s="237"/>
      <c r="D156" s="237"/>
      <c r="E156" s="237"/>
      <c r="F156" s="237"/>
      <c r="G156" s="237"/>
      <c r="H156" s="237"/>
      <c r="I156" s="237"/>
      <c r="J156" s="237"/>
      <c r="K156" s="237"/>
      <c r="L156" s="240"/>
      <c r="M156" s="236"/>
      <c r="N156" s="236"/>
    </row>
    <row r="157" spans="1:14" x14ac:dyDescent="0.2">
      <c r="A157" s="237"/>
      <c r="B157" s="237"/>
      <c r="C157" s="237"/>
      <c r="D157" s="237"/>
      <c r="E157" s="237"/>
      <c r="F157" s="237"/>
      <c r="G157" s="237"/>
      <c r="H157" s="237"/>
      <c r="I157" s="237"/>
      <c r="J157" s="237"/>
      <c r="K157" s="237"/>
      <c r="L157" s="256" t="s">
        <v>36</v>
      </c>
      <c r="M157" s="236"/>
      <c r="N157" s="236"/>
    </row>
    <row r="158" spans="1:14" x14ac:dyDescent="0.2">
      <c r="A158" s="242"/>
      <c r="B158" s="250"/>
      <c r="C158" s="250"/>
      <c r="D158" s="250"/>
      <c r="E158" s="250"/>
      <c r="F158" s="250"/>
      <c r="G158" s="250"/>
      <c r="H158" s="250"/>
      <c r="I158" s="250"/>
      <c r="J158" s="250"/>
      <c r="K158" s="250"/>
      <c r="L158" s="236"/>
      <c r="M158" s="236"/>
      <c r="N158" s="236"/>
    </row>
    <row r="159" spans="1:14" x14ac:dyDescent="0.2">
      <c r="A159" s="241" t="str">
        <f>name!B12</f>
        <v>Wholesale and retail trade</v>
      </c>
      <c r="B159" s="375">
        <f>B$6</f>
        <v>2015</v>
      </c>
      <c r="C159" s="375"/>
      <c r="D159" s="375"/>
      <c r="E159" s="253"/>
      <c r="F159" s="375">
        <f>F142</f>
        <v>2020</v>
      </c>
      <c r="G159" s="375"/>
      <c r="H159" s="375"/>
      <c r="I159" s="253"/>
      <c r="J159" s="375">
        <f>J142</f>
        <v>2035</v>
      </c>
      <c r="K159" s="375"/>
      <c r="L159" s="375"/>
      <c r="M159" s="236"/>
      <c r="N159" s="236"/>
    </row>
    <row r="160" spans="1:14" x14ac:dyDescent="0.2">
      <c r="A160" s="254"/>
      <c r="B160" s="255" t="s">
        <v>361</v>
      </c>
      <c r="C160" s="255" t="s">
        <v>362</v>
      </c>
      <c r="D160" s="255" t="s">
        <v>33</v>
      </c>
      <c r="E160" s="255"/>
      <c r="F160" s="255" t="s">
        <v>361</v>
      </c>
      <c r="G160" s="255" t="s">
        <v>362</v>
      </c>
      <c r="H160" s="255" t="s">
        <v>33</v>
      </c>
      <c r="I160" s="255"/>
      <c r="J160" s="255" t="s">
        <v>361</v>
      </c>
      <c r="K160" s="255" t="s">
        <v>362</v>
      </c>
      <c r="L160" s="255" t="s">
        <v>33</v>
      </c>
      <c r="M160" s="236"/>
      <c r="N160" s="236"/>
    </row>
    <row r="161" spans="1:14" x14ac:dyDescent="0.2">
      <c r="A161" s="258"/>
      <c r="B161" s="259"/>
      <c r="C161" s="259"/>
      <c r="D161" s="259"/>
      <c r="E161" s="259"/>
      <c r="F161" s="259"/>
      <c r="G161" s="259"/>
      <c r="H161" s="259"/>
      <c r="I161" s="259"/>
      <c r="J161" s="259"/>
      <c r="K161" s="259"/>
      <c r="L161" s="259"/>
      <c r="M161" s="236"/>
      <c r="N161" s="236"/>
    </row>
    <row r="162" spans="1:14" x14ac:dyDescent="0.2">
      <c r="A162" s="237" t="str">
        <f>name!E$4</f>
        <v>Managers, directors and senior officials</v>
      </c>
      <c r="B162" s="302">
        <v>2.5080368437284295</v>
      </c>
      <c r="C162" s="302">
        <v>6.8396740793406341</v>
      </c>
      <c r="D162" s="302">
        <f>SUM(B162:C162)</f>
        <v>9.347710923069064</v>
      </c>
      <c r="E162" s="303"/>
      <c r="F162" s="302">
        <v>2.9484552610103392</v>
      </c>
      <c r="G162" s="302">
        <v>8.5521853743841199</v>
      </c>
      <c r="H162" s="302">
        <f>SUM(F162:G162)</f>
        <v>11.500640635394459</v>
      </c>
      <c r="I162" s="303"/>
      <c r="J162" s="302">
        <v>3.4019100017305801</v>
      </c>
      <c r="K162" s="302">
        <v>8.7447480326702411</v>
      </c>
      <c r="L162" s="302">
        <f>SUM(J162:K162)</f>
        <v>12.146658034400822</v>
      </c>
      <c r="M162" s="236"/>
      <c r="N162" s="236"/>
    </row>
    <row r="163" spans="1:14" x14ac:dyDescent="0.2">
      <c r="A163" s="237" t="str">
        <f>name!E$5</f>
        <v>Professional occupations</v>
      </c>
      <c r="B163" s="302">
        <v>1.8479515667055786</v>
      </c>
      <c r="C163" s="302">
        <v>3.7049615857837472</v>
      </c>
      <c r="D163" s="302">
        <f t="shared" ref="D163:D170" si="49">SUM(B163:C163)</f>
        <v>5.5529131524893263</v>
      </c>
      <c r="E163" s="303"/>
      <c r="F163" s="302">
        <v>2.4140987342171449</v>
      </c>
      <c r="G163" s="302">
        <v>4.9261689207881103</v>
      </c>
      <c r="H163" s="302">
        <f t="shared" ref="H163:H170" si="50">SUM(F163:G163)</f>
        <v>7.3402676550052552</v>
      </c>
      <c r="I163" s="303"/>
      <c r="J163" s="302">
        <v>2.9469263329723669</v>
      </c>
      <c r="K163" s="302">
        <v>6.4854284728132949</v>
      </c>
      <c r="L163" s="302">
        <f t="shared" ref="L163:L170" si="51">SUM(J163:K163)</f>
        <v>9.4323548057856623</v>
      </c>
      <c r="M163" s="236"/>
      <c r="N163" s="236"/>
    </row>
    <row r="164" spans="1:14" x14ac:dyDescent="0.2">
      <c r="A164" s="237" t="str">
        <f>name!E$6</f>
        <v>Associate professional occupations</v>
      </c>
      <c r="B164" s="302">
        <v>2.5685094977125447</v>
      </c>
      <c r="C164" s="302">
        <v>3.5356616512119081</v>
      </c>
      <c r="D164" s="302">
        <f t="shared" si="49"/>
        <v>6.1041711489244523</v>
      </c>
      <c r="E164" s="303"/>
      <c r="F164" s="302">
        <v>2.9879445830753548</v>
      </c>
      <c r="G164" s="302">
        <v>4.303383292162148</v>
      </c>
      <c r="H164" s="302">
        <f t="shared" si="50"/>
        <v>7.2913278752375028</v>
      </c>
      <c r="I164" s="303"/>
      <c r="J164" s="302">
        <v>3.2911444038392128</v>
      </c>
      <c r="K164" s="302">
        <v>4.5547005999119241</v>
      </c>
      <c r="L164" s="302">
        <f t="shared" si="51"/>
        <v>7.8458450037511369</v>
      </c>
      <c r="M164" s="236"/>
      <c r="N164" s="236"/>
    </row>
    <row r="165" spans="1:14" x14ac:dyDescent="0.2">
      <c r="A165" s="237" t="str">
        <f>name!E$7</f>
        <v>Administrative and secretarial occupations</v>
      </c>
      <c r="B165" s="302">
        <v>5.217705720824501</v>
      </c>
      <c r="C165" s="302">
        <v>2.385509606764634</v>
      </c>
      <c r="D165" s="302">
        <f t="shared" si="49"/>
        <v>7.603215327589135</v>
      </c>
      <c r="E165" s="303"/>
      <c r="F165" s="302">
        <v>5.3847704671851213</v>
      </c>
      <c r="G165" s="302">
        <v>2.7023455034600423</v>
      </c>
      <c r="H165" s="302">
        <f t="shared" si="50"/>
        <v>8.0871159706451632</v>
      </c>
      <c r="I165" s="303"/>
      <c r="J165" s="302">
        <v>5.4758172448203242</v>
      </c>
      <c r="K165" s="302">
        <v>3.5912203481724236</v>
      </c>
      <c r="L165" s="302">
        <f t="shared" si="51"/>
        <v>9.0670375929927474</v>
      </c>
      <c r="M165" s="236"/>
      <c r="N165" s="236"/>
    </row>
    <row r="166" spans="1:14" x14ac:dyDescent="0.2">
      <c r="A166" s="237" t="str">
        <f>name!E$8</f>
        <v>Skilled trades occupations</v>
      </c>
      <c r="B166" s="302">
        <v>0.84069652599698641</v>
      </c>
      <c r="C166" s="302">
        <v>7.0924371030036282</v>
      </c>
      <c r="D166" s="302">
        <f t="shared" si="49"/>
        <v>7.9331336290006149</v>
      </c>
      <c r="E166" s="303"/>
      <c r="F166" s="302">
        <v>0.70242181225773048</v>
      </c>
      <c r="G166" s="302">
        <v>6.158639564636867</v>
      </c>
      <c r="H166" s="302">
        <f t="shared" si="50"/>
        <v>6.8610613768945976</v>
      </c>
      <c r="I166" s="303"/>
      <c r="J166" s="302">
        <v>0.78202608333839896</v>
      </c>
      <c r="K166" s="302">
        <v>6.2485058125052202</v>
      </c>
      <c r="L166" s="302">
        <f t="shared" si="51"/>
        <v>7.0305318958436196</v>
      </c>
      <c r="M166" s="236"/>
      <c r="N166" s="236"/>
    </row>
    <row r="167" spans="1:14" x14ac:dyDescent="0.2">
      <c r="A167" s="237" t="str">
        <f>name!E$9</f>
        <v>Caring, leisure and other service occupations</v>
      </c>
      <c r="B167" s="302">
        <v>0.38076431042927916</v>
      </c>
      <c r="C167" s="302">
        <v>0.14859722996185487</v>
      </c>
      <c r="D167" s="302">
        <f t="shared" si="49"/>
        <v>0.52936154039113403</v>
      </c>
      <c r="E167" s="303"/>
      <c r="F167" s="302">
        <v>0.3337204286167843</v>
      </c>
      <c r="G167" s="302">
        <v>0.16298340598258654</v>
      </c>
      <c r="H167" s="302">
        <f t="shared" si="50"/>
        <v>0.49670383459937084</v>
      </c>
      <c r="I167" s="303"/>
      <c r="J167" s="302">
        <v>0.40018886519932451</v>
      </c>
      <c r="K167" s="302">
        <v>0.19724567530526804</v>
      </c>
      <c r="L167" s="302">
        <f t="shared" si="51"/>
        <v>0.59743454050459255</v>
      </c>
      <c r="M167" s="236"/>
      <c r="N167" s="236"/>
    </row>
    <row r="168" spans="1:14" x14ac:dyDescent="0.2">
      <c r="A168" s="237" t="str">
        <f>name!E$10</f>
        <v>Sales and customer service occupations</v>
      </c>
      <c r="B168" s="302">
        <v>21.442278454319617</v>
      </c>
      <c r="C168" s="302">
        <v>9.0482073019342284</v>
      </c>
      <c r="D168" s="302">
        <f t="shared" si="49"/>
        <v>30.490485756253847</v>
      </c>
      <c r="E168" s="303"/>
      <c r="F168" s="302">
        <v>18.370380229210944</v>
      </c>
      <c r="G168" s="302">
        <v>8.4145267999644613</v>
      </c>
      <c r="H168" s="302">
        <f t="shared" si="50"/>
        <v>26.784907029175407</v>
      </c>
      <c r="I168" s="303"/>
      <c r="J168" s="302">
        <v>15.750125083318208</v>
      </c>
      <c r="K168" s="302">
        <v>8.0080569729345488</v>
      </c>
      <c r="L168" s="302">
        <f t="shared" si="51"/>
        <v>23.758182056252757</v>
      </c>
      <c r="M168" s="236"/>
      <c r="N168" s="236"/>
    </row>
    <row r="169" spans="1:14" x14ac:dyDescent="0.2">
      <c r="A169" s="237" t="str">
        <f>name!E$11</f>
        <v>Process, plant and machine operatives</v>
      </c>
      <c r="B169" s="302">
        <v>1.7254431978531042</v>
      </c>
      <c r="C169" s="302">
        <v>5.0965499589368779</v>
      </c>
      <c r="D169" s="302">
        <f t="shared" si="49"/>
        <v>6.8219931567899819</v>
      </c>
      <c r="E169" s="303"/>
      <c r="F169" s="302">
        <v>1.624077652726176</v>
      </c>
      <c r="G169" s="302">
        <v>4.6749316577843816</v>
      </c>
      <c r="H169" s="302">
        <f t="shared" si="50"/>
        <v>6.2990093105105576</v>
      </c>
      <c r="I169" s="303"/>
      <c r="J169" s="302">
        <v>2.3036796204574164</v>
      </c>
      <c r="K169" s="302">
        <v>4.2876051337656342</v>
      </c>
      <c r="L169" s="302">
        <f t="shared" si="51"/>
        <v>6.5912847542230502</v>
      </c>
      <c r="M169" s="236"/>
      <c r="N169" s="236"/>
    </row>
    <row r="170" spans="1:14" x14ac:dyDescent="0.2">
      <c r="A170" s="237" t="str">
        <f>name!E$12</f>
        <v>Elementary occupations</v>
      </c>
      <c r="B170" s="302">
        <v>3.7918697355537443</v>
      </c>
      <c r="C170" s="302">
        <v>4.5991456299386329</v>
      </c>
      <c r="D170" s="302">
        <f t="shared" si="49"/>
        <v>8.3910153654923771</v>
      </c>
      <c r="E170" s="303"/>
      <c r="F170" s="302">
        <v>3.2231348653785359</v>
      </c>
      <c r="G170" s="302">
        <v>3.6058314471590931</v>
      </c>
      <c r="H170" s="302">
        <f t="shared" si="50"/>
        <v>6.828966312537629</v>
      </c>
      <c r="I170" s="303"/>
      <c r="J170" s="302">
        <v>4.3881001197974774</v>
      </c>
      <c r="K170" s="302">
        <v>3.1745711964482437</v>
      </c>
      <c r="L170" s="302">
        <f t="shared" si="51"/>
        <v>7.5626713162457211</v>
      </c>
      <c r="M170" s="236"/>
      <c r="N170" s="236"/>
    </row>
    <row r="171" spans="1:14" x14ac:dyDescent="0.2">
      <c r="A171" s="237"/>
      <c r="B171" s="302"/>
      <c r="C171" s="302"/>
      <c r="D171" s="302"/>
      <c r="E171" s="303"/>
      <c r="F171" s="302"/>
      <c r="G171" s="302"/>
      <c r="H171" s="302"/>
      <c r="I171" s="303"/>
      <c r="J171" s="302"/>
      <c r="K171" s="302"/>
      <c r="L171" s="302"/>
      <c r="M171" s="236"/>
      <c r="N171" s="236"/>
    </row>
    <row r="172" spans="1:14" x14ac:dyDescent="0.2">
      <c r="A172" s="244" t="s">
        <v>33</v>
      </c>
      <c r="B172" s="311">
        <f>SUM(B162:B170)</f>
        <v>40.323255853123783</v>
      </c>
      <c r="C172" s="311">
        <f t="shared" ref="C172:D172" si="52">SUM(C162:C170)</f>
        <v>42.450744146876147</v>
      </c>
      <c r="D172" s="311">
        <f t="shared" si="52"/>
        <v>82.773999999999944</v>
      </c>
      <c r="E172" s="311"/>
      <c r="F172" s="311">
        <f t="shared" ref="F172:H172" si="53">SUM(F162:F170)</f>
        <v>37.989004033678128</v>
      </c>
      <c r="G172" s="311">
        <f t="shared" si="53"/>
        <v>43.50099596632181</v>
      </c>
      <c r="H172" s="311">
        <f t="shared" si="53"/>
        <v>81.489999999999938</v>
      </c>
      <c r="I172" s="311"/>
      <c r="J172" s="311">
        <f t="shared" ref="J172:L172" si="54">SUM(J162:J170)</f>
        <v>38.739917755473307</v>
      </c>
      <c r="K172" s="311">
        <f t="shared" si="54"/>
        <v>45.292082244526796</v>
      </c>
      <c r="L172" s="311">
        <f t="shared" si="54"/>
        <v>84.032000000000124</v>
      </c>
      <c r="M172" s="236"/>
      <c r="N172" s="236"/>
    </row>
    <row r="173" spans="1:14" x14ac:dyDescent="0.2">
      <c r="A173" s="237"/>
      <c r="B173" s="237"/>
      <c r="C173" s="237"/>
      <c r="D173" s="237"/>
      <c r="E173" s="237"/>
      <c r="F173" s="237"/>
      <c r="G173" s="237"/>
      <c r="H173" s="237"/>
      <c r="I173" s="237"/>
      <c r="J173" s="237"/>
      <c r="K173" s="237"/>
      <c r="L173" s="240"/>
      <c r="M173" s="236"/>
      <c r="N173" s="236"/>
    </row>
    <row r="174" spans="1:14" x14ac:dyDescent="0.2">
      <c r="A174" s="237"/>
      <c r="B174" s="237"/>
      <c r="C174" s="237"/>
      <c r="D174" s="237"/>
      <c r="E174" s="237"/>
      <c r="F174" s="237"/>
      <c r="G174" s="237"/>
      <c r="H174" s="237"/>
      <c r="I174" s="237"/>
      <c r="J174" s="237"/>
      <c r="K174" s="237"/>
      <c r="L174" s="256" t="s">
        <v>36</v>
      </c>
      <c r="M174" s="236"/>
      <c r="N174" s="236"/>
    </row>
    <row r="175" spans="1:14" x14ac:dyDescent="0.2">
      <c r="A175" s="242"/>
      <c r="B175" s="250"/>
      <c r="C175" s="250"/>
      <c r="D175" s="250"/>
      <c r="E175" s="250"/>
      <c r="F175" s="250"/>
      <c r="G175" s="250"/>
      <c r="H175" s="250"/>
      <c r="I175" s="250"/>
      <c r="J175" s="250"/>
      <c r="K175" s="250"/>
      <c r="L175" s="236"/>
      <c r="M175" s="236"/>
      <c r="N175" s="236"/>
    </row>
    <row r="176" spans="1:14" x14ac:dyDescent="0.2">
      <c r="A176" s="241" t="str">
        <f>name!B13</f>
        <v>Transport and storage</v>
      </c>
      <c r="B176" s="375">
        <f>B$6</f>
        <v>2015</v>
      </c>
      <c r="C176" s="375"/>
      <c r="D176" s="375"/>
      <c r="E176" s="253"/>
      <c r="F176" s="375">
        <f>F159</f>
        <v>2020</v>
      </c>
      <c r="G176" s="375"/>
      <c r="H176" s="375"/>
      <c r="I176" s="253"/>
      <c r="J176" s="375">
        <f>J159</f>
        <v>2035</v>
      </c>
      <c r="K176" s="375"/>
      <c r="L176" s="375"/>
      <c r="M176" s="236"/>
      <c r="N176" s="236"/>
    </row>
    <row r="177" spans="1:14" x14ac:dyDescent="0.2">
      <c r="A177" s="254"/>
      <c r="B177" s="255" t="s">
        <v>361</v>
      </c>
      <c r="C177" s="255" t="s">
        <v>362</v>
      </c>
      <c r="D177" s="255" t="s">
        <v>33</v>
      </c>
      <c r="E177" s="255"/>
      <c r="F177" s="255" t="s">
        <v>361</v>
      </c>
      <c r="G177" s="255" t="s">
        <v>362</v>
      </c>
      <c r="H177" s="255" t="s">
        <v>33</v>
      </c>
      <c r="I177" s="255"/>
      <c r="J177" s="255" t="s">
        <v>361</v>
      </c>
      <c r="K177" s="255" t="s">
        <v>362</v>
      </c>
      <c r="L177" s="255" t="s">
        <v>33</v>
      </c>
      <c r="M177" s="236"/>
      <c r="N177" s="236"/>
    </row>
    <row r="178" spans="1:14" x14ac:dyDescent="0.2">
      <c r="A178" s="258"/>
      <c r="B178" s="259"/>
      <c r="C178" s="259"/>
      <c r="D178" s="259"/>
      <c r="E178" s="259"/>
      <c r="F178" s="259"/>
      <c r="G178" s="259"/>
      <c r="H178" s="259"/>
      <c r="I178" s="259"/>
      <c r="J178" s="259"/>
      <c r="K178" s="259"/>
      <c r="L178" s="259"/>
      <c r="M178" s="236"/>
      <c r="N178" s="236"/>
    </row>
    <row r="179" spans="1:14" x14ac:dyDescent="0.2">
      <c r="A179" s="237" t="str">
        <f>name!E$4</f>
        <v>Managers, directors and senior officials</v>
      </c>
      <c r="B179" s="302">
        <v>0.36005174466495199</v>
      </c>
      <c r="C179" s="302">
        <v>1.6463565741882662</v>
      </c>
      <c r="D179" s="302">
        <f>SUM(B179:C179)</f>
        <v>2.006408318853218</v>
      </c>
      <c r="E179" s="303"/>
      <c r="F179" s="302">
        <v>0.61896732025172385</v>
      </c>
      <c r="G179" s="302">
        <v>2.0501136995880893</v>
      </c>
      <c r="H179" s="302">
        <f>SUM(F179:G179)</f>
        <v>2.6690810198398132</v>
      </c>
      <c r="I179" s="303"/>
      <c r="J179" s="302">
        <v>0.70759853053287136</v>
      </c>
      <c r="K179" s="302">
        <v>2.0825707061854684</v>
      </c>
      <c r="L179" s="302">
        <f>SUM(J179:K179)</f>
        <v>2.7901692367183397</v>
      </c>
      <c r="M179" s="236"/>
      <c r="N179" s="236"/>
    </row>
    <row r="180" spans="1:14" x14ac:dyDescent="0.2">
      <c r="A180" s="237" t="str">
        <f>name!E$5</f>
        <v>Professional occupations</v>
      </c>
      <c r="B180" s="302">
        <v>0.28468387955122848</v>
      </c>
      <c r="C180" s="302">
        <v>1.0781182403843121</v>
      </c>
      <c r="D180" s="302">
        <f t="shared" ref="D180:D187" si="55">SUM(B180:C180)</f>
        <v>1.3628021199355407</v>
      </c>
      <c r="E180" s="303"/>
      <c r="F180" s="302">
        <v>0.49435109101353986</v>
      </c>
      <c r="G180" s="302">
        <v>1.4734660396293893</v>
      </c>
      <c r="H180" s="302">
        <f t="shared" ref="H180:H187" si="56">SUM(F180:G180)</f>
        <v>1.9678171306429291</v>
      </c>
      <c r="I180" s="303"/>
      <c r="J180" s="302">
        <v>0.6331887158890479</v>
      </c>
      <c r="K180" s="302">
        <v>2.0056068973899173</v>
      </c>
      <c r="L180" s="302">
        <f t="shared" ref="L180:L187" si="57">SUM(J180:K180)</f>
        <v>2.6387956132789654</v>
      </c>
      <c r="M180" s="236"/>
      <c r="N180" s="236"/>
    </row>
    <row r="181" spans="1:14" x14ac:dyDescent="0.2">
      <c r="A181" s="237" t="str">
        <f>name!E$6</f>
        <v>Associate professional occupations</v>
      </c>
      <c r="B181" s="302">
        <v>0.34882927600587699</v>
      </c>
      <c r="C181" s="302">
        <v>1.055341349303264</v>
      </c>
      <c r="D181" s="302">
        <f t="shared" si="55"/>
        <v>1.4041706253091411</v>
      </c>
      <c r="E181" s="303"/>
      <c r="F181" s="302">
        <v>0.49763620939909392</v>
      </c>
      <c r="G181" s="302">
        <v>1.3270406739114553</v>
      </c>
      <c r="H181" s="302">
        <f t="shared" si="56"/>
        <v>1.8246768833105493</v>
      </c>
      <c r="I181" s="303"/>
      <c r="J181" s="302">
        <v>0.57071799012441082</v>
      </c>
      <c r="K181" s="302">
        <v>1.3954018610961854</v>
      </c>
      <c r="L181" s="302">
        <f t="shared" si="57"/>
        <v>1.9661198512205962</v>
      </c>
      <c r="M181" s="236"/>
      <c r="N181" s="236"/>
    </row>
    <row r="182" spans="1:14" x14ac:dyDescent="0.2">
      <c r="A182" s="237" t="str">
        <f>name!E$7</f>
        <v>Administrative and secretarial occupations</v>
      </c>
      <c r="B182" s="302">
        <v>1.8584383264534998</v>
      </c>
      <c r="C182" s="302">
        <v>1.1289618609222829</v>
      </c>
      <c r="D182" s="302">
        <f t="shared" si="55"/>
        <v>2.9874001873757825</v>
      </c>
      <c r="E182" s="303"/>
      <c r="F182" s="302">
        <v>2.1798767135497639</v>
      </c>
      <c r="G182" s="302">
        <v>1.4101428818085406</v>
      </c>
      <c r="H182" s="302">
        <f t="shared" si="56"/>
        <v>3.5900195953583047</v>
      </c>
      <c r="I182" s="303"/>
      <c r="J182" s="302">
        <v>2.2708342041373313</v>
      </c>
      <c r="K182" s="302">
        <v>1.8308770183366767</v>
      </c>
      <c r="L182" s="302">
        <f t="shared" si="57"/>
        <v>4.101711222474008</v>
      </c>
      <c r="M182" s="236"/>
      <c r="N182" s="236"/>
    </row>
    <row r="183" spans="1:14" x14ac:dyDescent="0.2">
      <c r="A183" s="237" t="str">
        <f>name!E$8</f>
        <v>Skilled trades occupations</v>
      </c>
      <c r="B183" s="302">
        <v>4.7563431154778582E-2</v>
      </c>
      <c r="C183" s="302">
        <v>1.5216154521504566</v>
      </c>
      <c r="D183" s="302">
        <f t="shared" si="55"/>
        <v>1.5691788833052351</v>
      </c>
      <c r="E183" s="303"/>
      <c r="F183" s="302">
        <v>6.1546515829727734E-2</v>
      </c>
      <c r="G183" s="302">
        <v>1.3506030330210945</v>
      </c>
      <c r="H183" s="302">
        <f t="shared" si="56"/>
        <v>1.4121495488508222</v>
      </c>
      <c r="I183" s="303"/>
      <c r="J183" s="302">
        <v>9.1663806174944656E-2</v>
      </c>
      <c r="K183" s="302">
        <v>1.2924199447072775</v>
      </c>
      <c r="L183" s="302">
        <f t="shared" si="57"/>
        <v>1.3840837508822221</v>
      </c>
      <c r="M183" s="236"/>
      <c r="N183" s="236"/>
    </row>
    <row r="184" spans="1:14" x14ac:dyDescent="0.2">
      <c r="A184" s="237" t="str">
        <f>name!E$9</f>
        <v>Caring, leisure and other service occupations</v>
      </c>
      <c r="B184" s="302">
        <v>0.61804605861580253</v>
      </c>
      <c r="C184" s="302">
        <v>0.44910562478166893</v>
      </c>
      <c r="D184" s="302">
        <f t="shared" si="55"/>
        <v>1.0671516833974715</v>
      </c>
      <c r="E184" s="303"/>
      <c r="F184" s="302">
        <v>0.6093216643752104</v>
      </c>
      <c r="G184" s="302">
        <v>0.54900006496168718</v>
      </c>
      <c r="H184" s="302">
        <f t="shared" si="56"/>
        <v>1.1583217293368975</v>
      </c>
      <c r="I184" s="303"/>
      <c r="J184" s="302">
        <v>0.48769781716102029</v>
      </c>
      <c r="K184" s="302">
        <v>0.53779353178738409</v>
      </c>
      <c r="L184" s="302">
        <f t="shared" si="57"/>
        <v>1.0254913489484043</v>
      </c>
      <c r="M184" s="236"/>
      <c r="N184" s="236"/>
    </row>
    <row r="185" spans="1:14" x14ac:dyDescent="0.2">
      <c r="A185" s="237" t="str">
        <f>name!E$10</f>
        <v>Sales and customer service occupations</v>
      </c>
      <c r="B185" s="302">
        <v>0.46125435847439411</v>
      </c>
      <c r="C185" s="302">
        <v>0.93920081915527132</v>
      </c>
      <c r="D185" s="302">
        <f t="shared" si="55"/>
        <v>1.4004551776296654</v>
      </c>
      <c r="E185" s="303"/>
      <c r="F185" s="302">
        <v>0.54725484411768777</v>
      </c>
      <c r="G185" s="302">
        <v>1.1577013396990912</v>
      </c>
      <c r="H185" s="302">
        <f t="shared" si="56"/>
        <v>1.7049561838167788</v>
      </c>
      <c r="I185" s="303"/>
      <c r="J185" s="302">
        <v>0.60377103880339611</v>
      </c>
      <c r="K185" s="302">
        <v>1.3337801043249902</v>
      </c>
      <c r="L185" s="302">
        <f t="shared" si="57"/>
        <v>1.9375511431283863</v>
      </c>
      <c r="M185" s="236"/>
      <c r="N185" s="236"/>
    </row>
    <row r="186" spans="1:14" x14ac:dyDescent="0.2">
      <c r="A186" s="237" t="str">
        <f>name!E$11</f>
        <v>Process, plant and machine operatives</v>
      </c>
      <c r="B186" s="302">
        <v>0.42981591692372106</v>
      </c>
      <c r="C186" s="302">
        <v>9.5348695132691077</v>
      </c>
      <c r="D186" s="302">
        <f t="shared" si="55"/>
        <v>9.9646854301928283</v>
      </c>
      <c r="E186" s="303"/>
      <c r="F186" s="302">
        <v>0.57234072126336777</v>
      </c>
      <c r="G186" s="302">
        <v>9.6757855586462203</v>
      </c>
      <c r="H186" s="302">
        <f t="shared" si="56"/>
        <v>10.248126279909588</v>
      </c>
      <c r="I186" s="303"/>
      <c r="J186" s="302">
        <v>0.8399227810724601</v>
      </c>
      <c r="K186" s="302">
        <v>9.1067557214244523</v>
      </c>
      <c r="L186" s="302">
        <f t="shared" si="57"/>
        <v>9.946678502496912</v>
      </c>
      <c r="M186" s="236"/>
      <c r="N186" s="236"/>
    </row>
    <row r="187" spans="1:14" x14ac:dyDescent="0.2">
      <c r="A187" s="237" t="str">
        <f>name!E$12</f>
        <v>Elementary occupations</v>
      </c>
      <c r="B187" s="302">
        <v>0.95081394379732798</v>
      </c>
      <c r="C187" s="302">
        <v>3.3729336302037787</v>
      </c>
      <c r="D187" s="302">
        <f t="shared" si="55"/>
        <v>4.3237475740011071</v>
      </c>
      <c r="E187" s="303"/>
      <c r="F187" s="302">
        <v>0.95213223140886116</v>
      </c>
      <c r="G187" s="302">
        <v>3.0577193975254664</v>
      </c>
      <c r="H187" s="302">
        <f t="shared" si="56"/>
        <v>4.009851628934328</v>
      </c>
      <c r="I187" s="303"/>
      <c r="J187" s="302">
        <v>1.2146764625214892</v>
      </c>
      <c r="K187" s="302">
        <v>2.9787228683307254</v>
      </c>
      <c r="L187" s="302">
        <f t="shared" si="57"/>
        <v>4.1933993308522144</v>
      </c>
      <c r="M187" s="236"/>
      <c r="N187" s="236"/>
    </row>
    <row r="188" spans="1:14" x14ac:dyDescent="0.2">
      <c r="A188" s="237"/>
      <c r="B188" s="302"/>
      <c r="C188" s="302"/>
      <c r="D188" s="302"/>
      <c r="E188" s="303"/>
      <c r="F188" s="302"/>
      <c r="G188" s="302"/>
      <c r="H188" s="302"/>
      <c r="I188" s="303"/>
      <c r="J188" s="302"/>
      <c r="K188" s="302"/>
      <c r="L188" s="302"/>
      <c r="M188" s="236"/>
      <c r="N188" s="236"/>
    </row>
    <row r="189" spans="1:14" x14ac:dyDescent="0.2">
      <c r="A189" s="244" t="s">
        <v>33</v>
      </c>
      <c r="B189" s="311">
        <f>SUM(B179:B187)</f>
        <v>5.359496935641582</v>
      </c>
      <c r="C189" s="311">
        <f t="shared" ref="C189:D189" si="58">SUM(C179:C187)</f>
        <v>20.726503064358408</v>
      </c>
      <c r="D189" s="311">
        <f t="shared" si="58"/>
        <v>26.085999999999988</v>
      </c>
      <c r="E189" s="311"/>
      <c r="F189" s="311">
        <f t="shared" ref="F189:H189" si="59">SUM(F179:F187)</f>
        <v>6.5334273112089765</v>
      </c>
      <c r="G189" s="311">
        <f t="shared" si="59"/>
        <v>22.051572688791033</v>
      </c>
      <c r="H189" s="311">
        <f t="shared" si="59"/>
        <v>28.585000000000012</v>
      </c>
      <c r="I189" s="311"/>
      <c r="J189" s="311">
        <f t="shared" ref="J189:L189" si="60">SUM(J179:J187)</f>
        <v>7.4200713464169725</v>
      </c>
      <c r="K189" s="311">
        <f t="shared" si="60"/>
        <v>22.563928653583073</v>
      </c>
      <c r="L189" s="311">
        <f t="shared" si="60"/>
        <v>29.984000000000052</v>
      </c>
      <c r="M189" s="236"/>
      <c r="N189" s="236"/>
    </row>
    <row r="190" spans="1:14" x14ac:dyDescent="0.2">
      <c r="A190" s="237"/>
      <c r="B190" s="237"/>
      <c r="C190" s="237"/>
      <c r="D190" s="237"/>
      <c r="E190" s="237"/>
      <c r="F190" s="237"/>
      <c r="G190" s="237"/>
      <c r="H190" s="237"/>
      <c r="I190" s="237"/>
      <c r="J190" s="237"/>
      <c r="K190" s="237"/>
      <c r="L190" s="240"/>
      <c r="M190" s="236"/>
      <c r="N190" s="236"/>
    </row>
    <row r="191" spans="1:14" x14ac:dyDescent="0.2">
      <c r="A191" s="237"/>
      <c r="B191" s="237"/>
      <c r="C191" s="237"/>
      <c r="D191" s="237"/>
      <c r="E191" s="237"/>
      <c r="F191" s="237"/>
      <c r="G191" s="237"/>
      <c r="H191" s="237"/>
      <c r="I191" s="237"/>
      <c r="J191" s="237"/>
      <c r="K191" s="237"/>
      <c r="L191" s="256" t="s">
        <v>36</v>
      </c>
      <c r="M191" s="236"/>
      <c r="N191" s="236"/>
    </row>
    <row r="192" spans="1:14" x14ac:dyDescent="0.2">
      <c r="A192" s="242"/>
      <c r="B192" s="250"/>
      <c r="C192" s="250"/>
      <c r="D192" s="250"/>
      <c r="E192" s="250"/>
      <c r="F192" s="250"/>
      <c r="G192" s="250"/>
      <c r="H192" s="250"/>
      <c r="I192" s="250"/>
      <c r="J192" s="250"/>
      <c r="K192" s="250"/>
      <c r="L192" s="236"/>
      <c r="M192" s="236"/>
      <c r="N192" s="236"/>
    </row>
    <row r="193" spans="1:14" x14ac:dyDescent="0.2">
      <c r="A193" s="241" t="str">
        <f>name!B14</f>
        <v>Accommodation and food</v>
      </c>
      <c r="B193" s="375">
        <f>B$6</f>
        <v>2015</v>
      </c>
      <c r="C193" s="375"/>
      <c r="D193" s="375"/>
      <c r="E193" s="253"/>
      <c r="F193" s="375">
        <f>F176</f>
        <v>2020</v>
      </c>
      <c r="G193" s="375"/>
      <c r="H193" s="375"/>
      <c r="I193" s="253"/>
      <c r="J193" s="375">
        <f>J176</f>
        <v>2035</v>
      </c>
      <c r="K193" s="375"/>
      <c r="L193" s="375"/>
      <c r="M193" s="236"/>
      <c r="N193" s="236"/>
    </row>
    <row r="194" spans="1:14" x14ac:dyDescent="0.2">
      <c r="A194" s="254"/>
      <c r="B194" s="255" t="s">
        <v>361</v>
      </c>
      <c r="C194" s="255" t="s">
        <v>362</v>
      </c>
      <c r="D194" s="255" t="s">
        <v>33</v>
      </c>
      <c r="E194" s="255"/>
      <c r="F194" s="255" t="s">
        <v>361</v>
      </c>
      <c r="G194" s="255" t="s">
        <v>362</v>
      </c>
      <c r="H194" s="255" t="s">
        <v>33</v>
      </c>
      <c r="I194" s="255"/>
      <c r="J194" s="255" t="s">
        <v>361</v>
      </c>
      <c r="K194" s="255" t="s">
        <v>362</v>
      </c>
      <c r="L194" s="255" t="s">
        <v>33</v>
      </c>
      <c r="M194" s="236"/>
      <c r="N194" s="236"/>
    </row>
    <row r="195" spans="1:14" x14ac:dyDescent="0.2">
      <c r="A195" s="258"/>
      <c r="B195" s="259"/>
      <c r="C195" s="259"/>
      <c r="D195" s="259"/>
      <c r="E195" s="259"/>
      <c r="F195" s="259"/>
      <c r="G195" s="259"/>
      <c r="H195" s="259"/>
      <c r="I195" s="259"/>
      <c r="J195" s="259"/>
      <c r="K195" s="259"/>
      <c r="L195" s="259"/>
      <c r="M195" s="236"/>
      <c r="N195" s="236"/>
    </row>
    <row r="196" spans="1:14" x14ac:dyDescent="0.2">
      <c r="A196" s="237" t="str">
        <f>name!E$4</f>
        <v>Managers, directors and senior officials</v>
      </c>
      <c r="B196" s="302">
        <v>1.8428404857462857</v>
      </c>
      <c r="C196" s="302">
        <v>2.3406107304439652</v>
      </c>
      <c r="D196" s="302">
        <f>SUM(B196:C196)</f>
        <v>4.1834512161902513</v>
      </c>
      <c r="E196" s="303"/>
      <c r="F196" s="302">
        <v>2.1825778407837304</v>
      </c>
      <c r="G196" s="302">
        <v>2.4645976576295729</v>
      </c>
      <c r="H196" s="302">
        <f>SUM(F196:G196)</f>
        <v>4.6471754984133034</v>
      </c>
      <c r="I196" s="303"/>
      <c r="J196" s="302">
        <v>2.2690938210979996</v>
      </c>
      <c r="K196" s="302">
        <v>2.8627844334944617</v>
      </c>
      <c r="L196" s="302">
        <f>SUM(J196:K196)</f>
        <v>5.1318782545924613</v>
      </c>
      <c r="M196" s="236"/>
      <c r="N196" s="236"/>
    </row>
    <row r="197" spans="1:14" x14ac:dyDescent="0.2">
      <c r="A197" s="237" t="str">
        <f>name!E$5</f>
        <v>Professional occupations</v>
      </c>
      <c r="B197" s="302">
        <v>0.44750827180548591</v>
      </c>
      <c r="C197" s="302">
        <v>0.46366861786082764</v>
      </c>
      <c r="D197" s="302">
        <f t="shared" ref="D197:D204" si="61">SUM(B197:C197)</f>
        <v>0.91117688966631349</v>
      </c>
      <c r="E197" s="303"/>
      <c r="F197" s="302">
        <v>0.76009110619882991</v>
      </c>
      <c r="G197" s="302">
        <v>0.63206819087713051</v>
      </c>
      <c r="H197" s="302">
        <f t="shared" ref="H197:H204" si="62">SUM(F197:G197)</f>
        <v>1.3921592970759604</v>
      </c>
      <c r="I197" s="303"/>
      <c r="J197" s="302">
        <v>0.9454773989027847</v>
      </c>
      <c r="K197" s="302">
        <v>0.80052135540812086</v>
      </c>
      <c r="L197" s="302">
        <f t="shared" ref="L197:L204" si="63">SUM(J197:K197)</f>
        <v>1.7459987543109055</v>
      </c>
      <c r="M197" s="236"/>
      <c r="N197" s="236"/>
    </row>
    <row r="198" spans="1:14" x14ac:dyDescent="0.2">
      <c r="A198" s="237" t="str">
        <f>name!E$6</f>
        <v>Associate professional occupations</v>
      </c>
      <c r="B198" s="302">
        <v>0.50911665535686368</v>
      </c>
      <c r="C198" s="302">
        <v>0.50453857277844527</v>
      </c>
      <c r="D198" s="302">
        <f t="shared" si="61"/>
        <v>1.0136552281353088</v>
      </c>
      <c r="E198" s="303"/>
      <c r="F198" s="302">
        <v>0.74716847832561373</v>
      </c>
      <c r="G198" s="302">
        <v>0.592879166052106</v>
      </c>
      <c r="H198" s="302">
        <f t="shared" si="62"/>
        <v>1.3400476443777198</v>
      </c>
      <c r="I198" s="303"/>
      <c r="J198" s="302">
        <v>1.0941270828475524</v>
      </c>
      <c r="K198" s="302">
        <v>0.5581967179114633</v>
      </c>
      <c r="L198" s="302">
        <f t="shared" si="63"/>
        <v>1.6523238007590157</v>
      </c>
      <c r="M198" s="236"/>
      <c r="N198" s="236"/>
    </row>
    <row r="199" spans="1:14" x14ac:dyDescent="0.2">
      <c r="A199" s="237" t="str">
        <f>name!E$7</f>
        <v>Administrative and secretarial occupations</v>
      </c>
      <c r="B199" s="302">
        <v>1.2271709439785337</v>
      </c>
      <c r="C199" s="302">
        <v>0.49213960662884576</v>
      </c>
      <c r="D199" s="302">
        <f t="shared" si="61"/>
        <v>1.7193105506073794</v>
      </c>
      <c r="E199" s="303"/>
      <c r="F199" s="302">
        <v>1.5913608505024708</v>
      </c>
      <c r="G199" s="302">
        <v>0.49863882629866246</v>
      </c>
      <c r="H199" s="302">
        <f t="shared" si="62"/>
        <v>2.0899996768011331</v>
      </c>
      <c r="I199" s="303"/>
      <c r="J199" s="302">
        <v>2.2527957000614833</v>
      </c>
      <c r="K199" s="302">
        <v>0.57430607178952431</v>
      </c>
      <c r="L199" s="302">
        <f t="shared" si="63"/>
        <v>2.8271017718510079</v>
      </c>
      <c r="M199" s="236"/>
      <c r="N199" s="236"/>
    </row>
    <row r="200" spans="1:14" x14ac:dyDescent="0.2">
      <c r="A200" s="237" t="str">
        <f>name!E$8</f>
        <v>Skilled trades occupations</v>
      </c>
      <c r="B200" s="302">
        <v>1.3458345597062165</v>
      </c>
      <c r="C200" s="302">
        <v>2.3902162035714278</v>
      </c>
      <c r="D200" s="302">
        <f t="shared" si="61"/>
        <v>3.7360507632776443</v>
      </c>
      <c r="E200" s="303"/>
      <c r="F200" s="302">
        <v>1.4505026100233733</v>
      </c>
      <c r="G200" s="302">
        <v>1.5789305127103179</v>
      </c>
      <c r="H200" s="302">
        <f t="shared" si="62"/>
        <v>3.0294331227336913</v>
      </c>
      <c r="I200" s="303"/>
      <c r="J200" s="302">
        <v>1.5025986213690543</v>
      </c>
      <c r="K200" s="302">
        <v>1.4232219621297155</v>
      </c>
      <c r="L200" s="302">
        <f t="shared" si="63"/>
        <v>2.9258205834987701</v>
      </c>
      <c r="M200" s="236"/>
      <c r="N200" s="236"/>
    </row>
    <row r="201" spans="1:14" x14ac:dyDescent="0.2">
      <c r="A201" s="237" t="str">
        <f>name!E$9</f>
        <v>Caring, leisure and other service occupations</v>
      </c>
      <c r="B201" s="302">
        <v>1.1941733901956744</v>
      </c>
      <c r="C201" s="302">
        <v>0.28072227213528683</v>
      </c>
      <c r="D201" s="302">
        <f t="shared" si="61"/>
        <v>1.4748956623309613</v>
      </c>
      <c r="E201" s="303"/>
      <c r="F201" s="302">
        <v>1.3025286903797697</v>
      </c>
      <c r="G201" s="302">
        <v>0.28081165051588108</v>
      </c>
      <c r="H201" s="302">
        <f t="shared" si="62"/>
        <v>1.5833403408956508</v>
      </c>
      <c r="I201" s="303"/>
      <c r="J201" s="302">
        <v>1.4016066506947111</v>
      </c>
      <c r="K201" s="302">
        <v>0.31303032660086783</v>
      </c>
      <c r="L201" s="302">
        <f t="shared" si="63"/>
        <v>1.714636977295579</v>
      </c>
      <c r="M201" s="236"/>
      <c r="N201" s="236"/>
    </row>
    <row r="202" spans="1:14" x14ac:dyDescent="0.2">
      <c r="A202" s="237" t="str">
        <f>name!E$10</f>
        <v>Sales and customer service occupations</v>
      </c>
      <c r="B202" s="302">
        <v>1.9371984314566517</v>
      </c>
      <c r="C202" s="302">
        <v>1.4995723692438185</v>
      </c>
      <c r="D202" s="302">
        <f t="shared" si="61"/>
        <v>3.4367708007004705</v>
      </c>
      <c r="E202" s="303"/>
      <c r="F202" s="302">
        <v>2.1494880947147799</v>
      </c>
      <c r="G202" s="302">
        <v>1.2477654829229061</v>
      </c>
      <c r="H202" s="302">
        <f t="shared" si="62"/>
        <v>3.3972535776376862</v>
      </c>
      <c r="I202" s="303"/>
      <c r="J202" s="302">
        <v>3.741242149245227</v>
      </c>
      <c r="K202" s="302">
        <v>1.7084470211927758</v>
      </c>
      <c r="L202" s="302">
        <f t="shared" si="63"/>
        <v>5.4496891704380026</v>
      </c>
      <c r="M202" s="236"/>
      <c r="N202" s="236"/>
    </row>
    <row r="203" spans="1:14" x14ac:dyDescent="0.2">
      <c r="A203" s="237" t="str">
        <f>name!E$11</f>
        <v>Process, plant and machine operatives</v>
      </c>
      <c r="B203" s="302">
        <v>0.23704961892185372</v>
      </c>
      <c r="C203" s="302">
        <v>1.4121439614245073</v>
      </c>
      <c r="D203" s="302">
        <f t="shared" si="61"/>
        <v>1.6491935803463611</v>
      </c>
      <c r="E203" s="303"/>
      <c r="F203" s="302">
        <v>0.25433783873169669</v>
      </c>
      <c r="G203" s="302">
        <v>1.2444880894749903</v>
      </c>
      <c r="H203" s="302">
        <f t="shared" si="62"/>
        <v>1.4988259282066871</v>
      </c>
      <c r="I203" s="303"/>
      <c r="J203" s="302">
        <v>0.62886036212791907</v>
      </c>
      <c r="K203" s="302">
        <v>1.5472700647468955</v>
      </c>
      <c r="L203" s="302">
        <f t="shared" si="63"/>
        <v>2.1761304268748147</v>
      </c>
      <c r="M203" s="236"/>
      <c r="N203" s="236"/>
    </row>
    <row r="204" spans="1:14" x14ac:dyDescent="0.2">
      <c r="A204" s="237" t="str">
        <f>name!E$12</f>
        <v>Elementary occupations</v>
      </c>
      <c r="B204" s="302">
        <v>8.9318314865817623</v>
      </c>
      <c r="C204" s="302">
        <v>7.090663822163517</v>
      </c>
      <c r="D204" s="302">
        <f t="shared" si="61"/>
        <v>16.022495308745277</v>
      </c>
      <c r="E204" s="303"/>
      <c r="F204" s="302">
        <v>9.530678673200395</v>
      </c>
      <c r="G204" s="302">
        <v>5.5540862406578047</v>
      </c>
      <c r="H204" s="302">
        <f t="shared" si="62"/>
        <v>15.0847649138582</v>
      </c>
      <c r="I204" s="303"/>
      <c r="J204" s="302">
        <v>8.2548388132783224</v>
      </c>
      <c r="K204" s="302">
        <v>5.5655814471010725</v>
      </c>
      <c r="L204" s="302">
        <f t="shared" si="63"/>
        <v>13.820420260379395</v>
      </c>
      <c r="M204" s="236"/>
      <c r="N204" s="236"/>
    </row>
    <row r="205" spans="1:14" x14ac:dyDescent="0.2">
      <c r="A205" s="237"/>
      <c r="B205" s="302"/>
      <c r="C205" s="302"/>
      <c r="D205" s="302"/>
      <c r="E205" s="303"/>
      <c r="F205" s="302"/>
      <c r="G205" s="302"/>
      <c r="H205" s="302"/>
      <c r="I205" s="303"/>
      <c r="J205" s="302"/>
      <c r="K205" s="302"/>
      <c r="L205" s="302"/>
      <c r="M205" s="236"/>
      <c r="N205" s="236"/>
    </row>
    <row r="206" spans="1:14" x14ac:dyDescent="0.2">
      <c r="A206" s="244" t="s">
        <v>33</v>
      </c>
      <c r="B206" s="311">
        <f>SUM(B196:B204)</f>
        <v>17.672723843749324</v>
      </c>
      <c r="C206" s="311">
        <f t="shared" ref="C206:D206" si="64">SUM(C196:C204)</f>
        <v>16.474276156250639</v>
      </c>
      <c r="D206" s="311">
        <f t="shared" si="64"/>
        <v>34.146999999999963</v>
      </c>
      <c r="E206" s="311"/>
      <c r="F206" s="311">
        <f t="shared" ref="F206:H206" si="65">SUM(F196:F204)</f>
        <v>19.968734182860658</v>
      </c>
      <c r="G206" s="311">
        <f t="shared" si="65"/>
        <v>14.094265817139371</v>
      </c>
      <c r="H206" s="311">
        <f t="shared" si="65"/>
        <v>34.063000000000031</v>
      </c>
      <c r="I206" s="311"/>
      <c r="J206" s="311">
        <f t="shared" ref="J206:L206" si="66">SUM(J196:J204)</f>
        <v>22.090640599625054</v>
      </c>
      <c r="K206" s="311">
        <f t="shared" si="66"/>
        <v>15.353359400374897</v>
      </c>
      <c r="L206" s="311">
        <f t="shared" si="66"/>
        <v>37.443999999999946</v>
      </c>
      <c r="M206" s="236"/>
      <c r="N206" s="236"/>
    </row>
    <row r="207" spans="1:14" x14ac:dyDescent="0.2">
      <c r="A207" s="237"/>
      <c r="B207" s="237"/>
      <c r="C207" s="237"/>
      <c r="D207" s="237"/>
      <c r="E207" s="237"/>
      <c r="F207" s="237"/>
      <c r="G207" s="237"/>
      <c r="H207" s="237"/>
      <c r="I207" s="237"/>
      <c r="J207" s="237"/>
      <c r="K207" s="237"/>
      <c r="L207" s="240"/>
      <c r="M207" s="236"/>
      <c r="N207" s="236"/>
    </row>
    <row r="208" spans="1:14" x14ac:dyDescent="0.2">
      <c r="A208" s="237"/>
      <c r="B208" s="237"/>
      <c r="C208" s="237"/>
      <c r="D208" s="237"/>
      <c r="E208" s="237"/>
      <c r="F208" s="237"/>
      <c r="G208" s="237"/>
      <c r="H208" s="237"/>
      <c r="I208" s="237"/>
      <c r="J208" s="237"/>
      <c r="K208" s="237"/>
      <c r="L208" s="256" t="s">
        <v>36</v>
      </c>
      <c r="M208" s="236"/>
      <c r="N208" s="236"/>
    </row>
    <row r="209" spans="1:14" x14ac:dyDescent="0.2">
      <c r="A209" s="242"/>
      <c r="B209" s="250"/>
      <c r="C209" s="250"/>
      <c r="D209" s="250"/>
      <c r="E209" s="250"/>
      <c r="F209" s="250"/>
      <c r="G209" s="250"/>
      <c r="H209" s="250"/>
      <c r="I209" s="250"/>
      <c r="J209" s="250"/>
      <c r="K209" s="250"/>
      <c r="L209" s="236"/>
      <c r="M209" s="236"/>
      <c r="N209" s="236"/>
    </row>
    <row r="210" spans="1:14" x14ac:dyDescent="0.2">
      <c r="A210" s="241" t="str">
        <f>name!B15</f>
        <v>Media</v>
      </c>
      <c r="B210" s="375">
        <f>B$6</f>
        <v>2015</v>
      </c>
      <c r="C210" s="375"/>
      <c r="D210" s="375"/>
      <c r="E210" s="253"/>
      <c r="F210" s="375">
        <f>F193</f>
        <v>2020</v>
      </c>
      <c r="G210" s="375"/>
      <c r="H210" s="375"/>
      <c r="I210" s="253"/>
      <c r="J210" s="375">
        <f>J193</f>
        <v>2035</v>
      </c>
      <c r="K210" s="375"/>
      <c r="L210" s="375"/>
      <c r="M210" s="236"/>
      <c r="N210" s="236"/>
    </row>
    <row r="211" spans="1:14" x14ac:dyDescent="0.2">
      <c r="A211" s="254"/>
      <c r="B211" s="255" t="s">
        <v>361</v>
      </c>
      <c r="C211" s="255" t="s">
        <v>362</v>
      </c>
      <c r="D211" s="255" t="s">
        <v>33</v>
      </c>
      <c r="E211" s="255"/>
      <c r="F211" s="255" t="s">
        <v>361</v>
      </c>
      <c r="G211" s="255" t="s">
        <v>362</v>
      </c>
      <c r="H211" s="255" t="s">
        <v>33</v>
      </c>
      <c r="I211" s="255"/>
      <c r="J211" s="255" t="s">
        <v>361</v>
      </c>
      <c r="K211" s="255" t="s">
        <v>362</v>
      </c>
      <c r="L211" s="255" t="s">
        <v>33</v>
      </c>
      <c r="M211" s="236"/>
      <c r="N211" s="236"/>
    </row>
    <row r="212" spans="1:14" x14ac:dyDescent="0.2">
      <c r="A212" s="258"/>
      <c r="B212" s="259"/>
      <c r="C212" s="259"/>
      <c r="D212" s="259"/>
      <c r="E212" s="259"/>
      <c r="F212" s="259"/>
      <c r="G212" s="259"/>
      <c r="H212" s="259"/>
      <c r="I212" s="259"/>
      <c r="J212" s="259"/>
      <c r="K212" s="259"/>
      <c r="L212" s="259"/>
      <c r="M212" s="236"/>
      <c r="N212" s="236"/>
    </row>
    <row r="213" spans="1:14" x14ac:dyDescent="0.2">
      <c r="A213" s="237" t="str">
        <f>name!E$4</f>
        <v>Managers, directors and senior officials</v>
      </c>
      <c r="B213" s="302">
        <v>7.1601221049818392E-2</v>
      </c>
      <c r="C213" s="302">
        <v>0.23398637132167896</v>
      </c>
      <c r="D213" s="302">
        <f>SUM(B213:C213)</f>
        <v>0.30558759237149735</v>
      </c>
      <c r="E213" s="303"/>
      <c r="F213" s="302">
        <v>9.9208705289943216E-2</v>
      </c>
      <c r="G213" s="302">
        <v>0.202535182320909</v>
      </c>
      <c r="H213" s="302">
        <f>SUM(F213:G213)</f>
        <v>0.30174388761085225</v>
      </c>
      <c r="I213" s="303"/>
      <c r="J213" s="302">
        <v>9.209782455326522E-2</v>
      </c>
      <c r="K213" s="302">
        <v>0.20957378308285188</v>
      </c>
      <c r="L213" s="302">
        <f>SUM(J213:K213)</f>
        <v>0.30167160763611711</v>
      </c>
      <c r="M213" s="236"/>
      <c r="N213" s="236"/>
    </row>
    <row r="214" spans="1:14" x14ac:dyDescent="0.2">
      <c r="A214" s="237" t="str">
        <f>name!E$5</f>
        <v>Professional occupations</v>
      </c>
      <c r="B214" s="302">
        <v>0.10749982787016998</v>
      </c>
      <c r="C214" s="302">
        <v>0.31056921704522156</v>
      </c>
      <c r="D214" s="302">
        <f t="shared" ref="D214:D221" si="67">SUM(B214:C214)</f>
        <v>0.41806904491539154</v>
      </c>
      <c r="E214" s="303"/>
      <c r="F214" s="302">
        <v>0.14969356514845009</v>
      </c>
      <c r="G214" s="302">
        <v>0.29649052133525838</v>
      </c>
      <c r="H214" s="302">
        <f t="shared" ref="H214:H221" si="68">SUM(F214:G214)</f>
        <v>0.44618408648370844</v>
      </c>
      <c r="I214" s="303"/>
      <c r="J214" s="302">
        <v>0.17475985701648178</v>
      </c>
      <c r="K214" s="302">
        <v>0.35292414979764231</v>
      </c>
      <c r="L214" s="302">
        <f t="shared" ref="L214:L221" si="69">SUM(J214:K214)</f>
        <v>0.52768400681412408</v>
      </c>
      <c r="M214" s="236"/>
      <c r="N214" s="236"/>
    </row>
    <row r="215" spans="1:14" x14ac:dyDescent="0.2">
      <c r="A215" s="237" t="str">
        <f>name!E$6</f>
        <v>Associate professional occupations</v>
      </c>
      <c r="B215" s="302">
        <v>0.19235695057651872</v>
      </c>
      <c r="C215" s="302">
        <v>0.25808363548599028</v>
      </c>
      <c r="D215" s="302">
        <f t="shared" si="67"/>
        <v>0.45044058606250903</v>
      </c>
      <c r="E215" s="303"/>
      <c r="F215" s="302">
        <v>0.24299050185143767</v>
      </c>
      <c r="G215" s="302">
        <v>0.20103066620190388</v>
      </c>
      <c r="H215" s="302">
        <f t="shared" si="68"/>
        <v>0.44402116805334158</v>
      </c>
      <c r="I215" s="303"/>
      <c r="J215" s="302">
        <v>0.23694805398929095</v>
      </c>
      <c r="K215" s="302">
        <v>0.18032172835752319</v>
      </c>
      <c r="L215" s="302">
        <f t="shared" si="69"/>
        <v>0.41726978234681411</v>
      </c>
      <c r="M215" s="236"/>
      <c r="N215" s="236"/>
    </row>
    <row r="216" spans="1:14" x14ac:dyDescent="0.2">
      <c r="A216" s="237" t="str">
        <f>name!E$7</f>
        <v>Administrative and secretarial occupations</v>
      </c>
      <c r="B216" s="302">
        <v>0.18175900433624245</v>
      </c>
      <c r="C216" s="302">
        <v>5.0486190242062308E-2</v>
      </c>
      <c r="D216" s="302">
        <f t="shared" si="67"/>
        <v>0.23224519457830475</v>
      </c>
      <c r="E216" s="303"/>
      <c r="F216" s="302">
        <v>0.26658439452251809</v>
      </c>
      <c r="G216" s="302">
        <v>5.1273573447898874E-2</v>
      </c>
      <c r="H216" s="302">
        <f t="shared" si="68"/>
        <v>0.31785796797041699</v>
      </c>
      <c r="I216" s="303"/>
      <c r="J216" s="302">
        <v>0.26520302951491964</v>
      </c>
      <c r="K216" s="302">
        <v>4.6357038275600872E-2</v>
      </c>
      <c r="L216" s="302">
        <f t="shared" si="69"/>
        <v>0.31156006779052053</v>
      </c>
      <c r="M216" s="236"/>
      <c r="N216" s="236"/>
    </row>
    <row r="217" spans="1:14" x14ac:dyDescent="0.2">
      <c r="A217" s="237" t="str">
        <f>name!E$8</f>
        <v>Skilled trades occupations</v>
      </c>
      <c r="B217" s="302">
        <v>2.4712424290232477E-2</v>
      </c>
      <c r="C217" s="302">
        <v>0.15959149358547503</v>
      </c>
      <c r="D217" s="302">
        <f t="shared" si="67"/>
        <v>0.18430391787570752</v>
      </c>
      <c r="E217" s="303"/>
      <c r="F217" s="302">
        <v>3.0772189854955199E-2</v>
      </c>
      <c r="G217" s="302">
        <v>9.907119344009041E-2</v>
      </c>
      <c r="H217" s="302">
        <f t="shared" si="68"/>
        <v>0.12984338329504561</v>
      </c>
      <c r="I217" s="303"/>
      <c r="J217" s="302">
        <v>3.2754192967429471E-2</v>
      </c>
      <c r="K217" s="302">
        <v>9.2957103477522368E-2</v>
      </c>
      <c r="L217" s="302">
        <f t="shared" si="69"/>
        <v>0.12571129644495183</v>
      </c>
      <c r="M217" s="236"/>
      <c r="N217" s="236"/>
    </row>
    <row r="218" spans="1:14" x14ac:dyDescent="0.2">
      <c r="A218" s="237" t="str">
        <f>name!E$9</f>
        <v>Caring, leisure and other service occupations</v>
      </c>
      <c r="B218" s="302">
        <v>6.6190211467714963E-2</v>
      </c>
      <c r="C218" s="302">
        <v>2.657561485918929E-2</v>
      </c>
      <c r="D218" s="302">
        <f t="shared" si="67"/>
        <v>9.2765826326904249E-2</v>
      </c>
      <c r="E218" s="303"/>
      <c r="F218" s="302">
        <v>9.3210881696063119E-2</v>
      </c>
      <c r="G218" s="302">
        <v>3.2423053957895361E-2</v>
      </c>
      <c r="H218" s="302">
        <f t="shared" si="68"/>
        <v>0.12563393565395847</v>
      </c>
      <c r="I218" s="303"/>
      <c r="J218" s="302">
        <v>8.1682854499153607E-2</v>
      </c>
      <c r="K218" s="302">
        <v>3.7619369403555855E-2</v>
      </c>
      <c r="L218" s="302">
        <f t="shared" si="69"/>
        <v>0.11930222390270946</v>
      </c>
      <c r="M218" s="236"/>
      <c r="N218" s="236"/>
    </row>
    <row r="219" spans="1:14" x14ac:dyDescent="0.2">
      <c r="A219" s="237" t="str">
        <f>name!E$10</f>
        <v>Sales and customer service occupations</v>
      </c>
      <c r="B219" s="302">
        <v>5.567408801167003E-2</v>
      </c>
      <c r="C219" s="302">
        <v>5.5208077201526908E-2</v>
      </c>
      <c r="D219" s="302">
        <f t="shared" si="67"/>
        <v>0.11088216521319694</v>
      </c>
      <c r="E219" s="303"/>
      <c r="F219" s="302">
        <v>6.7203854236916549E-2</v>
      </c>
      <c r="G219" s="302">
        <v>5.0043833736531963E-2</v>
      </c>
      <c r="H219" s="302">
        <f t="shared" si="68"/>
        <v>0.11724768797344851</v>
      </c>
      <c r="I219" s="303"/>
      <c r="J219" s="302">
        <v>6.0842262576538186E-2</v>
      </c>
      <c r="K219" s="302">
        <v>5.5936315236682292E-2</v>
      </c>
      <c r="L219" s="302">
        <f t="shared" si="69"/>
        <v>0.11677857781322049</v>
      </c>
      <c r="M219" s="236"/>
      <c r="N219" s="236"/>
    </row>
    <row r="220" spans="1:14" x14ac:dyDescent="0.2">
      <c r="A220" s="237" t="str">
        <f>name!E$11</f>
        <v>Process, plant and machine operatives</v>
      </c>
      <c r="B220" s="302">
        <v>1.2026058451266492E-2</v>
      </c>
      <c r="C220" s="302">
        <v>5.1362469226457048E-2</v>
      </c>
      <c r="D220" s="302">
        <f t="shared" si="67"/>
        <v>6.3388527677723544E-2</v>
      </c>
      <c r="E220" s="303"/>
      <c r="F220" s="302">
        <v>1.4099014168071595E-2</v>
      </c>
      <c r="G220" s="302">
        <v>4.7172863504599809E-2</v>
      </c>
      <c r="H220" s="302">
        <f t="shared" si="68"/>
        <v>6.1271877672671407E-2</v>
      </c>
      <c r="I220" s="303"/>
      <c r="J220" s="302">
        <v>1.3908867491557281E-2</v>
      </c>
      <c r="K220" s="302">
        <v>4.0935748387697875E-2</v>
      </c>
      <c r="L220" s="302">
        <f t="shared" si="69"/>
        <v>5.4844615879255154E-2</v>
      </c>
      <c r="M220" s="236"/>
      <c r="N220" s="236"/>
    </row>
    <row r="221" spans="1:14" x14ac:dyDescent="0.2">
      <c r="A221" s="237" t="str">
        <f>name!E$12</f>
        <v>Elementary occupations</v>
      </c>
      <c r="B221" s="302">
        <v>0.10182830136634759</v>
      </c>
      <c r="C221" s="302">
        <v>0.12848884361241886</v>
      </c>
      <c r="D221" s="302">
        <f t="shared" si="67"/>
        <v>0.23031714497876643</v>
      </c>
      <c r="E221" s="303"/>
      <c r="F221" s="302">
        <v>0.14411814323020089</v>
      </c>
      <c r="G221" s="302">
        <v>0.11407786205635863</v>
      </c>
      <c r="H221" s="302">
        <f t="shared" si="68"/>
        <v>0.2581960052865595</v>
      </c>
      <c r="I221" s="303"/>
      <c r="J221" s="302">
        <v>0.13587142356231402</v>
      </c>
      <c r="K221" s="302">
        <v>9.4306397809974102E-2</v>
      </c>
      <c r="L221" s="302">
        <f t="shared" si="69"/>
        <v>0.23017782137228812</v>
      </c>
      <c r="M221" s="236"/>
      <c r="N221" s="236"/>
    </row>
    <row r="222" spans="1:14" x14ac:dyDescent="0.2">
      <c r="A222" s="237"/>
      <c r="B222" s="302"/>
      <c r="C222" s="302"/>
      <c r="D222" s="302"/>
      <c r="E222" s="303"/>
      <c r="F222" s="302"/>
      <c r="G222" s="302"/>
      <c r="H222" s="302"/>
      <c r="I222" s="303"/>
      <c r="J222" s="302"/>
      <c r="K222" s="302"/>
      <c r="L222" s="302"/>
      <c r="M222" s="236"/>
      <c r="N222" s="236"/>
    </row>
    <row r="223" spans="1:14" x14ac:dyDescent="0.2">
      <c r="A223" s="244" t="s">
        <v>33</v>
      </c>
      <c r="B223" s="311">
        <f>SUM(B213:B221)</f>
        <v>0.81364808741998107</v>
      </c>
      <c r="C223" s="311">
        <f t="shared" ref="C223:D223" si="70">SUM(C213:C221)</f>
        <v>1.2743519125800202</v>
      </c>
      <c r="D223" s="311">
        <f t="shared" si="70"/>
        <v>2.088000000000001</v>
      </c>
      <c r="E223" s="311"/>
      <c r="F223" s="311">
        <f t="shared" ref="F223:H223" si="71">SUM(F213:F221)</f>
        <v>1.1078812499985564</v>
      </c>
      <c r="G223" s="311">
        <f t="shared" si="71"/>
        <v>1.0941187500014464</v>
      </c>
      <c r="H223" s="311">
        <f t="shared" si="71"/>
        <v>2.2020000000000026</v>
      </c>
      <c r="I223" s="311"/>
      <c r="J223" s="311">
        <f t="shared" ref="J223:L223" si="72">SUM(J213:J221)</f>
        <v>1.09406836617095</v>
      </c>
      <c r="K223" s="311">
        <f t="shared" si="72"/>
        <v>1.1109316338290507</v>
      </c>
      <c r="L223" s="311">
        <f t="shared" si="72"/>
        <v>2.205000000000001</v>
      </c>
      <c r="M223" s="236"/>
      <c r="N223" s="236"/>
    </row>
    <row r="224" spans="1:14" x14ac:dyDescent="0.2">
      <c r="A224" s="237"/>
      <c r="B224" s="237"/>
      <c r="C224" s="237"/>
      <c r="D224" s="237"/>
      <c r="E224" s="237"/>
      <c r="F224" s="237"/>
      <c r="G224" s="237"/>
      <c r="H224" s="237"/>
      <c r="I224" s="237"/>
      <c r="J224" s="237"/>
      <c r="K224" s="237"/>
      <c r="L224" s="240"/>
      <c r="M224" s="236"/>
      <c r="N224" s="236"/>
    </row>
    <row r="225" spans="1:14" x14ac:dyDescent="0.2">
      <c r="A225" s="237"/>
      <c r="B225" s="237"/>
      <c r="C225" s="237"/>
      <c r="D225" s="237"/>
      <c r="E225" s="237"/>
      <c r="F225" s="237"/>
      <c r="G225" s="237"/>
      <c r="H225" s="237"/>
      <c r="I225" s="237"/>
      <c r="J225" s="237"/>
      <c r="K225" s="237"/>
      <c r="L225" s="256" t="s">
        <v>36</v>
      </c>
      <c r="M225" s="236"/>
      <c r="N225" s="236"/>
    </row>
    <row r="226" spans="1:14" x14ac:dyDescent="0.2">
      <c r="A226" s="242"/>
      <c r="B226" s="250"/>
      <c r="C226" s="250"/>
      <c r="D226" s="250"/>
      <c r="E226" s="250"/>
      <c r="F226" s="250"/>
      <c r="G226" s="250"/>
      <c r="H226" s="250"/>
      <c r="I226" s="250"/>
      <c r="J226" s="250"/>
      <c r="K226" s="250"/>
      <c r="L226" s="236"/>
      <c r="M226" s="236"/>
      <c r="N226" s="236"/>
    </row>
    <row r="227" spans="1:14" x14ac:dyDescent="0.2">
      <c r="A227" s="241" t="str">
        <f>name!B16</f>
        <v>Information technology</v>
      </c>
      <c r="B227" s="375">
        <f>B$6</f>
        <v>2015</v>
      </c>
      <c r="C227" s="375"/>
      <c r="D227" s="375"/>
      <c r="E227" s="253"/>
      <c r="F227" s="375">
        <f>F210</f>
        <v>2020</v>
      </c>
      <c r="G227" s="375"/>
      <c r="H227" s="375"/>
      <c r="I227" s="253"/>
      <c r="J227" s="375">
        <f>J210</f>
        <v>2035</v>
      </c>
      <c r="K227" s="375"/>
      <c r="L227" s="375"/>
      <c r="M227" s="236"/>
      <c r="N227" s="236"/>
    </row>
    <row r="228" spans="1:14" x14ac:dyDescent="0.2">
      <c r="A228" s="254"/>
      <c r="B228" s="255" t="s">
        <v>361</v>
      </c>
      <c r="C228" s="255" t="s">
        <v>362</v>
      </c>
      <c r="D228" s="255" t="s">
        <v>33</v>
      </c>
      <c r="E228" s="255"/>
      <c r="F228" s="255" t="s">
        <v>361</v>
      </c>
      <c r="G228" s="255" t="s">
        <v>362</v>
      </c>
      <c r="H228" s="255" t="s">
        <v>33</v>
      </c>
      <c r="I228" s="255"/>
      <c r="J228" s="255" t="s">
        <v>361</v>
      </c>
      <c r="K228" s="255" t="s">
        <v>362</v>
      </c>
      <c r="L228" s="255" t="s">
        <v>33</v>
      </c>
      <c r="M228" s="236"/>
      <c r="N228" s="236"/>
    </row>
    <row r="229" spans="1:14" x14ac:dyDescent="0.2">
      <c r="A229" s="258"/>
      <c r="B229" s="259"/>
      <c r="C229" s="259"/>
      <c r="D229" s="259"/>
      <c r="E229" s="259"/>
      <c r="F229" s="259"/>
      <c r="G229" s="259"/>
      <c r="H229" s="259"/>
      <c r="I229" s="259"/>
      <c r="J229" s="259"/>
      <c r="K229" s="259"/>
      <c r="L229" s="259"/>
      <c r="M229" s="236"/>
      <c r="N229" s="236"/>
    </row>
    <row r="230" spans="1:14" x14ac:dyDescent="0.2">
      <c r="A230" s="237" t="str">
        <f>name!E$4</f>
        <v>Managers, directors and senior officials</v>
      </c>
      <c r="B230" s="302">
        <v>0.22299413183170788</v>
      </c>
      <c r="C230" s="302">
        <v>0.6249377954582096</v>
      </c>
      <c r="D230" s="302">
        <f>SUM(B230:C230)</f>
        <v>0.84793192728991751</v>
      </c>
      <c r="E230" s="303"/>
      <c r="F230" s="302">
        <v>0.21535659817779679</v>
      </c>
      <c r="G230" s="302">
        <v>0.6765402582268395</v>
      </c>
      <c r="H230" s="302">
        <f>SUM(F230:G230)</f>
        <v>0.89189685640463634</v>
      </c>
      <c r="I230" s="303"/>
      <c r="J230" s="302">
        <v>0.25504928700672358</v>
      </c>
      <c r="K230" s="302">
        <v>0.63271781504316205</v>
      </c>
      <c r="L230" s="302">
        <f>SUM(J230:K230)</f>
        <v>0.88776710204988563</v>
      </c>
      <c r="M230" s="236"/>
      <c r="N230" s="236"/>
    </row>
    <row r="231" spans="1:14" x14ac:dyDescent="0.2">
      <c r="A231" s="237" t="str">
        <f>name!E$5</f>
        <v>Professional occupations</v>
      </c>
      <c r="B231" s="302">
        <v>0.42110919562156163</v>
      </c>
      <c r="C231" s="302">
        <v>1.8657257060348298</v>
      </c>
      <c r="D231" s="302">
        <f t="shared" ref="D231:D238" si="73">SUM(B231:C231)</f>
        <v>2.2868349016563916</v>
      </c>
      <c r="E231" s="303"/>
      <c r="F231" s="302">
        <v>0.43941752949723878</v>
      </c>
      <c r="G231" s="302">
        <v>2.1723893268775316</v>
      </c>
      <c r="H231" s="302">
        <f t="shared" ref="H231:H238" si="74">SUM(F231:G231)</f>
        <v>2.6118068563747703</v>
      </c>
      <c r="I231" s="303"/>
      <c r="J231" s="302">
        <v>0.6079337108863585</v>
      </c>
      <c r="K231" s="302">
        <v>2.8620289998327726</v>
      </c>
      <c r="L231" s="302">
        <f t="shared" ref="L231:L238" si="75">SUM(J231:K231)</f>
        <v>3.4699627107191313</v>
      </c>
      <c r="M231" s="236"/>
      <c r="N231" s="236"/>
    </row>
    <row r="232" spans="1:14" x14ac:dyDescent="0.2">
      <c r="A232" s="237" t="str">
        <f>name!E$6</f>
        <v>Associate professional occupations</v>
      </c>
      <c r="B232" s="302">
        <v>0.29698128163543641</v>
      </c>
      <c r="C232" s="302">
        <v>0.54047648284543337</v>
      </c>
      <c r="D232" s="302">
        <f t="shared" si="73"/>
        <v>0.83745776448086984</v>
      </c>
      <c r="E232" s="303"/>
      <c r="F232" s="302">
        <v>0.26850554979254937</v>
      </c>
      <c r="G232" s="302">
        <v>0.58365229716615685</v>
      </c>
      <c r="H232" s="302">
        <f t="shared" si="74"/>
        <v>0.85215784695870622</v>
      </c>
      <c r="I232" s="303"/>
      <c r="J232" s="302">
        <v>0.31840271915125457</v>
      </c>
      <c r="K232" s="302">
        <v>0.54422871792077432</v>
      </c>
      <c r="L232" s="302">
        <f t="shared" si="75"/>
        <v>0.86263143707202894</v>
      </c>
      <c r="M232" s="236"/>
      <c r="N232" s="236"/>
    </row>
    <row r="233" spans="1:14" x14ac:dyDescent="0.2">
      <c r="A233" s="237" t="str">
        <f>name!E$7</f>
        <v>Administrative and secretarial occupations</v>
      </c>
      <c r="B233" s="302">
        <v>0.3369970536127071</v>
      </c>
      <c r="C233" s="302">
        <v>7.4059472237623811E-2</v>
      </c>
      <c r="D233" s="302">
        <f t="shared" si="73"/>
        <v>0.41105652585033092</v>
      </c>
      <c r="E233" s="303"/>
      <c r="F233" s="302">
        <v>0.27544721003093209</v>
      </c>
      <c r="G233" s="302">
        <v>8.5475458781846661E-2</v>
      </c>
      <c r="H233" s="302">
        <f t="shared" si="74"/>
        <v>0.36092266881277874</v>
      </c>
      <c r="I233" s="303"/>
      <c r="J233" s="302">
        <v>0.25177040553567964</v>
      </c>
      <c r="K233" s="302">
        <v>8.7988985570349496E-2</v>
      </c>
      <c r="L233" s="302">
        <f t="shared" si="75"/>
        <v>0.33975939110602915</v>
      </c>
      <c r="M233" s="236"/>
      <c r="N233" s="236"/>
    </row>
    <row r="234" spans="1:14" x14ac:dyDescent="0.2">
      <c r="A234" s="237" t="str">
        <f>name!E$8</f>
        <v>Skilled trades occupations</v>
      </c>
      <c r="B234" s="302">
        <v>2.3574788282330922E-2</v>
      </c>
      <c r="C234" s="302">
        <v>0.35404878492868952</v>
      </c>
      <c r="D234" s="302">
        <f t="shared" si="73"/>
        <v>0.37762357321102047</v>
      </c>
      <c r="E234" s="303"/>
      <c r="F234" s="302">
        <v>2.0194801463552004E-2</v>
      </c>
      <c r="G234" s="302">
        <v>0.26005947876493662</v>
      </c>
      <c r="H234" s="302">
        <f t="shared" si="74"/>
        <v>0.28025428022848864</v>
      </c>
      <c r="I234" s="303"/>
      <c r="J234" s="302">
        <v>2.6892287483880031E-2</v>
      </c>
      <c r="K234" s="302">
        <v>0.21274717784680741</v>
      </c>
      <c r="L234" s="302">
        <f t="shared" si="75"/>
        <v>0.23963946533068745</v>
      </c>
      <c r="M234" s="236"/>
      <c r="N234" s="236"/>
    </row>
    <row r="235" spans="1:14" x14ac:dyDescent="0.2">
      <c r="A235" s="237" t="str">
        <f>name!E$9</f>
        <v>Caring, leisure and other service occupations</v>
      </c>
      <c r="B235" s="302">
        <v>7.5985477053835848E-2</v>
      </c>
      <c r="C235" s="302">
        <v>6.5341508721595512E-2</v>
      </c>
      <c r="D235" s="302">
        <f t="shared" si="73"/>
        <v>0.14132698577543135</v>
      </c>
      <c r="E235" s="303"/>
      <c r="F235" s="302">
        <v>5.8488800047213435E-2</v>
      </c>
      <c r="G235" s="302">
        <v>6.7561783989771362E-2</v>
      </c>
      <c r="H235" s="302">
        <f t="shared" si="74"/>
        <v>0.1260505840369848</v>
      </c>
      <c r="I235" s="303"/>
      <c r="J235" s="302">
        <v>7.2333046016942876E-2</v>
      </c>
      <c r="K235" s="302">
        <v>9.2721090717600957E-2</v>
      </c>
      <c r="L235" s="302">
        <f t="shared" si="75"/>
        <v>0.16505413673454383</v>
      </c>
      <c r="M235" s="236"/>
      <c r="N235" s="236"/>
    </row>
    <row r="236" spans="1:14" x14ac:dyDescent="0.2">
      <c r="A236" s="237" t="str">
        <f>name!E$10</f>
        <v>Sales and customer service occupations</v>
      </c>
      <c r="B236" s="302">
        <v>0.18010850556298272</v>
      </c>
      <c r="C236" s="302">
        <v>8.2643416598442848E-2</v>
      </c>
      <c r="D236" s="302">
        <f t="shared" si="73"/>
        <v>0.26275192216142557</v>
      </c>
      <c r="E236" s="303"/>
      <c r="F236" s="302">
        <v>0.11490916463695308</v>
      </c>
      <c r="G236" s="302">
        <v>7.9894799916165396E-2</v>
      </c>
      <c r="H236" s="302">
        <f t="shared" si="74"/>
        <v>0.19480396455311849</v>
      </c>
      <c r="I236" s="303"/>
      <c r="J236" s="302">
        <v>0.12609676510872375</v>
      </c>
      <c r="K236" s="302">
        <v>0.10309710292515806</v>
      </c>
      <c r="L236" s="302">
        <f t="shared" si="75"/>
        <v>0.22919386803388181</v>
      </c>
      <c r="M236" s="236"/>
      <c r="N236" s="236"/>
    </row>
    <row r="237" spans="1:14" x14ac:dyDescent="0.2">
      <c r="A237" s="237" t="str">
        <f>name!E$11</f>
        <v>Process, plant and machine operatives</v>
      </c>
      <c r="B237" s="302">
        <v>1.1060114905370443E-2</v>
      </c>
      <c r="C237" s="302">
        <v>5.7015541739674852E-2</v>
      </c>
      <c r="D237" s="302">
        <f t="shared" si="73"/>
        <v>6.8075656645045293E-2</v>
      </c>
      <c r="E237" s="303"/>
      <c r="F237" s="302">
        <v>6.154262988738687E-3</v>
      </c>
      <c r="G237" s="302">
        <v>4.3889229096690761E-2</v>
      </c>
      <c r="H237" s="302">
        <f t="shared" si="74"/>
        <v>5.004349208542945E-2</v>
      </c>
      <c r="I237" s="303"/>
      <c r="J237" s="302">
        <v>9.2156650644497004E-3</v>
      </c>
      <c r="K237" s="302">
        <v>4.7106765649426639E-2</v>
      </c>
      <c r="L237" s="302">
        <f t="shared" si="75"/>
        <v>5.632243071387634E-2</v>
      </c>
      <c r="M237" s="236"/>
      <c r="N237" s="236"/>
    </row>
    <row r="238" spans="1:14" x14ac:dyDescent="0.2">
      <c r="A238" s="237" t="str">
        <f>name!E$12</f>
        <v>Elementary occupations</v>
      </c>
      <c r="B238" s="302">
        <v>5.0076685881485679E-2</v>
      </c>
      <c r="C238" s="302">
        <v>8.2864057048096476E-2</v>
      </c>
      <c r="D238" s="302">
        <f t="shared" si="73"/>
        <v>0.13294074292958216</v>
      </c>
      <c r="E238" s="303"/>
      <c r="F238" s="302">
        <v>3.4507568026029868E-2</v>
      </c>
      <c r="G238" s="302">
        <v>6.6555882519055726E-2</v>
      </c>
      <c r="H238" s="302">
        <f t="shared" si="74"/>
        <v>0.10106345054508559</v>
      </c>
      <c r="I238" s="303"/>
      <c r="J238" s="302">
        <v>5.6524716373519385E-2</v>
      </c>
      <c r="K238" s="302">
        <v>5.9144741866409611E-2</v>
      </c>
      <c r="L238" s="302">
        <f t="shared" si="75"/>
        <v>0.115669458239929</v>
      </c>
      <c r="M238" s="236"/>
      <c r="N238" s="236"/>
    </row>
    <row r="239" spans="1:14" x14ac:dyDescent="0.2">
      <c r="A239" s="237"/>
      <c r="B239" s="302"/>
      <c r="C239" s="302"/>
      <c r="D239" s="302"/>
      <c r="E239" s="303"/>
      <c r="F239" s="302"/>
      <c r="G239" s="302"/>
      <c r="H239" s="302"/>
      <c r="I239" s="303"/>
      <c r="J239" s="302"/>
      <c r="K239" s="302"/>
      <c r="L239" s="302"/>
      <c r="M239" s="236"/>
      <c r="N239" s="236"/>
    </row>
    <row r="240" spans="1:14" x14ac:dyDescent="0.2">
      <c r="A240" s="244" t="s">
        <v>33</v>
      </c>
      <c r="B240" s="311">
        <f>SUM(B230:B238)</f>
        <v>1.6188872343874185</v>
      </c>
      <c r="C240" s="311">
        <f t="shared" ref="C240:D240" si="76">SUM(C230:C238)</f>
        <v>3.747112765612596</v>
      </c>
      <c r="D240" s="311">
        <f t="shared" si="76"/>
        <v>5.3660000000000148</v>
      </c>
      <c r="E240" s="311"/>
      <c r="F240" s="311">
        <f t="shared" ref="F240:H240" si="77">SUM(F230:F238)</f>
        <v>1.4329814846610043</v>
      </c>
      <c r="G240" s="311">
        <f t="shared" si="77"/>
        <v>4.036018515338994</v>
      </c>
      <c r="H240" s="311">
        <f t="shared" si="77"/>
        <v>5.4689999999999994</v>
      </c>
      <c r="I240" s="311"/>
      <c r="J240" s="311">
        <f t="shared" ref="J240:L240" si="78">SUM(J230:J238)</f>
        <v>1.7242186026275319</v>
      </c>
      <c r="K240" s="311">
        <f t="shared" si="78"/>
        <v>4.6417813973724611</v>
      </c>
      <c r="L240" s="311">
        <f t="shared" si="78"/>
        <v>6.3659999999999943</v>
      </c>
      <c r="M240" s="236"/>
      <c r="N240" s="236"/>
    </row>
    <row r="241" spans="1:14" x14ac:dyDescent="0.2">
      <c r="A241" s="237"/>
      <c r="B241" s="237"/>
      <c r="C241" s="237"/>
      <c r="D241" s="237"/>
      <c r="E241" s="237"/>
      <c r="F241" s="237"/>
      <c r="G241" s="237"/>
      <c r="H241" s="237"/>
      <c r="I241" s="237"/>
      <c r="J241" s="237"/>
      <c r="K241" s="237"/>
      <c r="L241" s="240"/>
      <c r="M241" s="236"/>
      <c r="N241" s="236"/>
    </row>
    <row r="242" spans="1:14" x14ac:dyDescent="0.2">
      <c r="A242" s="237"/>
      <c r="B242" s="237"/>
      <c r="C242" s="237"/>
      <c r="D242" s="237"/>
      <c r="E242" s="237"/>
      <c r="F242" s="237"/>
      <c r="G242" s="237"/>
      <c r="H242" s="237"/>
      <c r="I242" s="237"/>
      <c r="J242" s="237"/>
      <c r="K242" s="237"/>
      <c r="L242" s="256" t="s">
        <v>36</v>
      </c>
      <c r="M242" s="236"/>
      <c r="N242" s="236"/>
    </row>
    <row r="243" spans="1:14" x14ac:dyDescent="0.2">
      <c r="A243" s="242"/>
      <c r="B243" s="250"/>
      <c r="C243" s="250"/>
      <c r="D243" s="250"/>
      <c r="E243" s="250"/>
      <c r="F243" s="250"/>
      <c r="G243" s="250"/>
      <c r="H243" s="250"/>
      <c r="I243" s="250"/>
      <c r="J243" s="250"/>
      <c r="K243" s="250"/>
      <c r="L243" s="236"/>
      <c r="M243" s="236"/>
      <c r="N243" s="236"/>
    </row>
    <row r="244" spans="1:14" x14ac:dyDescent="0.2">
      <c r="A244" s="241" t="str">
        <f>name!B17</f>
        <v>Finance and insurance</v>
      </c>
      <c r="B244" s="375">
        <f>B$6</f>
        <v>2015</v>
      </c>
      <c r="C244" s="375"/>
      <c r="D244" s="375"/>
      <c r="E244" s="253"/>
      <c r="F244" s="375">
        <f>F227</f>
        <v>2020</v>
      </c>
      <c r="G244" s="375"/>
      <c r="H244" s="375"/>
      <c r="I244" s="253"/>
      <c r="J244" s="375">
        <f>J227</f>
        <v>2035</v>
      </c>
      <c r="K244" s="375"/>
      <c r="L244" s="375"/>
      <c r="M244" s="236"/>
      <c r="N244" s="236"/>
    </row>
    <row r="245" spans="1:14" x14ac:dyDescent="0.2">
      <c r="A245" s="254"/>
      <c r="B245" s="255" t="s">
        <v>361</v>
      </c>
      <c r="C245" s="255" t="s">
        <v>362</v>
      </c>
      <c r="D245" s="255" t="s">
        <v>33</v>
      </c>
      <c r="E245" s="255"/>
      <c r="F245" s="255" t="s">
        <v>361</v>
      </c>
      <c r="G245" s="255" t="s">
        <v>362</v>
      </c>
      <c r="H245" s="255" t="s">
        <v>33</v>
      </c>
      <c r="I245" s="255"/>
      <c r="J245" s="255" t="s">
        <v>361</v>
      </c>
      <c r="K245" s="255" t="s">
        <v>362</v>
      </c>
      <c r="L245" s="255" t="s">
        <v>33</v>
      </c>
      <c r="M245" s="236"/>
      <c r="N245" s="236"/>
    </row>
    <row r="246" spans="1:14" x14ac:dyDescent="0.2">
      <c r="A246" s="258"/>
      <c r="B246" s="259"/>
      <c r="C246" s="259"/>
      <c r="D246" s="259"/>
      <c r="E246" s="259"/>
      <c r="F246" s="259"/>
      <c r="G246" s="259"/>
      <c r="H246" s="259"/>
      <c r="I246" s="259"/>
      <c r="J246" s="259"/>
      <c r="K246" s="259"/>
      <c r="L246" s="259"/>
      <c r="M246" s="236"/>
      <c r="N246" s="236"/>
    </row>
    <row r="247" spans="1:14" x14ac:dyDescent="0.2">
      <c r="A247" s="237" t="str">
        <f>name!E$4</f>
        <v>Managers, directors and senior officials</v>
      </c>
      <c r="B247" s="302">
        <v>0.33473316076030507</v>
      </c>
      <c r="C247" s="302">
        <v>0.75460345088831005</v>
      </c>
      <c r="D247" s="302">
        <f>SUM(B247:C247)</f>
        <v>1.0893366116486152</v>
      </c>
      <c r="E247" s="303"/>
      <c r="F247" s="302">
        <v>0.30014600191104818</v>
      </c>
      <c r="G247" s="302">
        <v>0.62546783883151602</v>
      </c>
      <c r="H247" s="302">
        <f>SUM(F247:G247)</f>
        <v>0.92561384074256425</v>
      </c>
      <c r="I247" s="303"/>
      <c r="J247" s="302">
        <v>0.28884701800811968</v>
      </c>
      <c r="K247" s="302">
        <v>0.5163666663888985</v>
      </c>
      <c r="L247" s="302">
        <f>SUM(J247:K247)</f>
        <v>0.80521368439701813</v>
      </c>
      <c r="M247" s="236"/>
      <c r="N247" s="236"/>
    </row>
    <row r="248" spans="1:14" x14ac:dyDescent="0.2">
      <c r="A248" s="237" t="str">
        <f>name!E$5</f>
        <v>Professional occupations</v>
      </c>
      <c r="B248" s="302">
        <v>0.40768659620397613</v>
      </c>
      <c r="C248" s="302">
        <v>0.78246376860961253</v>
      </c>
      <c r="D248" s="302">
        <f t="shared" ref="D248:D255" si="79">SUM(B248:C248)</f>
        <v>1.1901503648135887</v>
      </c>
      <c r="E248" s="303"/>
      <c r="F248" s="302">
        <v>0.43232228019095281</v>
      </c>
      <c r="G248" s="302">
        <v>0.73221287085633835</v>
      </c>
      <c r="H248" s="302">
        <f t="shared" ref="H248:H255" si="80">SUM(F248:G248)</f>
        <v>1.1645351510472912</v>
      </c>
      <c r="I248" s="303"/>
      <c r="J248" s="302">
        <v>0.48363574715828295</v>
      </c>
      <c r="K248" s="302">
        <v>0.85301994793749603</v>
      </c>
      <c r="L248" s="302">
        <f t="shared" ref="L248:L255" si="81">SUM(J248:K248)</f>
        <v>1.3366556950957791</v>
      </c>
      <c r="M248" s="236"/>
      <c r="N248" s="236"/>
    </row>
    <row r="249" spans="1:14" x14ac:dyDescent="0.2">
      <c r="A249" s="237" t="str">
        <f>name!E$6</f>
        <v>Associate professional occupations</v>
      </c>
      <c r="B249" s="302">
        <v>0.57134752133503053</v>
      </c>
      <c r="C249" s="302">
        <v>0.780572949452215</v>
      </c>
      <c r="D249" s="302">
        <f t="shared" si="79"/>
        <v>1.3519204707872454</v>
      </c>
      <c r="E249" s="303"/>
      <c r="F249" s="302">
        <v>0.47992858556120221</v>
      </c>
      <c r="G249" s="302">
        <v>0.66302389129220252</v>
      </c>
      <c r="H249" s="302">
        <f t="shared" si="80"/>
        <v>1.1429524768534047</v>
      </c>
      <c r="I249" s="303"/>
      <c r="J249" s="302">
        <v>0.47602991335968919</v>
      </c>
      <c r="K249" s="302">
        <v>0.57122240434657323</v>
      </c>
      <c r="L249" s="302">
        <f t="shared" si="81"/>
        <v>1.0472523177062625</v>
      </c>
      <c r="M249" s="236"/>
      <c r="N249" s="236"/>
    </row>
    <row r="250" spans="1:14" x14ac:dyDescent="0.2">
      <c r="A250" s="237" t="str">
        <f>name!E$7</f>
        <v>Administrative and secretarial occupations</v>
      </c>
      <c r="B250" s="302">
        <v>1.4978823442346536</v>
      </c>
      <c r="C250" s="302">
        <v>0.22757459996789162</v>
      </c>
      <c r="D250" s="302">
        <f t="shared" si="79"/>
        <v>1.7254569442025451</v>
      </c>
      <c r="E250" s="303"/>
      <c r="F250" s="302">
        <v>0.98967923985204609</v>
      </c>
      <c r="G250" s="302">
        <v>0.20449447550503372</v>
      </c>
      <c r="H250" s="302">
        <f t="shared" si="80"/>
        <v>1.1941737153570797</v>
      </c>
      <c r="I250" s="303"/>
      <c r="J250" s="302">
        <v>0.7964764130740668</v>
      </c>
      <c r="K250" s="302">
        <v>0.16587357739090203</v>
      </c>
      <c r="L250" s="302">
        <f t="shared" si="81"/>
        <v>0.96234999046496883</v>
      </c>
      <c r="M250" s="236"/>
      <c r="N250" s="236"/>
    </row>
    <row r="251" spans="1:14" x14ac:dyDescent="0.2">
      <c r="A251" s="237" t="str">
        <f>name!E$8</f>
        <v>Skilled trades occupations</v>
      </c>
      <c r="B251" s="302">
        <v>2.1834314123327883E-2</v>
      </c>
      <c r="C251" s="302">
        <v>0.11258896927089652</v>
      </c>
      <c r="D251" s="302">
        <f t="shared" si="79"/>
        <v>0.13442328339422441</v>
      </c>
      <c r="E251" s="303"/>
      <c r="F251" s="302">
        <v>1.3646192700380326E-2</v>
      </c>
      <c r="G251" s="302">
        <v>5.8931084611272111E-2</v>
      </c>
      <c r="H251" s="302">
        <f t="shared" si="80"/>
        <v>7.2577277311652436E-2</v>
      </c>
      <c r="I251" s="303"/>
      <c r="J251" s="302">
        <v>1.5449969602845904E-2</v>
      </c>
      <c r="K251" s="302">
        <v>5.0406055388304893E-2</v>
      </c>
      <c r="L251" s="302">
        <f t="shared" si="81"/>
        <v>6.5856024991150799E-2</v>
      </c>
      <c r="M251" s="236"/>
      <c r="N251" s="236"/>
    </row>
    <row r="252" spans="1:14" x14ac:dyDescent="0.2">
      <c r="A252" s="237" t="str">
        <f>name!E$9</f>
        <v>Caring, leisure and other service occupations</v>
      </c>
      <c r="B252" s="302">
        <v>4.4073730286646504E-2</v>
      </c>
      <c r="C252" s="302">
        <v>2.1599853999012781E-2</v>
      </c>
      <c r="D252" s="302">
        <f t="shared" si="79"/>
        <v>6.5673584285659281E-2</v>
      </c>
      <c r="E252" s="303"/>
      <c r="F252" s="302">
        <v>2.7165759019749745E-2</v>
      </c>
      <c r="G252" s="302">
        <v>1.7339532659849225E-2</v>
      </c>
      <c r="H252" s="302">
        <f t="shared" si="80"/>
        <v>4.450529167959897E-2</v>
      </c>
      <c r="I252" s="303"/>
      <c r="J252" s="302">
        <v>3.0461539926473026E-2</v>
      </c>
      <c r="K252" s="302">
        <v>1.9571439914535419E-2</v>
      </c>
      <c r="L252" s="302">
        <f t="shared" si="81"/>
        <v>5.0032979841008449E-2</v>
      </c>
      <c r="M252" s="236"/>
      <c r="N252" s="236"/>
    </row>
    <row r="253" spans="1:14" x14ac:dyDescent="0.2">
      <c r="A253" s="237" t="str">
        <f>name!E$10</f>
        <v>Sales and customer service occupations</v>
      </c>
      <c r="B253" s="302">
        <v>0.35460907651740259</v>
      </c>
      <c r="C253" s="302">
        <v>0.10973699823574606</v>
      </c>
      <c r="D253" s="302">
        <f t="shared" si="79"/>
        <v>0.46434607475314865</v>
      </c>
      <c r="E253" s="303"/>
      <c r="F253" s="302">
        <v>0.23637993010694391</v>
      </c>
      <c r="G253" s="302">
        <v>8.1506326850340399E-2</v>
      </c>
      <c r="H253" s="302">
        <f t="shared" si="80"/>
        <v>0.31788625695728434</v>
      </c>
      <c r="I253" s="303"/>
      <c r="J253" s="302">
        <v>0.19898233810376678</v>
      </c>
      <c r="K253" s="302">
        <v>7.9994885715039543E-2</v>
      </c>
      <c r="L253" s="302">
        <f t="shared" si="81"/>
        <v>0.2789772238188063</v>
      </c>
      <c r="M253" s="236"/>
      <c r="N253" s="236"/>
    </row>
    <row r="254" spans="1:14" x14ac:dyDescent="0.2">
      <c r="A254" s="237" t="str">
        <f>name!E$11</f>
        <v>Process, plant and machine operatives</v>
      </c>
      <c r="B254" s="302">
        <v>6.9825899134436896E-3</v>
      </c>
      <c r="C254" s="302">
        <v>4.3508096755162609E-2</v>
      </c>
      <c r="D254" s="302">
        <f t="shared" si="79"/>
        <v>5.0490686668606302E-2</v>
      </c>
      <c r="E254" s="303"/>
      <c r="F254" s="302">
        <v>4.5810935459060812E-3</v>
      </c>
      <c r="G254" s="302">
        <v>3.3264284861866909E-2</v>
      </c>
      <c r="H254" s="302">
        <f t="shared" si="80"/>
        <v>3.7845378407772988E-2</v>
      </c>
      <c r="I254" s="303"/>
      <c r="J254" s="302">
        <v>5.3186955565034414E-3</v>
      </c>
      <c r="K254" s="302">
        <v>3.5575418259302355E-2</v>
      </c>
      <c r="L254" s="302">
        <f t="shared" si="81"/>
        <v>4.0894113815805794E-2</v>
      </c>
      <c r="M254" s="236"/>
      <c r="N254" s="236"/>
    </row>
    <row r="255" spans="1:14" x14ac:dyDescent="0.2">
      <c r="A255" s="237" t="str">
        <f>name!E$12</f>
        <v>Elementary occupations</v>
      </c>
      <c r="B255" s="302">
        <v>5.6775688141022032E-2</v>
      </c>
      <c r="C255" s="302">
        <v>4.1426291305344247E-2</v>
      </c>
      <c r="D255" s="302">
        <f t="shared" si="79"/>
        <v>9.8201979446366272E-2</v>
      </c>
      <c r="E255" s="303"/>
      <c r="F255" s="302">
        <v>2.4071842779253481E-2</v>
      </c>
      <c r="G255" s="302">
        <v>2.8838768864092021E-2</v>
      </c>
      <c r="H255" s="302">
        <f t="shared" si="80"/>
        <v>5.2910611643345498E-2</v>
      </c>
      <c r="I255" s="303"/>
      <c r="J255" s="302">
        <v>2.3859694991028323E-2</v>
      </c>
      <c r="K255" s="302">
        <v>2.4908274878164893E-2</v>
      </c>
      <c r="L255" s="302">
        <f t="shared" si="81"/>
        <v>4.8767969869193212E-2</v>
      </c>
      <c r="M255" s="236"/>
      <c r="N255" s="236"/>
    </row>
    <row r="256" spans="1:14" x14ac:dyDescent="0.2">
      <c r="A256" s="237"/>
      <c r="B256" s="302"/>
      <c r="C256" s="302"/>
      <c r="D256" s="302"/>
      <c r="E256" s="303"/>
      <c r="F256" s="302"/>
      <c r="G256" s="302"/>
      <c r="H256" s="302"/>
      <c r="I256" s="303"/>
      <c r="J256" s="302"/>
      <c r="K256" s="302"/>
      <c r="L256" s="302"/>
      <c r="M256" s="236"/>
      <c r="N256" s="236"/>
    </row>
    <row r="257" spans="1:14" x14ac:dyDescent="0.2">
      <c r="A257" s="244" t="s">
        <v>33</v>
      </c>
      <c r="B257" s="311">
        <f>SUM(B247:B255)</f>
        <v>3.2959250215158078</v>
      </c>
      <c r="C257" s="311">
        <f t="shared" ref="C257:D257" si="82">SUM(C247:C255)</f>
        <v>2.8740749784841912</v>
      </c>
      <c r="D257" s="311">
        <f t="shared" si="82"/>
        <v>6.169999999999999</v>
      </c>
      <c r="E257" s="311"/>
      <c r="F257" s="311">
        <f t="shared" ref="F257:H257" si="83">SUM(F247:F255)</f>
        <v>2.5079209256674826</v>
      </c>
      <c r="G257" s="311">
        <f t="shared" si="83"/>
        <v>2.445079074332511</v>
      </c>
      <c r="H257" s="311">
        <f t="shared" si="83"/>
        <v>4.9529999999999941</v>
      </c>
      <c r="I257" s="311"/>
      <c r="J257" s="311">
        <f t="shared" ref="J257:L257" si="84">SUM(J247:J255)</f>
        <v>2.3190613297807761</v>
      </c>
      <c r="K257" s="311">
        <f t="shared" si="84"/>
        <v>2.3169386702192174</v>
      </c>
      <c r="L257" s="311">
        <f t="shared" si="84"/>
        <v>4.6359999999999921</v>
      </c>
      <c r="M257" s="236"/>
      <c r="N257" s="236"/>
    </row>
    <row r="258" spans="1:14" x14ac:dyDescent="0.2">
      <c r="A258" s="237"/>
      <c r="B258" s="237"/>
      <c r="C258" s="237"/>
      <c r="D258" s="237"/>
      <c r="E258" s="237"/>
      <c r="F258" s="237"/>
      <c r="G258" s="237"/>
      <c r="H258" s="237"/>
      <c r="I258" s="237"/>
      <c r="J258" s="237"/>
      <c r="K258" s="237"/>
      <c r="L258" s="240"/>
      <c r="M258" s="236"/>
      <c r="N258" s="236"/>
    </row>
    <row r="259" spans="1:14" x14ac:dyDescent="0.2">
      <c r="A259" s="237"/>
      <c r="B259" s="237"/>
      <c r="C259" s="237"/>
      <c r="D259" s="237"/>
      <c r="E259" s="237"/>
      <c r="F259" s="237"/>
      <c r="G259" s="237"/>
      <c r="H259" s="237"/>
      <c r="I259" s="237"/>
      <c r="J259" s="237"/>
      <c r="K259" s="237"/>
      <c r="L259" s="256" t="s">
        <v>36</v>
      </c>
      <c r="M259" s="236"/>
      <c r="N259" s="236"/>
    </row>
    <row r="260" spans="1:14" x14ac:dyDescent="0.2">
      <c r="A260" s="242"/>
      <c r="B260" s="250"/>
      <c r="C260" s="250"/>
      <c r="D260" s="250"/>
      <c r="E260" s="250"/>
      <c r="F260" s="250"/>
      <c r="G260" s="250"/>
      <c r="H260" s="250"/>
      <c r="I260" s="250"/>
      <c r="J260" s="250"/>
      <c r="K260" s="250"/>
      <c r="L260" s="236"/>
      <c r="M260" s="236"/>
      <c r="N260" s="236"/>
    </row>
    <row r="261" spans="1:14" x14ac:dyDescent="0.2">
      <c r="A261" s="241" t="str">
        <f>name!B18</f>
        <v>Real estate</v>
      </c>
      <c r="B261" s="375">
        <f>B$6</f>
        <v>2015</v>
      </c>
      <c r="C261" s="375"/>
      <c r="D261" s="375"/>
      <c r="E261" s="253"/>
      <c r="F261" s="375">
        <f>F244</f>
        <v>2020</v>
      </c>
      <c r="G261" s="375"/>
      <c r="H261" s="375"/>
      <c r="I261" s="253"/>
      <c r="J261" s="375">
        <f>J244</f>
        <v>2035</v>
      </c>
      <c r="K261" s="375"/>
      <c r="L261" s="375"/>
      <c r="M261" s="236"/>
      <c r="N261" s="236"/>
    </row>
    <row r="262" spans="1:14" x14ac:dyDescent="0.2">
      <c r="A262" s="254"/>
      <c r="B262" s="255" t="s">
        <v>361</v>
      </c>
      <c r="C262" s="255" t="s">
        <v>362</v>
      </c>
      <c r="D262" s="255" t="s">
        <v>33</v>
      </c>
      <c r="E262" s="255"/>
      <c r="F262" s="255" t="s">
        <v>361</v>
      </c>
      <c r="G262" s="255" t="s">
        <v>362</v>
      </c>
      <c r="H262" s="255" t="s">
        <v>33</v>
      </c>
      <c r="I262" s="255"/>
      <c r="J262" s="255" t="s">
        <v>361</v>
      </c>
      <c r="K262" s="255" t="s">
        <v>362</v>
      </c>
      <c r="L262" s="255" t="s">
        <v>33</v>
      </c>
      <c r="M262" s="236"/>
      <c r="N262" s="236"/>
    </row>
    <row r="263" spans="1:14" x14ac:dyDescent="0.2">
      <c r="A263" s="258"/>
      <c r="B263" s="259"/>
      <c r="C263" s="259"/>
      <c r="D263" s="259"/>
      <c r="E263" s="259"/>
      <c r="F263" s="259"/>
      <c r="G263" s="259"/>
      <c r="H263" s="259"/>
      <c r="I263" s="259"/>
      <c r="J263" s="259"/>
      <c r="K263" s="259"/>
      <c r="L263" s="259"/>
      <c r="M263" s="236"/>
      <c r="N263" s="236"/>
    </row>
    <row r="264" spans="1:14" x14ac:dyDescent="0.2">
      <c r="A264" s="237" t="str">
        <f>name!E$4</f>
        <v>Managers, directors and senior officials</v>
      </c>
      <c r="B264" s="302">
        <v>0.43938965371114896</v>
      </c>
      <c r="C264" s="302">
        <v>0.75273833156741299</v>
      </c>
      <c r="D264" s="302">
        <f>SUM(B264:C264)</f>
        <v>1.192127985278562</v>
      </c>
      <c r="E264" s="303"/>
      <c r="F264" s="302">
        <v>0.52417130170391624</v>
      </c>
      <c r="G264" s="302">
        <v>1.4125581564061227</v>
      </c>
      <c r="H264" s="302">
        <f>SUM(F264:G264)</f>
        <v>1.9367294581100389</v>
      </c>
      <c r="I264" s="303"/>
      <c r="J264" s="302">
        <v>0.53052756586335059</v>
      </c>
      <c r="K264" s="302">
        <v>1.5196195088588047</v>
      </c>
      <c r="L264" s="302">
        <f>SUM(J264:K264)</f>
        <v>2.0501470747221555</v>
      </c>
      <c r="M264" s="236"/>
      <c r="N264" s="236"/>
    </row>
    <row r="265" spans="1:14" x14ac:dyDescent="0.2">
      <c r="A265" s="237" t="str">
        <f>name!E$5</f>
        <v>Professional occupations</v>
      </c>
      <c r="B265" s="302">
        <v>0.38229185831533991</v>
      </c>
      <c r="C265" s="302">
        <v>0.49565689250179723</v>
      </c>
      <c r="D265" s="302">
        <f t="shared" ref="D265:D272" si="85">SUM(B265:C265)</f>
        <v>0.87794875081713708</v>
      </c>
      <c r="E265" s="303"/>
      <c r="F265" s="302">
        <v>0.57086596979800197</v>
      </c>
      <c r="G265" s="302">
        <v>0.87870592387715063</v>
      </c>
      <c r="H265" s="302">
        <f t="shared" ref="H265:H272" si="86">SUM(F265:G265)</f>
        <v>1.4495718936751527</v>
      </c>
      <c r="I265" s="303"/>
      <c r="J265" s="302">
        <v>0.63112260824579203</v>
      </c>
      <c r="K265" s="302">
        <v>0.94428286594331623</v>
      </c>
      <c r="L265" s="302">
        <f t="shared" ref="L265:L272" si="87">SUM(J265:K265)</f>
        <v>1.5754054741891084</v>
      </c>
      <c r="M265" s="236"/>
      <c r="N265" s="236"/>
    </row>
    <row r="266" spans="1:14" x14ac:dyDescent="0.2">
      <c r="A266" s="237" t="str">
        <f>name!E$6</f>
        <v>Associate professional occupations</v>
      </c>
      <c r="B266" s="302">
        <v>0.39710857822424811</v>
      </c>
      <c r="C266" s="302">
        <v>0.396250355548591</v>
      </c>
      <c r="D266" s="302">
        <f t="shared" si="85"/>
        <v>0.79335893377283906</v>
      </c>
      <c r="E266" s="303"/>
      <c r="F266" s="302">
        <v>0.5399161972088341</v>
      </c>
      <c r="G266" s="302">
        <v>0.63909951228014739</v>
      </c>
      <c r="H266" s="302">
        <f t="shared" si="86"/>
        <v>1.1790157094889815</v>
      </c>
      <c r="I266" s="303"/>
      <c r="J266" s="302">
        <v>0.70307166170563806</v>
      </c>
      <c r="K266" s="302">
        <v>0.61927358700247293</v>
      </c>
      <c r="L266" s="302">
        <f t="shared" si="87"/>
        <v>1.3223452487081109</v>
      </c>
      <c r="M266" s="236"/>
      <c r="N266" s="236"/>
    </row>
    <row r="267" spans="1:14" x14ac:dyDescent="0.2">
      <c r="A267" s="237" t="str">
        <f>name!E$7</f>
        <v>Administrative and secretarial occupations</v>
      </c>
      <c r="B267" s="302">
        <v>1.2536037129951996</v>
      </c>
      <c r="C267" s="302">
        <v>8.4670196670794007E-2</v>
      </c>
      <c r="D267" s="302">
        <f t="shared" si="85"/>
        <v>1.3382739096659937</v>
      </c>
      <c r="E267" s="303"/>
      <c r="F267" s="302">
        <v>1.1948526123076399</v>
      </c>
      <c r="G267" s="302">
        <v>0.12980215462666403</v>
      </c>
      <c r="H267" s="302">
        <f t="shared" si="86"/>
        <v>1.3246547669343041</v>
      </c>
      <c r="I267" s="303"/>
      <c r="J267" s="302">
        <v>0.98052907026859415</v>
      </c>
      <c r="K267" s="302">
        <v>0.12410485150602175</v>
      </c>
      <c r="L267" s="302">
        <f t="shared" si="87"/>
        <v>1.1046339217746159</v>
      </c>
      <c r="M267" s="236"/>
      <c r="N267" s="236"/>
    </row>
    <row r="268" spans="1:14" x14ac:dyDescent="0.2">
      <c r="A268" s="237" t="str">
        <f>name!E$8</f>
        <v>Skilled trades occupations</v>
      </c>
      <c r="B268" s="302">
        <v>9.0847675181256332E-2</v>
      </c>
      <c r="C268" s="302">
        <v>0.3646665690541116</v>
      </c>
      <c r="D268" s="302">
        <f t="shared" si="85"/>
        <v>0.4555142442353679</v>
      </c>
      <c r="E268" s="303"/>
      <c r="F268" s="302">
        <v>9.0462261544748859E-2</v>
      </c>
      <c r="G268" s="302">
        <v>0.45683799223748517</v>
      </c>
      <c r="H268" s="302">
        <f t="shared" si="86"/>
        <v>0.54730025378223401</v>
      </c>
      <c r="I268" s="303"/>
      <c r="J268" s="302">
        <v>0.13518798584566838</v>
      </c>
      <c r="K268" s="302">
        <v>0.44539212792775218</v>
      </c>
      <c r="L268" s="302">
        <f t="shared" si="87"/>
        <v>0.58058011377342056</v>
      </c>
      <c r="M268" s="236"/>
      <c r="N268" s="236"/>
    </row>
    <row r="269" spans="1:14" x14ac:dyDescent="0.2">
      <c r="A269" s="237" t="str">
        <f>name!E$9</f>
        <v>Caring, leisure and other service occupations</v>
      </c>
      <c r="B269" s="302">
        <v>0.14486255742699239</v>
      </c>
      <c r="C269" s="302">
        <v>6.6783727179737573E-2</v>
      </c>
      <c r="D269" s="302">
        <f t="shared" si="85"/>
        <v>0.21164628460672996</v>
      </c>
      <c r="E269" s="303"/>
      <c r="F269" s="302">
        <v>0.14399470373091625</v>
      </c>
      <c r="G269" s="302">
        <v>0.1105412226011343</v>
      </c>
      <c r="H269" s="302">
        <f t="shared" si="86"/>
        <v>0.25453592633205058</v>
      </c>
      <c r="I269" s="303"/>
      <c r="J269" s="302">
        <v>0.16117655350350582</v>
      </c>
      <c r="K269" s="302">
        <v>0.1109829217170821</v>
      </c>
      <c r="L269" s="302">
        <f t="shared" si="87"/>
        <v>0.27215947522058792</v>
      </c>
      <c r="M269" s="236"/>
      <c r="N269" s="236"/>
    </row>
    <row r="270" spans="1:14" x14ac:dyDescent="0.2">
      <c r="A270" s="237" t="str">
        <f>name!E$10</f>
        <v>Sales and customer service occupations</v>
      </c>
      <c r="B270" s="302">
        <v>0.40926338070331181</v>
      </c>
      <c r="C270" s="302">
        <v>0.15572652618665211</v>
      </c>
      <c r="D270" s="302">
        <f t="shared" si="85"/>
        <v>0.56498990688996398</v>
      </c>
      <c r="E270" s="303"/>
      <c r="F270" s="302">
        <v>0.41149160643818655</v>
      </c>
      <c r="G270" s="302">
        <v>0.27150885560231969</v>
      </c>
      <c r="H270" s="302">
        <f t="shared" si="86"/>
        <v>0.68300046204050624</v>
      </c>
      <c r="I270" s="303"/>
      <c r="J270" s="302">
        <v>0.402169554925349</v>
      </c>
      <c r="K270" s="302">
        <v>0.24365758066954296</v>
      </c>
      <c r="L270" s="302">
        <f t="shared" si="87"/>
        <v>0.64582713559489191</v>
      </c>
      <c r="M270" s="236"/>
      <c r="N270" s="236"/>
    </row>
    <row r="271" spans="1:14" x14ac:dyDescent="0.2">
      <c r="A271" s="237" t="str">
        <f>name!E$11</f>
        <v>Process, plant and machine operatives</v>
      </c>
      <c r="B271" s="302">
        <v>4.9696139845685113E-3</v>
      </c>
      <c r="C271" s="302">
        <v>9.4994327343956089E-2</v>
      </c>
      <c r="D271" s="302">
        <f t="shared" si="85"/>
        <v>9.9963941328524597E-2</v>
      </c>
      <c r="E271" s="303"/>
      <c r="F271" s="302">
        <v>4.1154678632236465E-3</v>
      </c>
      <c r="G271" s="302">
        <v>0.10392936033689272</v>
      </c>
      <c r="H271" s="302">
        <f t="shared" si="86"/>
        <v>0.10804482820011636</v>
      </c>
      <c r="I271" s="303"/>
      <c r="J271" s="302">
        <v>5.9133821920157393E-3</v>
      </c>
      <c r="K271" s="302">
        <v>7.2024802617584316E-2</v>
      </c>
      <c r="L271" s="302">
        <f t="shared" si="87"/>
        <v>7.7938184809600061E-2</v>
      </c>
      <c r="M271" s="236"/>
      <c r="N271" s="236"/>
    </row>
    <row r="272" spans="1:14" x14ac:dyDescent="0.2">
      <c r="A272" s="237" t="str">
        <f>name!E$12</f>
        <v>Elementary occupations</v>
      </c>
      <c r="B272" s="302">
        <v>0.138597667233709</v>
      </c>
      <c r="C272" s="302">
        <v>7.9578376171177384E-2</v>
      </c>
      <c r="D272" s="302">
        <f t="shared" si="85"/>
        <v>0.21817604340488639</v>
      </c>
      <c r="E272" s="303"/>
      <c r="F272" s="302">
        <v>0.10168105401625195</v>
      </c>
      <c r="G272" s="302">
        <v>8.8465647420359408E-2</v>
      </c>
      <c r="H272" s="302">
        <f t="shared" si="86"/>
        <v>0.19014670143661136</v>
      </c>
      <c r="I272" s="303"/>
      <c r="J272" s="302">
        <v>6.562873141583328E-2</v>
      </c>
      <c r="K272" s="302">
        <v>7.3334639791678563E-2</v>
      </c>
      <c r="L272" s="302">
        <f t="shared" si="87"/>
        <v>0.13896337120751184</v>
      </c>
      <c r="M272" s="236"/>
      <c r="N272" s="236"/>
    </row>
    <row r="273" spans="1:14" x14ac:dyDescent="0.2">
      <c r="A273" s="237"/>
      <c r="B273" s="302"/>
      <c r="C273" s="302"/>
      <c r="D273" s="302"/>
      <c r="E273" s="303"/>
      <c r="F273" s="302"/>
      <c r="G273" s="302"/>
      <c r="H273" s="302"/>
      <c r="I273" s="303"/>
      <c r="J273" s="302"/>
      <c r="K273" s="302"/>
      <c r="L273" s="302"/>
      <c r="M273" s="236"/>
      <c r="N273" s="236"/>
    </row>
    <row r="274" spans="1:14" x14ac:dyDescent="0.2">
      <c r="A274" s="244" t="s">
        <v>33</v>
      </c>
      <c r="B274" s="311">
        <f>SUM(B264:B272)</f>
        <v>3.2609346977757747</v>
      </c>
      <c r="C274" s="311">
        <f t="shared" ref="C274:D274" si="88">SUM(C264:C272)</f>
        <v>2.4910653022242304</v>
      </c>
      <c r="D274" s="311">
        <f t="shared" si="88"/>
        <v>5.7520000000000042</v>
      </c>
      <c r="E274" s="311"/>
      <c r="F274" s="311">
        <f t="shared" ref="F274:H274" si="89">SUM(F264:F272)</f>
        <v>3.5815511746117203</v>
      </c>
      <c r="G274" s="311">
        <f t="shared" si="89"/>
        <v>4.0914488253882766</v>
      </c>
      <c r="H274" s="311">
        <f t="shared" si="89"/>
        <v>7.6729999999999965</v>
      </c>
      <c r="I274" s="311"/>
      <c r="J274" s="311">
        <f t="shared" ref="J274:L274" si="90">SUM(J264:J272)</f>
        <v>3.6153271139657472</v>
      </c>
      <c r="K274" s="311">
        <f t="shared" si="90"/>
        <v>4.1526728860342565</v>
      </c>
      <c r="L274" s="311">
        <f t="shared" si="90"/>
        <v>7.7680000000000016</v>
      </c>
      <c r="M274" s="236"/>
      <c r="N274" s="236"/>
    </row>
    <row r="275" spans="1:14" x14ac:dyDescent="0.2">
      <c r="A275" s="237"/>
      <c r="B275" s="237"/>
      <c r="C275" s="237"/>
      <c r="D275" s="237"/>
      <c r="E275" s="237"/>
      <c r="F275" s="237"/>
      <c r="G275" s="237"/>
      <c r="H275" s="237"/>
      <c r="I275" s="237"/>
      <c r="J275" s="237"/>
      <c r="K275" s="237"/>
      <c r="L275" s="240"/>
      <c r="M275" s="236"/>
      <c r="N275" s="236"/>
    </row>
    <row r="276" spans="1:14" x14ac:dyDescent="0.2">
      <c r="A276" s="237"/>
      <c r="B276" s="237"/>
      <c r="C276" s="237"/>
      <c r="D276" s="237"/>
      <c r="E276" s="237"/>
      <c r="F276" s="237"/>
      <c r="G276" s="237"/>
      <c r="H276" s="237"/>
      <c r="I276" s="237"/>
      <c r="J276" s="237"/>
      <c r="K276" s="237"/>
      <c r="L276" s="256" t="s">
        <v>36</v>
      </c>
      <c r="M276" s="236"/>
      <c r="N276" s="236"/>
    </row>
    <row r="277" spans="1:14" x14ac:dyDescent="0.2">
      <c r="A277" s="242"/>
      <c r="B277" s="250"/>
      <c r="C277" s="250"/>
      <c r="D277" s="250"/>
      <c r="E277" s="250"/>
      <c r="F277" s="250"/>
      <c r="G277" s="250"/>
      <c r="H277" s="250"/>
      <c r="I277" s="250"/>
      <c r="J277" s="250"/>
      <c r="K277" s="250"/>
      <c r="L277" s="236"/>
      <c r="M277" s="236"/>
      <c r="N277" s="236"/>
    </row>
    <row r="278" spans="1:14" x14ac:dyDescent="0.2">
      <c r="A278" s="241" t="str">
        <f>name!B19</f>
        <v>Professional services</v>
      </c>
      <c r="B278" s="375">
        <f>B$6</f>
        <v>2015</v>
      </c>
      <c r="C278" s="375"/>
      <c r="D278" s="375"/>
      <c r="E278" s="253"/>
      <c r="F278" s="375">
        <f>F261</f>
        <v>2020</v>
      </c>
      <c r="G278" s="375"/>
      <c r="H278" s="375"/>
      <c r="I278" s="253"/>
      <c r="J278" s="375">
        <f>J261</f>
        <v>2035</v>
      </c>
      <c r="K278" s="375"/>
      <c r="L278" s="375"/>
      <c r="M278" s="236"/>
      <c r="N278" s="236"/>
    </row>
    <row r="279" spans="1:14" x14ac:dyDescent="0.2">
      <c r="A279" s="254"/>
      <c r="B279" s="255" t="s">
        <v>361</v>
      </c>
      <c r="C279" s="255" t="s">
        <v>362</v>
      </c>
      <c r="D279" s="255" t="s">
        <v>33</v>
      </c>
      <c r="E279" s="255"/>
      <c r="F279" s="255" t="s">
        <v>361</v>
      </c>
      <c r="G279" s="255" t="s">
        <v>362</v>
      </c>
      <c r="H279" s="255" t="s">
        <v>33</v>
      </c>
      <c r="I279" s="255"/>
      <c r="J279" s="255" t="s">
        <v>361</v>
      </c>
      <c r="K279" s="255" t="s">
        <v>362</v>
      </c>
      <c r="L279" s="255" t="s">
        <v>33</v>
      </c>
      <c r="M279" s="236"/>
      <c r="N279" s="236"/>
    </row>
    <row r="280" spans="1:14" x14ac:dyDescent="0.2">
      <c r="A280" s="258"/>
      <c r="B280" s="259"/>
      <c r="C280" s="259"/>
      <c r="D280" s="259"/>
      <c r="E280" s="259"/>
      <c r="F280" s="259"/>
      <c r="G280" s="259"/>
      <c r="H280" s="259"/>
      <c r="I280" s="259"/>
      <c r="J280" s="259"/>
      <c r="K280" s="259"/>
      <c r="L280" s="259"/>
      <c r="M280" s="236"/>
      <c r="N280" s="236"/>
    </row>
    <row r="281" spans="1:14" x14ac:dyDescent="0.2">
      <c r="A281" s="237" t="str">
        <f>name!E$4</f>
        <v>Managers, directors and senior officials</v>
      </c>
      <c r="B281" s="302">
        <v>1.0759586335989522</v>
      </c>
      <c r="C281" s="302">
        <v>2.5524139990219386</v>
      </c>
      <c r="D281" s="302">
        <f>SUM(B281:C281)</f>
        <v>3.6283726326208905</v>
      </c>
      <c r="E281" s="303"/>
      <c r="F281" s="302">
        <v>1.8212695092992117</v>
      </c>
      <c r="G281" s="302">
        <v>2.5087499292225597</v>
      </c>
      <c r="H281" s="302">
        <f>SUM(F281:G281)</f>
        <v>4.3300194385217718</v>
      </c>
      <c r="I281" s="303"/>
      <c r="J281" s="302">
        <v>2.1040487380895811</v>
      </c>
      <c r="K281" s="302">
        <v>2.4779951588959777</v>
      </c>
      <c r="L281" s="302">
        <f>SUM(J281:K281)</f>
        <v>4.5820438969855584</v>
      </c>
      <c r="M281" s="236"/>
      <c r="N281" s="236"/>
    </row>
    <row r="282" spans="1:14" x14ac:dyDescent="0.2">
      <c r="A282" s="237" t="str">
        <f>name!E$5</f>
        <v>Professional occupations</v>
      </c>
      <c r="B282" s="302">
        <v>2.8576345711354949</v>
      </c>
      <c r="C282" s="302">
        <v>6.5278160150508446</v>
      </c>
      <c r="D282" s="302">
        <f t="shared" ref="D282:D289" si="91">SUM(B282:C282)</f>
        <v>9.3854505861863391</v>
      </c>
      <c r="E282" s="303"/>
      <c r="F282" s="302">
        <v>5.0392167676073729</v>
      </c>
      <c r="G282" s="302">
        <v>6.9534588311691063</v>
      </c>
      <c r="H282" s="302">
        <f t="shared" ref="H282:H289" si="92">SUM(F282:G282)</f>
        <v>11.992675598776479</v>
      </c>
      <c r="I282" s="303"/>
      <c r="J282" s="302">
        <v>6.613123351313436</v>
      </c>
      <c r="K282" s="302">
        <v>8.043033033606136</v>
      </c>
      <c r="L282" s="302">
        <f t="shared" ref="L282:L289" si="93">SUM(J282:K282)</f>
        <v>14.656156384919573</v>
      </c>
      <c r="M282" s="236"/>
      <c r="N282" s="236"/>
    </row>
    <row r="283" spans="1:14" x14ac:dyDescent="0.2">
      <c r="A283" s="237" t="str">
        <f>name!E$6</f>
        <v>Associate professional occupations</v>
      </c>
      <c r="B283" s="302">
        <v>1.7340207186196324</v>
      </c>
      <c r="C283" s="302">
        <v>2.6641174472408355</v>
      </c>
      <c r="D283" s="302">
        <f t="shared" si="91"/>
        <v>4.3981381658604679</v>
      </c>
      <c r="E283" s="303"/>
      <c r="F283" s="302">
        <v>2.5550874467294902</v>
      </c>
      <c r="G283" s="302">
        <v>2.7206935957897009</v>
      </c>
      <c r="H283" s="302">
        <f t="shared" si="92"/>
        <v>5.2757810425191911</v>
      </c>
      <c r="I283" s="303"/>
      <c r="J283" s="302">
        <v>3.2262581216589914</v>
      </c>
      <c r="K283" s="302">
        <v>2.6647050716983189</v>
      </c>
      <c r="L283" s="302">
        <f t="shared" si="93"/>
        <v>5.8909631933573099</v>
      </c>
      <c r="M283" s="236"/>
      <c r="N283" s="236"/>
    </row>
    <row r="284" spans="1:14" x14ac:dyDescent="0.2">
      <c r="A284" s="237" t="str">
        <f>name!E$7</f>
        <v>Administrative and secretarial occupations</v>
      </c>
      <c r="B284" s="302">
        <v>4.3581047071589749</v>
      </c>
      <c r="C284" s="302">
        <v>0.47161955110098103</v>
      </c>
      <c r="D284" s="302">
        <f t="shared" si="91"/>
        <v>4.8297242582599562</v>
      </c>
      <c r="E284" s="303"/>
      <c r="F284" s="302">
        <v>5.2548524899524498</v>
      </c>
      <c r="G284" s="302">
        <v>0.44486446022678727</v>
      </c>
      <c r="H284" s="302">
        <f t="shared" si="92"/>
        <v>5.6997169501792371</v>
      </c>
      <c r="I284" s="303"/>
      <c r="J284" s="302">
        <v>4.7619293471709447</v>
      </c>
      <c r="K284" s="302">
        <v>0.33303551011462401</v>
      </c>
      <c r="L284" s="302">
        <f t="shared" si="93"/>
        <v>5.0949648572855688</v>
      </c>
      <c r="M284" s="236"/>
      <c r="N284" s="236"/>
    </row>
    <row r="285" spans="1:14" x14ac:dyDescent="0.2">
      <c r="A285" s="237" t="str">
        <f>name!E$8</f>
        <v>Skilled trades occupations</v>
      </c>
      <c r="B285" s="302">
        <v>0.12517009256790562</v>
      </c>
      <c r="C285" s="302">
        <v>0.89704651266857549</v>
      </c>
      <c r="D285" s="302">
        <f t="shared" si="91"/>
        <v>1.0222166052364812</v>
      </c>
      <c r="E285" s="303"/>
      <c r="F285" s="302">
        <v>0.18756187417137873</v>
      </c>
      <c r="G285" s="302">
        <v>0.59521999824142691</v>
      </c>
      <c r="H285" s="302">
        <f t="shared" si="92"/>
        <v>0.78278187241280561</v>
      </c>
      <c r="I285" s="303"/>
      <c r="J285" s="302">
        <v>0.29201265555034345</v>
      </c>
      <c r="K285" s="302">
        <v>0.53130550549260447</v>
      </c>
      <c r="L285" s="302">
        <f t="shared" si="93"/>
        <v>0.82331816104294786</v>
      </c>
      <c r="M285" s="236"/>
      <c r="N285" s="236"/>
    </row>
    <row r="286" spans="1:14" x14ac:dyDescent="0.2">
      <c r="A286" s="237" t="str">
        <f>name!E$9</f>
        <v>Caring, leisure and other service occupations</v>
      </c>
      <c r="B286" s="302">
        <v>0.3738981797464313</v>
      </c>
      <c r="C286" s="302">
        <v>0.22705202681364903</v>
      </c>
      <c r="D286" s="302">
        <f t="shared" si="91"/>
        <v>0.60095020656008036</v>
      </c>
      <c r="E286" s="303"/>
      <c r="F286" s="302">
        <v>0.68879841140415621</v>
      </c>
      <c r="G286" s="302">
        <v>0.22662909842945789</v>
      </c>
      <c r="H286" s="302">
        <f t="shared" si="92"/>
        <v>0.91542750983361409</v>
      </c>
      <c r="I286" s="303"/>
      <c r="J286" s="302">
        <v>0.7788909166677066</v>
      </c>
      <c r="K286" s="302">
        <v>0.33218718562300859</v>
      </c>
      <c r="L286" s="302">
        <f t="shared" si="93"/>
        <v>1.1110781022907152</v>
      </c>
      <c r="M286" s="236"/>
      <c r="N286" s="236"/>
    </row>
    <row r="287" spans="1:14" x14ac:dyDescent="0.2">
      <c r="A287" s="237" t="str">
        <f>name!E$10</f>
        <v>Sales and customer service occupations</v>
      </c>
      <c r="B287" s="302">
        <v>0.60775556875582148</v>
      </c>
      <c r="C287" s="302">
        <v>0.37550335919190875</v>
      </c>
      <c r="D287" s="302">
        <f t="shared" si="91"/>
        <v>0.98325892794773018</v>
      </c>
      <c r="E287" s="303"/>
      <c r="F287" s="302">
        <v>0.7099039591955012</v>
      </c>
      <c r="G287" s="302">
        <v>0.30249865657524144</v>
      </c>
      <c r="H287" s="302">
        <f t="shared" si="92"/>
        <v>1.0124026157707426</v>
      </c>
      <c r="I287" s="303"/>
      <c r="J287" s="302">
        <v>0.69072095980863779</v>
      </c>
      <c r="K287" s="302">
        <v>0.34931552508598257</v>
      </c>
      <c r="L287" s="302">
        <f t="shared" si="93"/>
        <v>1.0400364848946204</v>
      </c>
      <c r="M287" s="236"/>
      <c r="N287" s="236"/>
    </row>
    <row r="288" spans="1:14" x14ac:dyDescent="0.2">
      <c r="A288" s="237" t="str">
        <f>name!E$11</f>
        <v>Process, plant and machine operatives</v>
      </c>
      <c r="B288" s="302">
        <v>3.8095016733489015E-2</v>
      </c>
      <c r="C288" s="302">
        <v>0.40242669699477612</v>
      </c>
      <c r="D288" s="302">
        <f t="shared" si="91"/>
        <v>0.44052171372826515</v>
      </c>
      <c r="E288" s="303"/>
      <c r="F288" s="302">
        <v>4.4582005081402601E-2</v>
      </c>
      <c r="G288" s="302">
        <v>0.29689268045310496</v>
      </c>
      <c r="H288" s="302">
        <f t="shared" si="92"/>
        <v>0.34147468553450755</v>
      </c>
      <c r="I288" s="303"/>
      <c r="J288" s="302">
        <v>4.8124792941673059E-2</v>
      </c>
      <c r="K288" s="302">
        <v>0.26775982844559543</v>
      </c>
      <c r="L288" s="302">
        <f t="shared" si="93"/>
        <v>0.31588462138726847</v>
      </c>
      <c r="M288" s="236"/>
      <c r="N288" s="236"/>
    </row>
    <row r="289" spans="1:14" x14ac:dyDescent="0.2">
      <c r="A289" s="237" t="str">
        <f>name!E$12</f>
        <v>Elementary occupations</v>
      </c>
      <c r="B289" s="302">
        <v>0.53299218148131444</v>
      </c>
      <c r="C289" s="302">
        <v>0.46237472211849201</v>
      </c>
      <c r="D289" s="302">
        <f t="shared" si="91"/>
        <v>0.99536690359980651</v>
      </c>
      <c r="E289" s="303"/>
      <c r="F289" s="302">
        <v>0.57076148587871633</v>
      </c>
      <c r="G289" s="302">
        <v>0.32095880057297299</v>
      </c>
      <c r="H289" s="302">
        <f t="shared" si="92"/>
        <v>0.89172028645168933</v>
      </c>
      <c r="I289" s="303"/>
      <c r="J289" s="302">
        <v>0.52610393470908412</v>
      </c>
      <c r="K289" s="302">
        <v>0.27845036312735444</v>
      </c>
      <c r="L289" s="302">
        <f t="shared" si="93"/>
        <v>0.80455429783643861</v>
      </c>
      <c r="M289" s="236"/>
      <c r="N289" s="236"/>
    </row>
    <row r="290" spans="1:14" x14ac:dyDescent="0.2">
      <c r="A290" s="237"/>
      <c r="B290" s="302"/>
      <c r="C290" s="302"/>
      <c r="D290" s="302"/>
      <c r="E290" s="303"/>
      <c r="F290" s="302"/>
      <c r="G290" s="302"/>
      <c r="H290" s="302"/>
      <c r="I290" s="303"/>
      <c r="J290" s="302"/>
      <c r="K290" s="302"/>
      <c r="L290" s="302"/>
      <c r="M290" s="236"/>
      <c r="N290" s="236"/>
    </row>
    <row r="291" spans="1:14" x14ac:dyDescent="0.2">
      <c r="A291" s="244" t="s">
        <v>33</v>
      </c>
      <c r="B291" s="311">
        <f>SUM(B281:B289)</f>
        <v>11.703629669798017</v>
      </c>
      <c r="C291" s="311">
        <f t="shared" ref="C291:D291" si="94">SUM(C281:C289)</f>
        <v>14.580370330201999</v>
      </c>
      <c r="D291" s="311">
        <f t="shared" si="94"/>
        <v>26.28400000000002</v>
      </c>
      <c r="E291" s="311"/>
      <c r="F291" s="311">
        <f t="shared" ref="F291:H291" si="95">SUM(F281:F289)</f>
        <v>16.872033949319679</v>
      </c>
      <c r="G291" s="311">
        <f t="shared" si="95"/>
        <v>14.369966050680359</v>
      </c>
      <c r="H291" s="311">
        <f t="shared" si="95"/>
        <v>31.24200000000004</v>
      </c>
      <c r="I291" s="311"/>
      <c r="J291" s="311">
        <f t="shared" ref="J291:L291" si="96">SUM(J281:J289)</f>
        <v>19.041212817910402</v>
      </c>
      <c r="K291" s="311">
        <f t="shared" si="96"/>
        <v>15.2777871820896</v>
      </c>
      <c r="L291" s="311">
        <f t="shared" si="96"/>
        <v>34.318999999999996</v>
      </c>
      <c r="M291" s="236"/>
      <c r="N291" s="236"/>
    </row>
    <row r="292" spans="1:14" x14ac:dyDescent="0.2">
      <c r="A292" s="237"/>
      <c r="B292" s="237"/>
      <c r="C292" s="237"/>
      <c r="D292" s="237"/>
      <c r="E292" s="237"/>
      <c r="F292" s="237"/>
      <c r="G292" s="237"/>
      <c r="H292" s="237"/>
      <c r="I292" s="237"/>
      <c r="J292" s="237"/>
      <c r="K292" s="237"/>
      <c r="L292" s="240"/>
      <c r="M292" s="236"/>
      <c r="N292" s="236"/>
    </row>
    <row r="293" spans="1:14" x14ac:dyDescent="0.2">
      <c r="A293" s="237"/>
      <c r="B293" s="237"/>
      <c r="C293" s="237"/>
      <c r="D293" s="237"/>
      <c r="E293" s="237"/>
      <c r="F293" s="237"/>
      <c r="G293" s="237"/>
      <c r="H293" s="237"/>
      <c r="I293" s="237"/>
      <c r="J293" s="237"/>
      <c r="K293" s="237"/>
      <c r="L293" s="256" t="s">
        <v>36</v>
      </c>
      <c r="M293" s="236"/>
      <c r="N293" s="236"/>
    </row>
    <row r="294" spans="1:14" x14ac:dyDescent="0.2">
      <c r="A294" s="242"/>
      <c r="B294" s="250"/>
      <c r="C294" s="250"/>
      <c r="D294" s="250"/>
      <c r="E294" s="250"/>
      <c r="F294" s="250"/>
      <c r="G294" s="250"/>
      <c r="H294" s="250"/>
      <c r="I294" s="250"/>
      <c r="J294" s="250"/>
      <c r="K294" s="250"/>
      <c r="L294" s="236"/>
      <c r="M294" s="236"/>
      <c r="N294" s="236"/>
    </row>
    <row r="295" spans="1:14" x14ac:dyDescent="0.2">
      <c r="A295" s="241" t="str">
        <f>name!B20</f>
        <v>Support services</v>
      </c>
      <c r="B295" s="375">
        <f>B$6</f>
        <v>2015</v>
      </c>
      <c r="C295" s="375"/>
      <c r="D295" s="375"/>
      <c r="E295" s="253"/>
      <c r="F295" s="375">
        <f>F278</f>
        <v>2020</v>
      </c>
      <c r="G295" s="375"/>
      <c r="H295" s="375"/>
      <c r="I295" s="253"/>
      <c r="J295" s="375">
        <f>J278</f>
        <v>2035</v>
      </c>
      <c r="K295" s="375"/>
      <c r="L295" s="375"/>
      <c r="M295" s="236"/>
      <c r="N295" s="236"/>
    </row>
    <row r="296" spans="1:14" x14ac:dyDescent="0.2">
      <c r="A296" s="254"/>
      <c r="B296" s="255" t="s">
        <v>361</v>
      </c>
      <c r="C296" s="255" t="s">
        <v>362</v>
      </c>
      <c r="D296" s="255" t="s">
        <v>33</v>
      </c>
      <c r="E296" s="255"/>
      <c r="F296" s="255" t="s">
        <v>361</v>
      </c>
      <c r="G296" s="255" t="s">
        <v>362</v>
      </c>
      <c r="H296" s="255" t="s">
        <v>33</v>
      </c>
      <c r="I296" s="255"/>
      <c r="J296" s="255" t="s">
        <v>361</v>
      </c>
      <c r="K296" s="255" t="s">
        <v>362</v>
      </c>
      <c r="L296" s="255" t="s">
        <v>33</v>
      </c>
      <c r="M296" s="236"/>
      <c r="N296" s="236"/>
    </row>
    <row r="297" spans="1:14" x14ac:dyDescent="0.2">
      <c r="A297" s="258"/>
      <c r="B297" s="259"/>
      <c r="C297" s="259"/>
      <c r="D297" s="259"/>
      <c r="E297" s="259"/>
      <c r="F297" s="259"/>
      <c r="G297" s="259"/>
      <c r="H297" s="259"/>
      <c r="I297" s="259"/>
      <c r="J297" s="259"/>
      <c r="K297" s="259"/>
      <c r="L297" s="259"/>
      <c r="M297" s="236"/>
      <c r="N297" s="236"/>
    </row>
    <row r="298" spans="1:14" x14ac:dyDescent="0.2">
      <c r="A298" s="237" t="str">
        <f>name!E$4</f>
        <v>Managers, directors and senior officials</v>
      </c>
      <c r="B298" s="302">
        <v>1.1583718439135393</v>
      </c>
      <c r="C298" s="302">
        <v>2.9142420210050823</v>
      </c>
      <c r="D298" s="302">
        <f>SUM(B298:C298)</f>
        <v>4.0726138649186217</v>
      </c>
      <c r="E298" s="303"/>
      <c r="F298" s="302">
        <v>1.4250050798249763</v>
      </c>
      <c r="G298" s="302">
        <v>3.6209382269035846</v>
      </c>
      <c r="H298" s="302">
        <f>SUM(F298:G298)</f>
        <v>5.0459433067285611</v>
      </c>
      <c r="I298" s="303"/>
      <c r="J298" s="302">
        <v>1.5618316080528125</v>
      </c>
      <c r="K298" s="302">
        <v>3.9760091374689366</v>
      </c>
      <c r="L298" s="302">
        <f>SUM(J298:K298)</f>
        <v>5.5378407455217493</v>
      </c>
      <c r="M298" s="236"/>
      <c r="N298" s="236"/>
    </row>
    <row r="299" spans="1:14" x14ac:dyDescent="0.2">
      <c r="A299" s="237" t="str">
        <f>name!E$5</f>
        <v>Professional occupations</v>
      </c>
      <c r="B299" s="302">
        <v>1.480806446654104</v>
      </c>
      <c r="C299" s="302">
        <v>2.492113958520414</v>
      </c>
      <c r="D299" s="302">
        <f t="shared" ref="D299:D306" si="97">SUM(B299:C299)</f>
        <v>3.9729204051745182</v>
      </c>
      <c r="E299" s="303"/>
      <c r="F299" s="302">
        <v>1.9035889257634027</v>
      </c>
      <c r="G299" s="302">
        <v>3.4093785859981218</v>
      </c>
      <c r="H299" s="302">
        <f t="shared" ref="H299:H306" si="98">SUM(F299:G299)</f>
        <v>5.3129675117615243</v>
      </c>
      <c r="I299" s="303"/>
      <c r="J299" s="302">
        <v>2.5467858810767248</v>
      </c>
      <c r="K299" s="302">
        <v>4.8830255912271481</v>
      </c>
      <c r="L299" s="302">
        <f t="shared" ref="L299:L306" si="99">SUM(J299:K299)</f>
        <v>7.4298114723038733</v>
      </c>
      <c r="M299" s="236"/>
      <c r="N299" s="236"/>
    </row>
    <row r="300" spans="1:14" x14ac:dyDescent="0.2">
      <c r="A300" s="237" t="str">
        <f>name!E$6</f>
        <v>Associate professional occupations</v>
      </c>
      <c r="B300" s="302">
        <v>1.9333165795500267</v>
      </c>
      <c r="C300" s="302">
        <v>3.4266603783046876</v>
      </c>
      <c r="D300" s="302">
        <f t="shared" si="97"/>
        <v>5.3599769578547143</v>
      </c>
      <c r="E300" s="303"/>
      <c r="F300" s="302">
        <v>2.2255060339519934</v>
      </c>
      <c r="G300" s="302">
        <v>4.0913158864559174</v>
      </c>
      <c r="H300" s="302">
        <f t="shared" si="98"/>
        <v>6.3168219204079108</v>
      </c>
      <c r="I300" s="303"/>
      <c r="J300" s="302">
        <v>2.8740566741161868</v>
      </c>
      <c r="K300" s="302">
        <v>4.229011939537437</v>
      </c>
      <c r="L300" s="302">
        <f t="shared" si="99"/>
        <v>7.1030686136536243</v>
      </c>
      <c r="M300" s="236"/>
      <c r="N300" s="236"/>
    </row>
    <row r="301" spans="1:14" x14ac:dyDescent="0.2">
      <c r="A301" s="237" t="str">
        <f>name!E$7</f>
        <v>Administrative and secretarial occupations</v>
      </c>
      <c r="B301" s="302">
        <v>3.8809665143472913</v>
      </c>
      <c r="C301" s="302">
        <v>0.85589603186743834</v>
      </c>
      <c r="D301" s="302">
        <f t="shared" si="97"/>
        <v>4.7368625462147298</v>
      </c>
      <c r="E301" s="303"/>
      <c r="F301" s="302">
        <v>3.6098286111545912</v>
      </c>
      <c r="G301" s="302">
        <v>1.0416115986440297</v>
      </c>
      <c r="H301" s="302">
        <f t="shared" si="98"/>
        <v>4.6514402097986212</v>
      </c>
      <c r="I301" s="303"/>
      <c r="J301" s="302">
        <v>3.8254145379292894</v>
      </c>
      <c r="K301" s="302">
        <v>1.2412772839945259</v>
      </c>
      <c r="L301" s="302">
        <f t="shared" si="99"/>
        <v>5.0666918219238148</v>
      </c>
      <c r="M301" s="236"/>
      <c r="N301" s="236"/>
    </row>
    <row r="302" spans="1:14" x14ac:dyDescent="0.2">
      <c r="A302" s="237" t="str">
        <f>name!E$8</f>
        <v>Skilled trades occupations</v>
      </c>
      <c r="B302" s="302">
        <v>0.24663337408821731</v>
      </c>
      <c r="C302" s="302">
        <v>1.5185473609844342</v>
      </c>
      <c r="D302" s="302">
        <f t="shared" si="97"/>
        <v>1.7651807350726516</v>
      </c>
      <c r="E302" s="303"/>
      <c r="F302" s="302">
        <v>0.29316903879670825</v>
      </c>
      <c r="G302" s="302">
        <v>1.3467093744231293</v>
      </c>
      <c r="H302" s="302">
        <f t="shared" si="98"/>
        <v>1.6398784132198376</v>
      </c>
      <c r="I302" s="303"/>
      <c r="J302" s="302">
        <v>0.48296098110325808</v>
      </c>
      <c r="K302" s="302">
        <v>1.3790837630264154</v>
      </c>
      <c r="L302" s="302">
        <f t="shared" si="99"/>
        <v>1.8620447441296735</v>
      </c>
      <c r="M302" s="236"/>
      <c r="N302" s="236"/>
    </row>
    <row r="303" spans="1:14" x14ac:dyDescent="0.2">
      <c r="A303" s="237" t="str">
        <f>name!E$9</f>
        <v>Caring, leisure and other service occupations</v>
      </c>
      <c r="B303" s="302">
        <v>2.4839743617218288</v>
      </c>
      <c r="C303" s="302">
        <v>0.86414884259302227</v>
      </c>
      <c r="D303" s="302">
        <f t="shared" si="97"/>
        <v>3.348123204314851</v>
      </c>
      <c r="E303" s="303"/>
      <c r="F303" s="302">
        <v>2.4468700886983172</v>
      </c>
      <c r="G303" s="302">
        <v>1.0914797534178928</v>
      </c>
      <c r="H303" s="302">
        <f t="shared" si="98"/>
        <v>3.5383498421162098</v>
      </c>
      <c r="I303" s="303"/>
      <c r="J303" s="302">
        <v>2.9555137888401575</v>
      </c>
      <c r="K303" s="302">
        <v>1.4673459071692443</v>
      </c>
      <c r="L303" s="302">
        <f t="shared" si="99"/>
        <v>4.422859696009402</v>
      </c>
      <c r="M303" s="236"/>
      <c r="N303" s="236"/>
    </row>
    <row r="304" spans="1:14" x14ac:dyDescent="0.2">
      <c r="A304" s="237" t="str">
        <f>name!E$10</f>
        <v>Sales and customer service occupations</v>
      </c>
      <c r="B304" s="302">
        <v>1.2564484958681279</v>
      </c>
      <c r="C304" s="302">
        <v>1.2101818923169729</v>
      </c>
      <c r="D304" s="302">
        <f t="shared" si="97"/>
        <v>2.4666303881851008</v>
      </c>
      <c r="E304" s="303"/>
      <c r="F304" s="302">
        <v>1.2503277832430204</v>
      </c>
      <c r="G304" s="302">
        <v>1.2853866799225071</v>
      </c>
      <c r="H304" s="302">
        <f t="shared" si="98"/>
        <v>2.5357144631655277</v>
      </c>
      <c r="I304" s="303"/>
      <c r="J304" s="302">
        <v>1.6329716477339691</v>
      </c>
      <c r="K304" s="302">
        <v>1.5222509108361886</v>
      </c>
      <c r="L304" s="302">
        <f t="shared" si="99"/>
        <v>3.1552225585701574</v>
      </c>
      <c r="M304" s="236"/>
      <c r="N304" s="236"/>
    </row>
    <row r="305" spans="1:14" x14ac:dyDescent="0.2">
      <c r="A305" s="237" t="str">
        <f>name!E$11</f>
        <v>Process, plant and machine operatives</v>
      </c>
      <c r="B305" s="302">
        <v>0.1462718519333587</v>
      </c>
      <c r="C305" s="302">
        <v>1.8876031692946111</v>
      </c>
      <c r="D305" s="302">
        <f t="shared" si="97"/>
        <v>2.0338750212279697</v>
      </c>
      <c r="E305" s="303"/>
      <c r="F305" s="302">
        <v>0.10939442900934526</v>
      </c>
      <c r="G305" s="302">
        <v>1.8838030390679865</v>
      </c>
      <c r="H305" s="302">
        <f t="shared" si="98"/>
        <v>1.9931974680773319</v>
      </c>
      <c r="I305" s="303"/>
      <c r="J305" s="302">
        <v>0.16872494854605044</v>
      </c>
      <c r="K305" s="302">
        <v>1.7705269480224948</v>
      </c>
      <c r="L305" s="302">
        <f t="shared" si="99"/>
        <v>1.9392518965685452</v>
      </c>
      <c r="M305" s="236"/>
      <c r="N305" s="236"/>
    </row>
    <row r="306" spans="1:14" x14ac:dyDescent="0.2">
      <c r="A306" s="237" t="str">
        <f>name!E$12</f>
        <v>Elementary occupations</v>
      </c>
      <c r="B306" s="302">
        <v>4.4144981596488471</v>
      </c>
      <c r="C306" s="302">
        <v>7.657318717388006</v>
      </c>
      <c r="D306" s="302">
        <f t="shared" si="97"/>
        <v>12.071816877036852</v>
      </c>
      <c r="E306" s="303"/>
      <c r="F306" s="302">
        <v>3.6055434734603322</v>
      </c>
      <c r="G306" s="302">
        <v>6.9351433912641625</v>
      </c>
      <c r="H306" s="302">
        <f t="shared" si="98"/>
        <v>10.540686864724496</v>
      </c>
      <c r="I306" s="303"/>
      <c r="J306" s="302">
        <v>3.2092298077363326</v>
      </c>
      <c r="K306" s="302">
        <v>7.7159786435828437</v>
      </c>
      <c r="L306" s="302">
        <f t="shared" si="99"/>
        <v>10.925208451319175</v>
      </c>
      <c r="M306" s="236"/>
      <c r="N306" s="236"/>
    </row>
    <row r="307" spans="1:14" x14ac:dyDescent="0.2">
      <c r="A307" s="237"/>
      <c r="B307" s="302"/>
      <c r="C307" s="302"/>
      <c r="D307" s="302"/>
      <c r="E307" s="303"/>
      <c r="F307" s="302"/>
      <c r="G307" s="302"/>
      <c r="H307" s="302"/>
      <c r="I307" s="303"/>
      <c r="J307" s="302"/>
      <c r="K307" s="302"/>
      <c r="L307" s="302"/>
      <c r="M307" s="236"/>
      <c r="N307" s="236"/>
    </row>
    <row r="308" spans="1:14" x14ac:dyDescent="0.2">
      <c r="A308" s="244" t="s">
        <v>33</v>
      </c>
      <c r="B308" s="311">
        <f>SUM(B298:B306)</f>
        <v>17.00128762772534</v>
      </c>
      <c r="C308" s="311">
        <f t="shared" ref="C308:D308" si="100">SUM(C298:C306)</f>
        <v>22.826712372274667</v>
      </c>
      <c r="D308" s="311">
        <f t="shared" si="100"/>
        <v>39.82800000000001</v>
      </c>
      <c r="E308" s="311"/>
      <c r="F308" s="311">
        <f t="shared" ref="F308:H308" si="101">SUM(F298:F306)</f>
        <v>16.869233463902688</v>
      </c>
      <c r="G308" s="311">
        <f t="shared" si="101"/>
        <v>24.705766536097329</v>
      </c>
      <c r="H308" s="311">
        <f t="shared" si="101"/>
        <v>41.575000000000017</v>
      </c>
      <c r="I308" s="311"/>
      <c r="J308" s="311">
        <f t="shared" ref="J308:L308" si="102">SUM(J298:J306)</f>
        <v>19.25748987513478</v>
      </c>
      <c r="K308" s="311">
        <f t="shared" si="102"/>
        <v>28.184510124865234</v>
      </c>
      <c r="L308" s="311">
        <f t="shared" si="102"/>
        <v>47.442000000000021</v>
      </c>
      <c r="M308" s="236"/>
      <c r="N308" s="236"/>
    </row>
    <row r="309" spans="1:14" x14ac:dyDescent="0.2">
      <c r="A309" s="237"/>
      <c r="B309" s="237"/>
      <c r="C309" s="237"/>
      <c r="D309" s="237"/>
      <c r="E309" s="237"/>
      <c r="F309" s="237"/>
      <c r="G309" s="237"/>
      <c r="H309" s="237"/>
      <c r="I309" s="237"/>
      <c r="J309" s="237"/>
      <c r="K309" s="237"/>
      <c r="L309" s="240"/>
      <c r="M309" s="236"/>
      <c r="N309" s="236"/>
    </row>
    <row r="310" spans="1:14" x14ac:dyDescent="0.2">
      <c r="A310" s="237"/>
      <c r="B310" s="237"/>
      <c r="C310" s="237"/>
      <c r="D310" s="237"/>
      <c r="E310" s="237"/>
      <c r="F310" s="237"/>
      <c r="G310" s="237"/>
      <c r="H310" s="237"/>
      <c r="I310" s="237"/>
      <c r="J310" s="237"/>
      <c r="K310" s="237"/>
      <c r="L310" s="256" t="s">
        <v>36</v>
      </c>
      <c r="M310" s="236"/>
      <c r="N310" s="236"/>
    </row>
    <row r="311" spans="1:14" x14ac:dyDescent="0.2">
      <c r="A311" s="242"/>
      <c r="B311" s="250"/>
      <c r="C311" s="250"/>
      <c r="D311" s="250"/>
      <c r="E311" s="250"/>
      <c r="F311" s="250"/>
      <c r="G311" s="250"/>
      <c r="H311" s="250"/>
      <c r="I311" s="250"/>
      <c r="J311" s="250"/>
      <c r="K311" s="250"/>
      <c r="L311" s="236"/>
      <c r="M311" s="236"/>
      <c r="N311" s="236"/>
    </row>
    <row r="312" spans="1:14" x14ac:dyDescent="0.2">
      <c r="A312" s="241" t="str">
        <f>name!B21</f>
        <v>Public admin. and defence</v>
      </c>
      <c r="B312" s="375">
        <f>B$6</f>
        <v>2015</v>
      </c>
      <c r="C312" s="375"/>
      <c r="D312" s="375"/>
      <c r="E312" s="253"/>
      <c r="F312" s="375">
        <f>F295</f>
        <v>2020</v>
      </c>
      <c r="G312" s="375"/>
      <c r="H312" s="375"/>
      <c r="I312" s="253"/>
      <c r="J312" s="375">
        <f>J295</f>
        <v>2035</v>
      </c>
      <c r="K312" s="375"/>
      <c r="L312" s="375"/>
      <c r="M312" s="236"/>
      <c r="N312" s="236"/>
    </row>
    <row r="313" spans="1:14" x14ac:dyDescent="0.2">
      <c r="A313" s="254"/>
      <c r="B313" s="255" t="s">
        <v>361</v>
      </c>
      <c r="C313" s="255" t="s">
        <v>362</v>
      </c>
      <c r="D313" s="255" t="s">
        <v>33</v>
      </c>
      <c r="E313" s="255"/>
      <c r="F313" s="255" t="s">
        <v>361</v>
      </c>
      <c r="G313" s="255" t="s">
        <v>362</v>
      </c>
      <c r="H313" s="255" t="s">
        <v>33</v>
      </c>
      <c r="I313" s="255"/>
      <c r="J313" s="255" t="s">
        <v>361</v>
      </c>
      <c r="K313" s="255" t="s">
        <v>362</v>
      </c>
      <c r="L313" s="255" t="s">
        <v>33</v>
      </c>
      <c r="M313" s="236"/>
      <c r="N313" s="236"/>
    </row>
    <row r="314" spans="1:14" x14ac:dyDescent="0.2">
      <c r="A314" s="258"/>
      <c r="B314" s="259"/>
      <c r="C314" s="259"/>
      <c r="D314" s="259"/>
      <c r="E314" s="259"/>
      <c r="F314" s="259"/>
      <c r="G314" s="259"/>
      <c r="H314" s="259"/>
      <c r="I314" s="259"/>
      <c r="J314" s="259"/>
      <c r="K314" s="259"/>
      <c r="L314" s="259"/>
      <c r="M314" s="236"/>
      <c r="N314" s="236"/>
    </row>
    <row r="315" spans="1:14" x14ac:dyDescent="0.2">
      <c r="A315" s="237" t="str">
        <f>name!E$4</f>
        <v>Managers, directors and senior officials</v>
      </c>
      <c r="B315" s="302">
        <v>0.59024980816065031</v>
      </c>
      <c r="C315" s="302">
        <v>0.8630893339472625</v>
      </c>
      <c r="D315" s="302">
        <f>SUM(B315:C315)</f>
        <v>1.4533391421079127</v>
      </c>
      <c r="E315" s="303"/>
      <c r="F315" s="302">
        <v>0.74395735241647254</v>
      </c>
      <c r="G315" s="302">
        <v>0.88006655722497207</v>
      </c>
      <c r="H315" s="302">
        <f>SUM(F315:G315)</f>
        <v>1.6240239096414446</v>
      </c>
      <c r="I315" s="303"/>
      <c r="J315" s="302">
        <v>0.82882733853815838</v>
      </c>
      <c r="K315" s="302">
        <v>0.93450187044019872</v>
      </c>
      <c r="L315" s="302">
        <f>SUM(J315:K315)</f>
        <v>1.763329208978357</v>
      </c>
      <c r="M315" s="236"/>
      <c r="N315" s="236"/>
    </row>
    <row r="316" spans="1:14" x14ac:dyDescent="0.2">
      <c r="A316" s="237" t="str">
        <f>name!E$5</f>
        <v>Professional occupations</v>
      </c>
      <c r="B316" s="302">
        <v>2.2551866753774918</v>
      </c>
      <c r="C316" s="302">
        <v>1.4336415487968548</v>
      </c>
      <c r="D316" s="302">
        <f t="shared" ref="D316:D323" si="103">SUM(B316:C316)</f>
        <v>3.6888282241743466</v>
      </c>
      <c r="E316" s="303"/>
      <c r="F316" s="302">
        <v>2.8600421297913923</v>
      </c>
      <c r="G316" s="302">
        <v>1.5889094713509426</v>
      </c>
      <c r="H316" s="302">
        <f t="shared" ref="H316:H323" si="104">SUM(F316:G316)</f>
        <v>4.4489516011423351</v>
      </c>
      <c r="I316" s="303"/>
      <c r="J316" s="302">
        <v>3.4099371873895383</v>
      </c>
      <c r="K316" s="302">
        <v>2.2117873986775138</v>
      </c>
      <c r="L316" s="302">
        <f t="shared" ref="L316:L323" si="105">SUM(J316:K316)</f>
        <v>5.6217245860670522</v>
      </c>
      <c r="M316" s="236"/>
      <c r="N316" s="236"/>
    </row>
    <row r="317" spans="1:14" x14ac:dyDescent="0.2">
      <c r="A317" s="237" t="str">
        <f>name!E$6</f>
        <v>Associate professional occupations</v>
      </c>
      <c r="B317" s="302">
        <v>2.2137267722630996</v>
      </c>
      <c r="C317" s="302">
        <v>3.8470090244297555</v>
      </c>
      <c r="D317" s="302">
        <f t="shared" si="103"/>
        <v>6.060735796692855</v>
      </c>
      <c r="E317" s="303"/>
      <c r="F317" s="302">
        <v>2.4887292740660745</v>
      </c>
      <c r="G317" s="302">
        <v>3.7393541177716121</v>
      </c>
      <c r="H317" s="302">
        <f t="shared" si="104"/>
        <v>6.2280833918376866</v>
      </c>
      <c r="I317" s="303"/>
      <c r="J317" s="302">
        <v>3.1595110504571076</v>
      </c>
      <c r="K317" s="302">
        <v>3.3722176935072099</v>
      </c>
      <c r="L317" s="302">
        <f t="shared" si="105"/>
        <v>6.531728743964317</v>
      </c>
      <c r="M317" s="236"/>
      <c r="N317" s="236"/>
    </row>
    <row r="318" spans="1:14" x14ac:dyDescent="0.2">
      <c r="A318" s="237" t="str">
        <f>name!E$7</f>
        <v>Administrative and secretarial occupations</v>
      </c>
      <c r="B318" s="302">
        <v>3.5544625618224197</v>
      </c>
      <c r="C318" s="302">
        <v>0.57741439553374529</v>
      </c>
      <c r="D318" s="302">
        <f t="shared" si="103"/>
        <v>4.1318769573561651</v>
      </c>
      <c r="E318" s="303"/>
      <c r="F318" s="302">
        <v>3.0716644916245541</v>
      </c>
      <c r="G318" s="302">
        <v>0.54113557198310913</v>
      </c>
      <c r="H318" s="302">
        <f t="shared" si="104"/>
        <v>3.6128000636076631</v>
      </c>
      <c r="I318" s="303"/>
      <c r="J318" s="302">
        <v>2.3743411269843997</v>
      </c>
      <c r="K318" s="302">
        <v>0.48849709076004821</v>
      </c>
      <c r="L318" s="302">
        <f t="shared" si="105"/>
        <v>2.8628382177444478</v>
      </c>
      <c r="M318" s="236"/>
      <c r="N318" s="236"/>
    </row>
    <row r="319" spans="1:14" x14ac:dyDescent="0.2">
      <c r="A319" s="237" t="str">
        <f>name!E$8</f>
        <v>Skilled trades occupations</v>
      </c>
      <c r="B319" s="302">
        <v>4.3945090903171689E-2</v>
      </c>
      <c r="C319" s="302">
        <v>0.1099991206174824</v>
      </c>
      <c r="D319" s="302">
        <f t="shared" si="103"/>
        <v>0.1539442115206541</v>
      </c>
      <c r="E319" s="303"/>
      <c r="F319" s="302">
        <v>4.6370431321242078E-2</v>
      </c>
      <c r="G319" s="302">
        <v>7.0276068671915701E-2</v>
      </c>
      <c r="H319" s="302">
        <f t="shared" si="104"/>
        <v>0.11664649999315778</v>
      </c>
      <c r="I319" s="303"/>
      <c r="J319" s="302">
        <v>8.8590022937561172E-2</v>
      </c>
      <c r="K319" s="302">
        <v>6.2152064350647289E-2</v>
      </c>
      <c r="L319" s="302">
        <f t="shared" si="105"/>
        <v>0.15074208728820845</v>
      </c>
      <c r="M319" s="236"/>
      <c r="N319" s="236"/>
    </row>
    <row r="320" spans="1:14" x14ac:dyDescent="0.2">
      <c r="A320" s="237" t="str">
        <f>name!E$9</f>
        <v>Caring, leisure and other service occupations</v>
      </c>
      <c r="B320" s="302">
        <v>0.86721549522362473</v>
      </c>
      <c r="C320" s="302">
        <v>0.24730548948313127</v>
      </c>
      <c r="D320" s="302">
        <f t="shared" si="103"/>
        <v>1.1145209847067561</v>
      </c>
      <c r="E320" s="303"/>
      <c r="F320" s="302">
        <v>0.80638711569668176</v>
      </c>
      <c r="G320" s="302">
        <v>0.22671825220385011</v>
      </c>
      <c r="H320" s="302">
        <f t="shared" si="104"/>
        <v>1.0331053679005318</v>
      </c>
      <c r="I320" s="303"/>
      <c r="J320" s="302">
        <v>0.84071846367888792</v>
      </c>
      <c r="K320" s="302">
        <v>0.25608736972980412</v>
      </c>
      <c r="L320" s="302">
        <f t="shared" si="105"/>
        <v>1.0968058334086921</v>
      </c>
      <c r="M320" s="236"/>
      <c r="N320" s="236"/>
    </row>
    <row r="321" spans="1:14" x14ac:dyDescent="0.2">
      <c r="A321" s="237" t="str">
        <f>name!E$10</f>
        <v>Sales and customer service occupations</v>
      </c>
      <c r="B321" s="302">
        <v>0.30947400499130079</v>
      </c>
      <c r="C321" s="302">
        <v>8.7753732455765121E-2</v>
      </c>
      <c r="D321" s="302">
        <f t="shared" si="103"/>
        <v>0.39722773744706591</v>
      </c>
      <c r="E321" s="303"/>
      <c r="F321" s="302">
        <v>0.30317658724268326</v>
      </c>
      <c r="G321" s="302">
        <v>7.4407569471755697E-2</v>
      </c>
      <c r="H321" s="302">
        <f t="shared" si="104"/>
        <v>0.37758415671443896</v>
      </c>
      <c r="I321" s="303"/>
      <c r="J321" s="302">
        <v>0.31070515656330427</v>
      </c>
      <c r="K321" s="302">
        <v>9.8617417379013486E-2</v>
      </c>
      <c r="L321" s="302">
        <f t="shared" si="105"/>
        <v>0.40932257394231775</v>
      </c>
      <c r="M321" s="236"/>
      <c r="N321" s="236"/>
    </row>
    <row r="322" spans="1:14" x14ac:dyDescent="0.2">
      <c r="A322" s="237" t="str">
        <f>name!E$11</f>
        <v>Process, plant and machine operatives</v>
      </c>
      <c r="B322" s="302">
        <v>4.1114266959762759E-2</v>
      </c>
      <c r="C322" s="302">
        <v>5.061386617956265E-2</v>
      </c>
      <c r="D322" s="302">
        <f t="shared" si="103"/>
        <v>9.1728133139325402E-2</v>
      </c>
      <c r="E322" s="303"/>
      <c r="F322" s="302">
        <v>3.4401465890163581E-2</v>
      </c>
      <c r="G322" s="302">
        <v>3.6917994421827423E-2</v>
      </c>
      <c r="H322" s="302">
        <f t="shared" si="104"/>
        <v>7.1319460311991004E-2</v>
      </c>
      <c r="I322" s="303"/>
      <c r="J322" s="302">
        <v>6.9176278533738728E-2</v>
      </c>
      <c r="K322" s="302">
        <v>2.6703914078914173E-2</v>
      </c>
      <c r="L322" s="302">
        <f t="shared" si="105"/>
        <v>9.5880192612652904E-2</v>
      </c>
      <c r="M322" s="236"/>
      <c r="N322" s="236"/>
    </row>
    <row r="323" spans="1:14" x14ac:dyDescent="0.2">
      <c r="A323" s="237" t="str">
        <f>name!E$12</f>
        <v>Elementary occupations</v>
      </c>
      <c r="B323" s="302">
        <v>0.32848386038966099</v>
      </c>
      <c r="C323" s="302">
        <v>0.28931495246527023</v>
      </c>
      <c r="D323" s="302">
        <f t="shared" si="103"/>
        <v>0.61779881285493121</v>
      </c>
      <c r="E323" s="303"/>
      <c r="F323" s="302">
        <v>0.32840125016601951</v>
      </c>
      <c r="G323" s="302">
        <v>0.21008429868474388</v>
      </c>
      <c r="H323" s="302">
        <f t="shared" si="104"/>
        <v>0.53848554885076338</v>
      </c>
      <c r="I323" s="303"/>
      <c r="J323" s="302">
        <v>0.35472183230257759</v>
      </c>
      <c r="K323" s="302">
        <v>0.20390672369138324</v>
      </c>
      <c r="L323" s="302">
        <f t="shared" si="105"/>
        <v>0.55862855599396077</v>
      </c>
      <c r="M323" s="236"/>
      <c r="N323" s="236"/>
    </row>
    <row r="324" spans="1:14" x14ac:dyDescent="0.2">
      <c r="A324" s="237"/>
      <c r="B324" s="302"/>
      <c r="C324" s="302"/>
      <c r="D324" s="302"/>
      <c r="E324" s="303"/>
      <c r="F324" s="302"/>
      <c r="G324" s="302"/>
      <c r="H324" s="302"/>
      <c r="I324" s="303"/>
      <c r="J324" s="302"/>
      <c r="K324" s="302"/>
      <c r="L324" s="302"/>
      <c r="M324" s="236"/>
      <c r="N324" s="236"/>
    </row>
    <row r="325" spans="1:14" x14ac:dyDescent="0.2">
      <c r="A325" s="244" t="s">
        <v>33</v>
      </c>
      <c r="B325" s="311">
        <f>SUM(B315:B323)</f>
        <v>10.203858536091182</v>
      </c>
      <c r="C325" s="311">
        <f t="shared" ref="C325:D325" si="106">SUM(C315:C323)</f>
        <v>7.50614146390883</v>
      </c>
      <c r="D325" s="311">
        <f t="shared" si="106"/>
        <v>17.710000000000015</v>
      </c>
      <c r="E325" s="311"/>
      <c r="F325" s="311">
        <f t="shared" ref="F325:H325" si="107">SUM(F315:F323)</f>
        <v>10.683130098215281</v>
      </c>
      <c r="G325" s="311">
        <f t="shared" si="107"/>
        <v>7.3678699017847284</v>
      </c>
      <c r="H325" s="311">
        <f t="shared" si="107"/>
        <v>18.051000000000009</v>
      </c>
      <c r="I325" s="311"/>
      <c r="J325" s="311">
        <f t="shared" ref="J325:L325" si="108">SUM(J315:J323)</f>
        <v>11.436528457385275</v>
      </c>
      <c r="K325" s="311">
        <f t="shared" si="108"/>
        <v>7.6544715426147327</v>
      </c>
      <c r="L325" s="311">
        <f t="shared" si="108"/>
        <v>19.091000000000008</v>
      </c>
      <c r="M325" s="236"/>
      <c r="N325" s="236"/>
    </row>
    <row r="326" spans="1:14" x14ac:dyDescent="0.2">
      <c r="A326" s="237"/>
      <c r="B326" s="237"/>
      <c r="C326" s="237"/>
      <c r="D326" s="237"/>
      <c r="E326" s="237"/>
      <c r="F326" s="237"/>
      <c r="G326" s="237"/>
      <c r="H326" s="237"/>
      <c r="I326" s="237"/>
      <c r="J326" s="237"/>
      <c r="K326" s="237"/>
      <c r="L326" s="240"/>
      <c r="M326" s="236"/>
      <c r="N326" s="236"/>
    </row>
    <row r="327" spans="1:14" x14ac:dyDescent="0.2">
      <c r="A327" s="237"/>
      <c r="B327" s="237"/>
      <c r="C327" s="237"/>
      <c r="D327" s="237"/>
      <c r="E327" s="237"/>
      <c r="F327" s="237"/>
      <c r="G327" s="237"/>
      <c r="H327" s="237"/>
      <c r="I327" s="237"/>
      <c r="J327" s="237"/>
      <c r="K327" s="237"/>
      <c r="L327" s="256" t="s">
        <v>36</v>
      </c>
      <c r="M327" s="236"/>
      <c r="N327" s="236"/>
    </row>
    <row r="328" spans="1:14" x14ac:dyDescent="0.2">
      <c r="A328" s="242"/>
      <c r="B328" s="250"/>
      <c r="C328" s="250"/>
      <c r="D328" s="250"/>
      <c r="E328" s="250"/>
      <c r="F328" s="250"/>
      <c r="G328" s="250"/>
      <c r="H328" s="250"/>
      <c r="I328" s="250"/>
      <c r="J328" s="250"/>
      <c r="K328" s="250"/>
      <c r="L328" s="236"/>
      <c r="M328" s="236"/>
      <c r="N328" s="236"/>
    </row>
    <row r="329" spans="1:14" x14ac:dyDescent="0.2">
      <c r="A329" s="241" t="str">
        <f>name!B22</f>
        <v>Education</v>
      </c>
      <c r="B329" s="375">
        <f>B$6</f>
        <v>2015</v>
      </c>
      <c r="C329" s="375"/>
      <c r="D329" s="375"/>
      <c r="E329" s="253"/>
      <c r="F329" s="375">
        <f>F312</f>
        <v>2020</v>
      </c>
      <c r="G329" s="375"/>
      <c r="H329" s="375"/>
      <c r="I329" s="253"/>
      <c r="J329" s="375">
        <f>J312</f>
        <v>2035</v>
      </c>
      <c r="K329" s="375"/>
      <c r="L329" s="375"/>
      <c r="M329" s="236"/>
      <c r="N329" s="236"/>
    </row>
    <row r="330" spans="1:14" x14ac:dyDescent="0.2">
      <c r="A330" s="254"/>
      <c r="B330" s="255" t="s">
        <v>361</v>
      </c>
      <c r="C330" s="255" t="s">
        <v>362</v>
      </c>
      <c r="D330" s="255" t="s">
        <v>33</v>
      </c>
      <c r="E330" s="255"/>
      <c r="F330" s="255" t="s">
        <v>361</v>
      </c>
      <c r="G330" s="255" t="s">
        <v>362</v>
      </c>
      <c r="H330" s="255" t="s">
        <v>33</v>
      </c>
      <c r="I330" s="255"/>
      <c r="J330" s="255" t="s">
        <v>361</v>
      </c>
      <c r="K330" s="255" t="s">
        <v>362</v>
      </c>
      <c r="L330" s="255" t="s">
        <v>33</v>
      </c>
      <c r="M330" s="236"/>
      <c r="N330" s="236"/>
    </row>
    <row r="331" spans="1:14" x14ac:dyDescent="0.2">
      <c r="A331" s="258"/>
      <c r="B331" s="259"/>
      <c r="C331" s="259"/>
      <c r="D331" s="259"/>
      <c r="E331" s="259"/>
      <c r="F331" s="259"/>
      <c r="G331" s="259"/>
      <c r="H331" s="259"/>
      <c r="I331" s="259"/>
      <c r="J331" s="259"/>
      <c r="K331" s="259"/>
      <c r="L331" s="259"/>
      <c r="M331" s="236"/>
      <c r="N331" s="236"/>
    </row>
    <row r="332" spans="1:14" x14ac:dyDescent="0.2">
      <c r="A332" s="237" t="str">
        <f>name!E$4</f>
        <v>Managers, directors and senior officials</v>
      </c>
      <c r="B332" s="302">
        <v>0.63160426887708154</v>
      </c>
      <c r="C332" s="302">
        <v>0.58890153092673536</v>
      </c>
      <c r="D332" s="302">
        <f>SUM(B332:C332)</f>
        <v>1.2205057998038169</v>
      </c>
      <c r="E332" s="303"/>
      <c r="F332" s="302">
        <v>0.78195839754577479</v>
      </c>
      <c r="G332" s="302">
        <v>0.54082406126469584</v>
      </c>
      <c r="H332" s="302">
        <f>SUM(F332:G332)</f>
        <v>1.3227824588104706</v>
      </c>
      <c r="I332" s="303"/>
      <c r="J332" s="302">
        <v>0.90593713536436071</v>
      </c>
      <c r="K332" s="302">
        <v>0.48825406289209139</v>
      </c>
      <c r="L332" s="302">
        <f>SUM(J332:K332)</f>
        <v>1.3941911982564521</v>
      </c>
      <c r="M332" s="236"/>
      <c r="N332" s="236"/>
    </row>
    <row r="333" spans="1:14" x14ac:dyDescent="0.2">
      <c r="A333" s="237" t="str">
        <f>name!E$5</f>
        <v>Professional occupations</v>
      </c>
      <c r="B333" s="302">
        <v>10.759040963965031</v>
      </c>
      <c r="C333" s="302">
        <v>8.001413586530969</v>
      </c>
      <c r="D333" s="302">
        <f t="shared" ref="D333:D340" si="109">SUM(B333:C333)</f>
        <v>18.760454550496</v>
      </c>
      <c r="E333" s="303"/>
      <c r="F333" s="302">
        <v>11.80153591242464</v>
      </c>
      <c r="G333" s="302">
        <v>7.5652295555695588</v>
      </c>
      <c r="H333" s="302">
        <f t="shared" ref="H333:H340" si="110">SUM(F333:G333)</f>
        <v>19.366765467994199</v>
      </c>
      <c r="I333" s="303"/>
      <c r="J333" s="302">
        <v>11.841713760031208</v>
      </c>
      <c r="K333" s="302">
        <v>7.6585204983472908</v>
      </c>
      <c r="L333" s="302">
        <f t="shared" ref="L333:L340" si="111">SUM(J333:K333)</f>
        <v>19.500234258378498</v>
      </c>
      <c r="M333" s="236"/>
      <c r="N333" s="236"/>
    </row>
    <row r="334" spans="1:14" x14ac:dyDescent="0.2">
      <c r="A334" s="237" t="str">
        <f>name!E$6</f>
        <v>Associate professional occupations</v>
      </c>
      <c r="B334" s="302">
        <v>2.3352677884188782</v>
      </c>
      <c r="C334" s="302">
        <v>1.3595848702118138</v>
      </c>
      <c r="D334" s="302">
        <f t="shared" si="109"/>
        <v>3.6948526586306922</v>
      </c>
      <c r="E334" s="303"/>
      <c r="F334" s="302">
        <v>2.4769785382991496</v>
      </c>
      <c r="G334" s="302">
        <v>1.2833209264132701</v>
      </c>
      <c r="H334" s="302">
        <f t="shared" si="110"/>
        <v>3.7602994647124195</v>
      </c>
      <c r="I334" s="303"/>
      <c r="J334" s="302">
        <v>3.5576171824261387</v>
      </c>
      <c r="K334" s="302">
        <v>1.0713291779038854</v>
      </c>
      <c r="L334" s="302">
        <f t="shared" si="111"/>
        <v>4.6289463603300245</v>
      </c>
      <c r="M334" s="236"/>
      <c r="N334" s="236"/>
    </row>
    <row r="335" spans="1:14" x14ac:dyDescent="0.2">
      <c r="A335" s="237" t="str">
        <f>name!E$7</f>
        <v>Administrative and secretarial occupations</v>
      </c>
      <c r="B335" s="302">
        <v>2.5145866397682459</v>
      </c>
      <c r="C335" s="302">
        <v>0.32453275940322207</v>
      </c>
      <c r="D335" s="302">
        <f t="shared" si="109"/>
        <v>2.8391193991714681</v>
      </c>
      <c r="E335" s="303"/>
      <c r="F335" s="302">
        <v>2.1474383872391822</v>
      </c>
      <c r="G335" s="302">
        <v>0.26425526254161169</v>
      </c>
      <c r="H335" s="302">
        <f t="shared" si="110"/>
        <v>2.4116936497807941</v>
      </c>
      <c r="I335" s="303"/>
      <c r="J335" s="302">
        <v>1.1648563822080265</v>
      </c>
      <c r="K335" s="302">
        <v>0.22064181168810548</v>
      </c>
      <c r="L335" s="302">
        <f t="shared" si="111"/>
        <v>1.3854981938961319</v>
      </c>
      <c r="M335" s="236"/>
      <c r="N335" s="236"/>
    </row>
    <row r="336" spans="1:14" x14ac:dyDescent="0.2">
      <c r="A336" s="237" t="str">
        <f>name!E$8</f>
        <v>Skilled trades occupations</v>
      </c>
      <c r="B336" s="302">
        <v>0.39212958103780443</v>
      </c>
      <c r="C336" s="302">
        <v>0.28165716469045399</v>
      </c>
      <c r="D336" s="302">
        <f t="shared" si="109"/>
        <v>0.67378674572825847</v>
      </c>
      <c r="E336" s="303"/>
      <c r="F336" s="302">
        <v>0.30752153165538987</v>
      </c>
      <c r="G336" s="302">
        <v>0.1624793151095017</v>
      </c>
      <c r="H336" s="302">
        <f t="shared" si="110"/>
        <v>0.47000084676489157</v>
      </c>
      <c r="I336" s="303"/>
      <c r="J336" s="302">
        <v>0.19659165067778964</v>
      </c>
      <c r="K336" s="302">
        <v>0.11121596005097091</v>
      </c>
      <c r="L336" s="302">
        <f t="shared" si="111"/>
        <v>0.30780761072876056</v>
      </c>
      <c r="M336" s="236"/>
      <c r="N336" s="236"/>
    </row>
    <row r="337" spans="1:14" x14ac:dyDescent="0.2">
      <c r="A337" s="237" t="str">
        <f>name!E$9</f>
        <v>Caring, leisure and other service occupations</v>
      </c>
      <c r="B337" s="302">
        <v>12.455774470270091</v>
      </c>
      <c r="C337" s="302">
        <v>1.5173743178723369</v>
      </c>
      <c r="D337" s="302">
        <f t="shared" si="109"/>
        <v>13.973148788142428</v>
      </c>
      <c r="E337" s="303"/>
      <c r="F337" s="302">
        <v>11.017520434972923</v>
      </c>
      <c r="G337" s="302">
        <v>1.3589971162115388</v>
      </c>
      <c r="H337" s="302">
        <f t="shared" si="110"/>
        <v>12.376517551184461</v>
      </c>
      <c r="I337" s="303"/>
      <c r="J337" s="302">
        <v>11.422103086506819</v>
      </c>
      <c r="K337" s="302">
        <v>1.5164404324974443</v>
      </c>
      <c r="L337" s="302">
        <f t="shared" si="111"/>
        <v>12.938543519004263</v>
      </c>
      <c r="M337" s="236"/>
      <c r="N337" s="236"/>
    </row>
    <row r="338" spans="1:14" x14ac:dyDescent="0.2">
      <c r="A338" s="237" t="str">
        <f>name!E$10</f>
        <v>Sales and customer service occupations</v>
      </c>
      <c r="B338" s="302">
        <v>0.20877299430255972</v>
      </c>
      <c r="C338" s="302">
        <v>7.8215241703540397E-2</v>
      </c>
      <c r="D338" s="302">
        <f t="shared" si="109"/>
        <v>0.28698823600610013</v>
      </c>
      <c r="E338" s="303"/>
      <c r="F338" s="302">
        <v>0.18447779329096739</v>
      </c>
      <c r="G338" s="302">
        <v>6.1809579541649499E-2</v>
      </c>
      <c r="H338" s="302">
        <f t="shared" si="110"/>
        <v>0.2462873728326169</v>
      </c>
      <c r="I338" s="303"/>
      <c r="J338" s="302">
        <v>0.18628404367900878</v>
      </c>
      <c r="K338" s="302">
        <v>7.0866873872772559E-2</v>
      </c>
      <c r="L338" s="302">
        <f t="shared" si="111"/>
        <v>0.25715091755178132</v>
      </c>
      <c r="M338" s="236"/>
      <c r="N338" s="236"/>
    </row>
    <row r="339" spans="1:14" x14ac:dyDescent="0.2">
      <c r="A339" s="237" t="str">
        <f>name!E$11</f>
        <v>Process, plant and machine operatives</v>
      </c>
      <c r="B339" s="302">
        <v>0.18628792308472367</v>
      </c>
      <c r="C339" s="302">
        <v>0.51661480091988665</v>
      </c>
      <c r="D339" s="302">
        <f t="shared" si="109"/>
        <v>0.70290272400461029</v>
      </c>
      <c r="E339" s="303"/>
      <c r="F339" s="302">
        <v>0.2105575674705483</v>
      </c>
      <c r="G339" s="302">
        <v>0.52254321953394756</v>
      </c>
      <c r="H339" s="302">
        <f t="shared" si="110"/>
        <v>0.73310078700449588</v>
      </c>
      <c r="I339" s="303"/>
      <c r="J339" s="302">
        <v>0.16883579989360378</v>
      </c>
      <c r="K339" s="302">
        <v>0.51348209176629789</v>
      </c>
      <c r="L339" s="302">
        <f t="shared" si="111"/>
        <v>0.68231789165990164</v>
      </c>
      <c r="M339" s="236"/>
      <c r="N339" s="236"/>
    </row>
    <row r="340" spans="1:14" x14ac:dyDescent="0.2">
      <c r="A340" s="237" t="str">
        <f>name!E$12</f>
        <v>Elementary occupations</v>
      </c>
      <c r="B340" s="302">
        <v>2.6484189707587982</v>
      </c>
      <c r="C340" s="302">
        <v>0.60282212725784434</v>
      </c>
      <c r="D340" s="302">
        <f t="shared" si="109"/>
        <v>3.2512410980166426</v>
      </c>
      <c r="E340" s="303"/>
      <c r="F340" s="302">
        <v>1.9944950874873362</v>
      </c>
      <c r="G340" s="302">
        <v>0.40305731342835882</v>
      </c>
      <c r="H340" s="302">
        <f t="shared" si="110"/>
        <v>2.397552400915695</v>
      </c>
      <c r="I340" s="303"/>
      <c r="J340" s="302">
        <v>1.1019173457983393</v>
      </c>
      <c r="K340" s="302">
        <v>0.33039270439590107</v>
      </c>
      <c r="L340" s="302">
        <f t="shared" si="111"/>
        <v>1.4323100501942405</v>
      </c>
      <c r="M340" s="236"/>
      <c r="N340" s="236"/>
    </row>
    <row r="341" spans="1:14" x14ac:dyDescent="0.2">
      <c r="A341" s="237"/>
      <c r="B341" s="302"/>
      <c r="C341" s="302"/>
      <c r="D341" s="302"/>
      <c r="E341" s="303"/>
      <c r="F341" s="302"/>
      <c r="G341" s="302"/>
      <c r="H341" s="302"/>
      <c r="I341" s="303"/>
      <c r="J341" s="302"/>
      <c r="K341" s="302"/>
      <c r="L341" s="302"/>
      <c r="M341" s="236"/>
      <c r="N341" s="236"/>
    </row>
    <row r="342" spans="1:14" x14ac:dyDescent="0.2">
      <c r="A342" s="244" t="s">
        <v>33</v>
      </c>
      <c r="B342" s="311">
        <f>SUM(B332:B340)</f>
        <v>32.131883600483214</v>
      </c>
      <c r="C342" s="311">
        <f t="shared" ref="C342:D342" si="112">SUM(C332:C340)</f>
        <v>13.271116399516805</v>
      </c>
      <c r="D342" s="311">
        <f t="shared" si="112"/>
        <v>45.40300000000002</v>
      </c>
      <c r="E342" s="311"/>
      <c r="F342" s="311">
        <f t="shared" ref="F342:H342" si="113">SUM(F332:F340)</f>
        <v>30.92248365038591</v>
      </c>
      <c r="G342" s="311">
        <f t="shared" si="113"/>
        <v>12.162516349614132</v>
      </c>
      <c r="H342" s="311">
        <f t="shared" si="113"/>
        <v>43.085000000000043</v>
      </c>
      <c r="I342" s="311"/>
      <c r="J342" s="311">
        <f t="shared" ref="J342:L342" si="114">SUM(J332:J340)</f>
        <v>30.545856386585292</v>
      </c>
      <c r="K342" s="311">
        <f t="shared" si="114"/>
        <v>11.981143613414762</v>
      </c>
      <c r="L342" s="311">
        <f t="shared" si="114"/>
        <v>42.527000000000058</v>
      </c>
      <c r="M342" s="236"/>
      <c r="N342" s="236"/>
    </row>
    <row r="343" spans="1:14" x14ac:dyDescent="0.2">
      <c r="A343" s="237"/>
      <c r="B343" s="237"/>
      <c r="C343" s="237"/>
      <c r="D343" s="237"/>
      <c r="E343" s="237"/>
      <c r="F343" s="237"/>
      <c r="G343" s="237"/>
      <c r="H343" s="237"/>
      <c r="I343" s="237"/>
      <c r="J343" s="237"/>
      <c r="K343" s="237"/>
      <c r="L343" s="240"/>
      <c r="M343" s="236"/>
      <c r="N343" s="236"/>
    </row>
    <row r="344" spans="1:14" x14ac:dyDescent="0.2">
      <c r="A344" s="237"/>
      <c r="B344" s="237"/>
      <c r="C344" s="237"/>
      <c r="D344" s="237"/>
      <c r="E344" s="237"/>
      <c r="F344" s="237"/>
      <c r="G344" s="237"/>
      <c r="H344" s="237"/>
      <c r="I344" s="237"/>
      <c r="J344" s="237"/>
      <c r="K344" s="237"/>
      <c r="L344" s="256" t="s">
        <v>36</v>
      </c>
      <c r="M344" s="236"/>
      <c r="N344" s="236"/>
    </row>
    <row r="345" spans="1:14" x14ac:dyDescent="0.2">
      <c r="A345" s="242"/>
      <c r="B345" s="250"/>
      <c r="C345" s="250"/>
      <c r="D345" s="250"/>
      <c r="E345" s="250"/>
      <c r="F345" s="250"/>
      <c r="G345" s="250"/>
      <c r="H345" s="250"/>
      <c r="I345" s="250"/>
      <c r="J345" s="250"/>
      <c r="K345" s="250"/>
      <c r="L345" s="236"/>
      <c r="M345" s="236"/>
      <c r="N345" s="236"/>
    </row>
    <row r="346" spans="1:14" x14ac:dyDescent="0.2">
      <c r="A346" s="241" t="str">
        <f>name!B23</f>
        <v>Health and social work</v>
      </c>
      <c r="B346" s="375">
        <f>B$6</f>
        <v>2015</v>
      </c>
      <c r="C346" s="375"/>
      <c r="D346" s="375"/>
      <c r="E346" s="253"/>
      <c r="F346" s="375">
        <f>F329</f>
        <v>2020</v>
      </c>
      <c r="G346" s="375"/>
      <c r="H346" s="375"/>
      <c r="I346" s="253"/>
      <c r="J346" s="375">
        <f>J329</f>
        <v>2035</v>
      </c>
      <c r="K346" s="375"/>
      <c r="L346" s="375"/>
      <c r="M346" s="236"/>
      <c r="N346" s="236"/>
    </row>
    <row r="347" spans="1:14" x14ac:dyDescent="0.2">
      <c r="A347" s="254"/>
      <c r="B347" s="255" t="s">
        <v>361</v>
      </c>
      <c r="C347" s="255" t="s">
        <v>362</v>
      </c>
      <c r="D347" s="255" t="s">
        <v>33</v>
      </c>
      <c r="E347" s="255"/>
      <c r="F347" s="255" t="s">
        <v>361</v>
      </c>
      <c r="G347" s="255" t="s">
        <v>362</v>
      </c>
      <c r="H347" s="255" t="s">
        <v>33</v>
      </c>
      <c r="I347" s="255"/>
      <c r="J347" s="255" t="s">
        <v>361</v>
      </c>
      <c r="K347" s="255" t="s">
        <v>362</v>
      </c>
      <c r="L347" s="255" t="s">
        <v>33</v>
      </c>
      <c r="M347" s="236"/>
      <c r="N347" s="236"/>
    </row>
    <row r="348" spans="1:14" x14ac:dyDescent="0.2">
      <c r="A348" s="258"/>
      <c r="B348" s="259"/>
      <c r="C348" s="259"/>
      <c r="D348" s="259"/>
      <c r="E348" s="259"/>
      <c r="F348" s="259"/>
      <c r="G348" s="259"/>
      <c r="H348" s="259"/>
      <c r="I348" s="259"/>
      <c r="J348" s="259"/>
      <c r="K348" s="259"/>
      <c r="L348" s="259"/>
      <c r="M348" s="236"/>
      <c r="N348" s="236"/>
    </row>
    <row r="349" spans="1:14" x14ac:dyDescent="0.2">
      <c r="A349" s="237" t="str">
        <f>name!E$4</f>
        <v>Managers, directors and senior officials</v>
      </c>
      <c r="B349" s="302">
        <v>1.6630199447899245</v>
      </c>
      <c r="C349" s="302">
        <v>0.8308714683484586</v>
      </c>
      <c r="D349" s="302">
        <f>SUM(B349:C349)</f>
        <v>2.4938914131383831</v>
      </c>
      <c r="E349" s="303"/>
      <c r="F349" s="302">
        <v>2.0728206711880905</v>
      </c>
      <c r="G349" s="302">
        <v>0.84474004702405703</v>
      </c>
      <c r="H349" s="302">
        <f>SUM(F349:G349)</f>
        <v>2.9175607182121475</v>
      </c>
      <c r="I349" s="303"/>
      <c r="J349" s="302">
        <v>2.3410483852698296</v>
      </c>
      <c r="K349" s="302">
        <v>0.7674785521786861</v>
      </c>
      <c r="L349" s="302">
        <f>SUM(J349:K349)</f>
        <v>3.1085269374485156</v>
      </c>
      <c r="M349" s="236"/>
      <c r="N349" s="236"/>
    </row>
    <row r="350" spans="1:14" x14ac:dyDescent="0.2">
      <c r="A350" s="237" t="str">
        <f>name!E$5</f>
        <v>Professional occupations</v>
      </c>
      <c r="B350" s="302">
        <v>12.98864116732824</v>
      </c>
      <c r="C350" s="302">
        <v>4.1519104808320737</v>
      </c>
      <c r="D350" s="302">
        <f t="shared" ref="D350:D357" si="115">SUM(B350:C350)</f>
        <v>17.140551648160312</v>
      </c>
      <c r="E350" s="303"/>
      <c r="F350" s="302">
        <v>15.098118152065341</v>
      </c>
      <c r="G350" s="302">
        <v>4.8196776871797713</v>
      </c>
      <c r="H350" s="302">
        <f t="shared" ref="H350:H357" si="116">SUM(F350:G350)</f>
        <v>19.917795839245112</v>
      </c>
      <c r="I350" s="303"/>
      <c r="J350" s="302">
        <v>16.665531113582364</v>
      </c>
      <c r="K350" s="302">
        <v>4.7123170847420806</v>
      </c>
      <c r="L350" s="302">
        <f t="shared" ref="L350:L357" si="117">SUM(J350:K350)</f>
        <v>21.377848198324443</v>
      </c>
      <c r="M350" s="236"/>
      <c r="N350" s="236"/>
    </row>
    <row r="351" spans="1:14" x14ac:dyDescent="0.2">
      <c r="A351" s="237" t="str">
        <f>name!E$6</f>
        <v>Associate professional occupations</v>
      </c>
      <c r="B351" s="302">
        <v>5.9511039162069714</v>
      </c>
      <c r="C351" s="302">
        <v>1.7889275714814539</v>
      </c>
      <c r="D351" s="302">
        <f t="shared" si="115"/>
        <v>7.7400314876884249</v>
      </c>
      <c r="E351" s="303"/>
      <c r="F351" s="302">
        <v>6.7842273810690443</v>
      </c>
      <c r="G351" s="302">
        <v>1.9346331522521805</v>
      </c>
      <c r="H351" s="302">
        <f t="shared" si="116"/>
        <v>8.7188605333212248</v>
      </c>
      <c r="I351" s="303"/>
      <c r="J351" s="302">
        <v>11.880988905825609</v>
      </c>
      <c r="K351" s="302">
        <v>2.3816878515512654</v>
      </c>
      <c r="L351" s="302">
        <f t="shared" si="117"/>
        <v>14.262676757376873</v>
      </c>
      <c r="M351" s="236"/>
      <c r="N351" s="236"/>
    </row>
    <row r="352" spans="1:14" x14ac:dyDescent="0.2">
      <c r="A352" s="237" t="str">
        <f>name!E$7</f>
        <v>Administrative and secretarial occupations</v>
      </c>
      <c r="B352" s="302">
        <v>4.6877379024447396</v>
      </c>
      <c r="C352" s="302">
        <v>0.67753713768864676</v>
      </c>
      <c r="D352" s="302">
        <f t="shared" si="115"/>
        <v>5.3652750401333869</v>
      </c>
      <c r="E352" s="303"/>
      <c r="F352" s="302">
        <v>4.2496949142244826</v>
      </c>
      <c r="G352" s="302">
        <v>0.64390044106788136</v>
      </c>
      <c r="H352" s="302">
        <f t="shared" si="116"/>
        <v>4.8935953552923639</v>
      </c>
      <c r="I352" s="303"/>
      <c r="J352" s="302">
        <v>2.708610787159027</v>
      </c>
      <c r="K352" s="302">
        <v>0.5400758919314208</v>
      </c>
      <c r="L352" s="302">
        <f t="shared" si="117"/>
        <v>3.2486866790904481</v>
      </c>
      <c r="M352" s="236"/>
      <c r="N352" s="236"/>
    </row>
    <row r="353" spans="1:14" x14ac:dyDescent="0.2">
      <c r="A353" s="237" t="str">
        <f>name!E$8</f>
        <v>Skilled trades occupations</v>
      </c>
      <c r="B353" s="302">
        <v>0.38385024293981601</v>
      </c>
      <c r="C353" s="302">
        <v>0.33232640030089911</v>
      </c>
      <c r="D353" s="302">
        <f t="shared" si="115"/>
        <v>0.71617664324071506</v>
      </c>
      <c r="E353" s="303"/>
      <c r="F353" s="302">
        <v>0.31973369191481221</v>
      </c>
      <c r="G353" s="302">
        <v>0.23213704775078287</v>
      </c>
      <c r="H353" s="302">
        <f t="shared" si="116"/>
        <v>0.55187073966559508</v>
      </c>
      <c r="I353" s="303"/>
      <c r="J353" s="302">
        <v>0.24094976069804835</v>
      </c>
      <c r="K353" s="302">
        <v>0.15648829716536447</v>
      </c>
      <c r="L353" s="302">
        <f t="shared" si="117"/>
        <v>0.3974380578634128</v>
      </c>
      <c r="M353" s="236"/>
      <c r="N353" s="236"/>
    </row>
    <row r="354" spans="1:14" x14ac:dyDescent="0.2">
      <c r="A354" s="237" t="str">
        <f>name!E$9</f>
        <v>Caring, leisure and other service occupations</v>
      </c>
      <c r="B354" s="302">
        <v>21.902245869544448</v>
      </c>
      <c r="C354" s="302">
        <v>4.2633538058709721</v>
      </c>
      <c r="D354" s="302">
        <f t="shared" si="115"/>
        <v>26.165599675415422</v>
      </c>
      <c r="E354" s="303"/>
      <c r="F354" s="302">
        <v>21.619912917447422</v>
      </c>
      <c r="G354" s="302">
        <v>4.3416389037036174</v>
      </c>
      <c r="H354" s="302">
        <f t="shared" si="116"/>
        <v>25.961551821151041</v>
      </c>
      <c r="I354" s="303"/>
      <c r="J354" s="302">
        <v>22.669192985604131</v>
      </c>
      <c r="K354" s="302">
        <v>6.032657611315674</v>
      </c>
      <c r="L354" s="302">
        <f t="shared" si="117"/>
        <v>28.701850596919805</v>
      </c>
      <c r="M354" s="236"/>
      <c r="N354" s="236"/>
    </row>
    <row r="355" spans="1:14" x14ac:dyDescent="0.2">
      <c r="A355" s="237" t="str">
        <f>name!E$10</f>
        <v>Sales and customer service occupations</v>
      </c>
      <c r="B355" s="302">
        <v>0.62302260194224146</v>
      </c>
      <c r="C355" s="302">
        <v>0.16417650076789841</v>
      </c>
      <c r="D355" s="302">
        <f t="shared" si="115"/>
        <v>0.78719910271013993</v>
      </c>
      <c r="E355" s="303"/>
      <c r="F355" s="302">
        <v>0.57492059446236299</v>
      </c>
      <c r="G355" s="302">
        <v>0.13690768389846275</v>
      </c>
      <c r="H355" s="302">
        <f t="shared" si="116"/>
        <v>0.71182827836082574</v>
      </c>
      <c r="I355" s="303"/>
      <c r="J355" s="302">
        <v>0.60899474520354968</v>
      </c>
      <c r="K355" s="302">
        <v>0.12653900420358849</v>
      </c>
      <c r="L355" s="302">
        <f t="shared" si="117"/>
        <v>0.73553374940713812</v>
      </c>
      <c r="M355" s="236"/>
      <c r="N355" s="236"/>
    </row>
    <row r="356" spans="1:14" x14ac:dyDescent="0.2">
      <c r="A356" s="237" t="str">
        <f>name!E$11</f>
        <v>Process, plant and machine operatives</v>
      </c>
      <c r="B356" s="302">
        <v>0.18683514787795222</v>
      </c>
      <c r="C356" s="302">
        <v>0.15572737794560121</v>
      </c>
      <c r="D356" s="302">
        <f t="shared" si="115"/>
        <v>0.3425625258235534</v>
      </c>
      <c r="E356" s="303"/>
      <c r="F356" s="302">
        <v>0.15299153087461548</v>
      </c>
      <c r="G356" s="302">
        <v>0.1277125598931296</v>
      </c>
      <c r="H356" s="302">
        <f t="shared" si="116"/>
        <v>0.28070409076774505</v>
      </c>
      <c r="I356" s="303"/>
      <c r="J356" s="302">
        <v>6.828191963498273E-2</v>
      </c>
      <c r="K356" s="302">
        <v>7.4036510543912235E-2</v>
      </c>
      <c r="L356" s="302">
        <f t="shared" si="117"/>
        <v>0.14231843017889495</v>
      </c>
      <c r="M356" s="236"/>
      <c r="N356" s="236"/>
    </row>
    <row r="357" spans="1:14" x14ac:dyDescent="0.2">
      <c r="A357" s="237" t="str">
        <f>name!E$12</f>
        <v>Elementary occupations</v>
      </c>
      <c r="B357" s="302">
        <v>1.3090026829489898</v>
      </c>
      <c r="C357" s="302">
        <v>0.62770978074061101</v>
      </c>
      <c r="D357" s="302">
        <f t="shared" si="115"/>
        <v>1.9367124636896009</v>
      </c>
      <c r="E357" s="303"/>
      <c r="F357" s="302">
        <v>0.99111651447722449</v>
      </c>
      <c r="G357" s="302">
        <v>0.46511610950684468</v>
      </c>
      <c r="H357" s="302">
        <f t="shared" si="116"/>
        <v>1.4562326239840693</v>
      </c>
      <c r="I357" s="303"/>
      <c r="J357" s="302">
        <v>0.70048038028456971</v>
      </c>
      <c r="K357" s="302">
        <v>0.34164021310589066</v>
      </c>
      <c r="L357" s="302">
        <f t="shared" si="117"/>
        <v>1.0421205933904605</v>
      </c>
      <c r="M357" s="236"/>
      <c r="N357" s="236"/>
    </row>
    <row r="358" spans="1:14" x14ac:dyDescent="0.2">
      <c r="A358" s="237"/>
      <c r="B358" s="302"/>
      <c r="C358" s="302"/>
      <c r="D358" s="302"/>
      <c r="E358" s="303"/>
      <c r="F358" s="302"/>
      <c r="G358" s="302"/>
      <c r="H358" s="302"/>
      <c r="I358" s="303"/>
      <c r="J358" s="302"/>
      <c r="K358" s="302"/>
      <c r="L358" s="302"/>
      <c r="M358" s="236"/>
      <c r="N358" s="236"/>
    </row>
    <row r="359" spans="1:14" x14ac:dyDescent="0.2">
      <c r="A359" s="244" t="s">
        <v>33</v>
      </c>
      <c r="B359" s="311">
        <f>SUM(B349:B357)</f>
        <v>49.695459476023316</v>
      </c>
      <c r="C359" s="311">
        <f t="shared" ref="C359:D359" si="118">SUM(C349:C357)</f>
        <v>12.992540523976615</v>
      </c>
      <c r="D359" s="311">
        <f t="shared" si="118"/>
        <v>62.687999999999938</v>
      </c>
      <c r="E359" s="311"/>
      <c r="F359" s="311">
        <f t="shared" ref="F359:H359" si="119">SUM(F349:F357)</f>
        <v>51.863536367723398</v>
      </c>
      <c r="G359" s="311">
        <f t="shared" si="119"/>
        <v>13.546463632276728</v>
      </c>
      <c r="H359" s="311">
        <f t="shared" si="119"/>
        <v>65.410000000000124</v>
      </c>
      <c r="I359" s="311"/>
      <c r="J359" s="311">
        <f t="shared" ref="J359:L359" si="120">SUM(J349:J357)</f>
        <v>57.884078983262114</v>
      </c>
      <c r="K359" s="311">
        <f t="shared" si="120"/>
        <v>15.132921016737882</v>
      </c>
      <c r="L359" s="311">
        <f t="shared" si="120"/>
        <v>73.016999999999982</v>
      </c>
      <c r="M359" s="236"/>
      <c r="N359" s="236"/>
    </row>
    <row r="360" spans="1:14" x14ac:dyDescent="0.2">
      <c r="A360" s="237"/>
      <c r="B360" s="237"/>
      <c r="C360" s="237"/>
      <c r="D360" s="237"/>
      <c r="E360" s="237"/>
      <c r="F360" s="237"/>
      <c r="G360" s="237"/>
      <c r="H360" s="237"/>
      <c r="I360" s="237"/>
      <c r="J360" s="237"/>
      <c r="K360" s="237"/>
      <c r="L360" s="240"/>
      <c r="M360" s="236"/>
      <c r="N360" s="236"/>
    </row>
    <row r="361" spans="1:14" x14ac:dyDescent="0.2">
      <c r="A361" s="237"/>
      <c r="B361" s="237"/>
      <c r="C361" s="237"/>
      <c r="D361" s="237"/>
      <c r="E361" s="237"/>
      <c r="F361" s="237"/>
      <c r="G361" s="237"/>
      <c r="H361" s="237"/>
      <c r="I361" s="237"/>
      <c r="J361" s="237"/>
      <c r="K361" s="237"/>
      <c r="L361" s="256" t="s">
        <v>36</v>
      </c>
      <c r="M361" s="236"/>
      <c r="N361" s="236"/>
    </row>
    <row r="362" spans="1:14" x14ac:dyDescent="0.2">
      <c r="A362" s="242"/>
      <c r="B362" s="250"/>
      <c r="C362" s="250"/>
      <c r="D362" s="250"/>
      <c r="E362" s="250"/>
      <c r="F362" s="250"/>
      <c r="G362" s="250"/>
      <c r="H362" s="250"/>
      <c r="I362" s="250"/>
      <c r="J362" s="250"/>
      <c r="K362" s="250"/>
      <c r="L362" s="236"/>
      <c r="M362" s="236"/>
      <c r="N362" s="236"/>
    </row>
    <row r="363" spans="1:14" x14ac:dyDescent="0.2">
      <c r="A363" s="241" t="str">
        <f>name!B24</f>
        <v>Arts and entertainment</v>
      </c>
      <c r="B363" s="375">
        <f>B$6</f>
        <v>2015</v>
      </c>
      <c r="C363" s="375"/>
      <c r="D363" s="375"/>
      <c r="E363" s="253"/>
      <c r="F363" s="375">
        <f>F346</f>
        <v>2020</v>
      </c>
      <c r="G363" s="375"/>
      <c r="H363" s="375"/>
      <c r="I363" s="253"/>
      <c r="J363" s="375">
        <f>J346</f>
        <v>2035</v>
      </c>
      <c r="K363" s="375"/>
      <c r="L363" s="375"/>
      <c r="M363" s="236"/>
      <c r="N363" s="236"/>
    </row>
    <row r="364" spans="1:14" x14ac:dyDescent="0.2">
      <c r="A364" s="254"/>
      <c r="B364" s="255" t="s">
        <v>361</v>
      </c>
      <c r="C364" s="255" t="s">
        <v>362</v>
      </c>
      <c r="D364" s="255" t="s">
        <v>33</v>
      </c>
      <c r="E364" s="255"/>
      <c r="F364" s="255" t="s">
        <v>361</v>
      </c>
      <c r="G364" s="255" t="s">
        <v>362</v>
      </c>
      <c r="H364" s="255" t="s">
        <v>33</v>
      </c>
      <c r="I364" s="255"/>
      <c r="J364" s="255" t="s">
        <v>361</v>
      </c>
      <c r="K364" s="255" t="s">
        <v>362</v>
      </c>
      <c r="L364" s="255" t="s">
        <v>33</v>
      </c>
      <c r="M364" s="236"/>
      <c r="N364" s="236"/>
    </row>
    <row r="365" spans="1:14" x14ac:dyDescent="0.2">
      <c r="A365" s="258"/>
      <c r="B365" s="259"/>
      <c r="C365" s="259"/>
      <c r="D365" s="259"/>
      <c r="E365" s="259"/>
      <c r="F365" s="259"/>
      <c r="G365" s="259"/>
      <c r="H365" s="259"/>
      <c r="I365" s="259"/>
      <c r="J365" s="259"/>
      <c r="K365" s="259"/>
      <c r="L365" s="259"/>
      <c r="M365" s="236"/>
      <c r="N365" s="236"/>
    </row>
    <row r="366" spans="1:14" x14ac:dyDescent="0.2">
      <c r="A366" s="237" t="str">
        <f>name!E$4</f>
        <v>Managers, directors and senior officials</v>
      </c>
      <c r="B366" s="302">
        <v>0.25404898700154216</v>
      </c>
      <c r="C366" s="302">
        <v>0.76971210259531619</v>
      </c>
      <c r="D366" s="302">
        <f>SUM(B366:C366)</f>
        <v>1.0237610895968583</v>
      </c>
      <c r="E366" s="303"/>
      <c r="F366" s="302">
        <v>0.42330616460261283</v>
      </c>
      <c r="G366" s="302">
        <v>0.69808551851808331</v>
      </c>
      <c r="H366" s="302">
        <f>SUM(F366:G366)</f>
        <v>1.121391683120696</v>
      </c>
      <c r="I366" s="303"/>
      <c r="J366" s="302">
        <v>0.41350225719440675</v>
      </c>
      <c r="K366" s="302">
        <v>0.69863158554108051</v>
      </c>
      <c r="L366" s="302">
        <f>SUM(J366:K366)</f>
        <v>1.1121338427354872</v>
      </c>
      <c r="M366" s="236"/>
      <c r="N366" s="236"/>
    </row>
    <row r="367" spans="1:14" x14ac:dyDescent="0.2">
      <c r="A367" s="237" t="str">
        <f>name!E$5</f>
        <v>Professional occupations</v>
      </c>
      <c r="B367" s="302">
        <v>0.54075060911580353</v>
      </c>
      <c r="C367" s="302">
        <v>1.0551250903786205</v>
      </c>
      <c r="D367" s="302">
        <f t="shared" ref="D367:D374" si="121">SUM(B367:C367)</f>
        <v>1.5958756994944241</v>
      </c>
      <c r="E367" s="303"/>
      <c r="F367" s="302">
        <v>0.94284298629729912</v>
      </c>
      <c r="G367" s="302">
        <v>0.9171078999650758</v>
      </c>
      <c r="H367" s="302">
        <f t="shared" ref="H367:H374" si="122">SUM(F367:G367)</f>
        <v>1.859950886262375</v>
      </c>
      <c r="I367" s="303"/>
      <c r="J367" s="302">
        <v>1.000737954364364</v>
      </c>
      <c r="K367" s="302">
        <v>1.0768097306248916</v>
      </c>
      <c r="L367" s="302">
        <f t="shared" ref="L367:L374" si="123">SUM(J367:K367)</f>
        <v>2.0775476849892556</v>
      </c>
      <c r="M367" s="236"/>
      <c r="N367" s="236"/>
    </row>
    <row r="368" spans="1:14" x14ac:dyDescent="0.2">
      <c r="A368" s="237" t="str">
        <f>name!E$6</f>
        <v>Associate professional occupations</v>
      </c>
      <c r="B368" s="302">
        <v>0.74572331511664791</v>
      </c>
      <c r="C368" s="302">
        <v>1.9503944635511732</v>
      </c>
      <c r="D368" s="302">
        <f t="shared" si="121"/>
        <v>2.696117778667821</v>
      </c>
      <c r="E368" s="303"/>
      <c r="F368" s="302">
        <v>1.0927789000225114</v>
      </c>
      <c r="G368" s="302">
        <v>1.5492638604415065</v>
      </c>
      <c r="H368" s="302">
        <f t="shared" si="122"/>
        <v>2.642042760464018</v>
      </c>
      <c r="I368" s="303"/>
      <c r="J368" s="302">
        <v>0.98189467360383498</v>
      </c>
      <c r="K368" s="302">
        <v>1.3626700761366137</v>
      </c>
      <c r="L368" s="302">
        <f t="shared" si="123"/>
        <v>2.3445647497404485</v>
      </c>
      <c r="M368" s="236"/>
      <c r="N368" s="236"/>
    </row>
    <row r="369" spans="1:14" x14ac:dyDescent="0.2">
      <c r="A369" s="237" t="str">
        <f>name!E$7</f>
        <v>Administrative and secretarial occupations</v>
      </c>
      <c r="B369" s="302">
        <v>1.1544669266648462</v>
      </c>
      <c r="C369" s="302">
        <v>0.17978426131731598</v>
      </c>
      <c r="D369" s="302">
        <f t="shared" si="121"/>
        <v>1.3342511879821621</v>
      </c>
      <c r="E369" s="303"/>
      <c r="F369" s="302">
        <v>1.4260465152612791</v>
      </c>
      <c r="G369" s="302">
        <v>0.16066982550019032</v>
      </c>
      <c r="H369" s="302">
        <f t="shared" si="122"/>
        <v>1.5867163407614695</v>
      </c>
      <c r="I369" s="303"/>
      <c r="J369" s="302">
        <v>1.2743277150113987</v>
      </c>
      <c r="K369" s="302">
        <v>0.18102618420683556</v>
      </c>
      <c r="L369" s="302">
        <f t="shared" si="123"/>
        <v>1.4553538992182342</v>
      </c>
      <c r="M369" s="236"/>
      <c r="N369" s="236"/>
    </row>
    <row r="370" spans="1:14" x14ac:dyDescent="0.2">
      <c r="A370" s="237" t="str">
        <f>name!E$8</f>
        <v>Skilled trades occupations</v>
      </c>
      <c r="B370" s="302">
        <v>0.20375109527697988</v>
      </c>
      <c r="C370" s="302">
        <v>1.0071602050819366</v>
      </c>
      <c r="D370" s="302">
        <f t="shared" si="121"/>
        <v>1.2109113003589165</v>
      </c>
      <c r="E370" s="303"/>
      <c r="F370" s="302">
        <v>0.29542313627796007</v>
      </c>
      <c r="G370" s="302">
        <v>0.68376028423766577</v>
      </c>
      <c r="H370" s="302">
        <f t="shared" si="122"/>
        <v>0.97918342051562579</v>
      </c>
      <c r="I370" s="303"/>
      <c r="J370" s="302">
        <v>0.30186899514309778</v>
      </c>
      <c r="K370" s="302">
        <v>0.62608231118423685</v>
      </c>
      <c r="L370" s="302">
        <f t="shared" si="123"/>
        <v>0.92795130632733458</v>
      </c>
      <c r="M370" s="236"/>
      <c r="N370" s="236"/>
    </row>
    <row r="371" spans="1:14" x14ac:dyDescent="0.2">
      <c r="A371" s="237" t="str">
        <f>name!E$9</f>
        <v>Caring, leisure and other service occupations</v>
      </c>
      <c r="B371" s="302">
        <v>0.82604321430122185</v>
      </c>
      <c r="C371" s="302">
        <v>0.59072319763990699</v>
      </c>
      <c r="D371" s="302">
        <f t="shared" si="121"/>
        <v>1.4167664119411287</v>
      </c>
      <c r="E371" s="303"/>
      <c r="F371" s="302">
        <v>0.94157484838012417</v>
      </c>
      <c r="G371" s="302">
        <v>0.52879480788089028</v>
      </c>
      <c r="H371" s="302">
        <f t="shared" si="122"/>
        <v>1.4703696562610145</v>
      </c>
      <c r="I371" s="303"/>
      <c r="J371" s="302">
        <v>0.73729010665164485</v>
      </c>
      <c r="K371" s="302">
        <v>0.59555661052055597</v>
      </c>
      <c r="L371" s="302">
        <f t="shared" si="123"/>
        <v>1.3328467171722007</v>
      </c>
      <c r="M371" s="236"/>
      <c r="N371" s="236"/>
    </row>
    <row r="372" spans="1:14" x14ac:dyDescent="0.2">
      <c r="A372" s="237" t="str">
        <f>name!E$10</f>
        <v>Sales and customer service occupations</v>
      </c>
      <c r="B372" s="302">
        <v>0.22099065251702396</v>
      </c>
      <c r="C372" s="302">
        <v>0.36797548180144751</v>
      </c>
      <c r="D372" s="302">
        <f t="shared" si="121"/>
        <v>0.58896613431847145</v>
      </c>
      <c r="E372" s="303"/>
      <c r="F372" s="302">
        <v>0.27552514492178942</v>
      </c>
      <c r="G372" s="302">
        <v>0.31321568781406589</v>
      </c>
      <c r="H372" s="302">
        <f t="shared" si="122"/>
        <v>0.58874083273585531</v>
      </c>
      <c r="I372" s="303"/>
      <c r="J372" s="302">
        <v>0.25946260064892074</v>
      </c>
      <c r="K372" s="302">
        <v>0.3282737174219737</v>
      </c>
      <c r="L372" s="302">
        <f t="shared" si="123"/>
        <v>0.58773631807089444</v>
      </c>
      <c r="M372" s="236"/>
      <c r="N372" s="236"/>
    </row>
    <row r="373" spans="1:14" x14ac:dyDescent="0.2">
      <c r="A373" s="237" t="str">
        <f>name!E$11</f>
        <v>Process, plant and machine operatives</v>
      </c>
      <c r="B373" s="302">
        <v>9.9240399105370285E-3</v>
      </c>
      <c r="C373" s="302">
        <v>0.16279374947289682</v>
      </c>
      <c r="D373" s="302">
        <f t="shared" si="121"/>
        <v>0.17271778938343385</v>
      </c>
      <c r="E373" s="303"/>
      <c r="F373" s="302">
        <v>1.1423733889993397E-2</v>
      </c>
      <c r="G373" s="302">
        <v>0.13000935585057169</v>
      </c>
      <c r="H373" s="302">
        <f t="shared" si="122"/>
        <v>0.14143308974056509</v>
      </c>
      <c r="I373" s="303"/>
      <c r="J373" s="302">
        <v>1.7460465925272148E-2</v>
      </c>
      <c r="K373" s="302">
        <v>0.11199584490600563</v>
      </c>
      <c r="L373" s="302">
        <f t="shared" si="123"/>
        <v>0.12945631083127779</v>
      </c>
      <c r="M373" s="236"/>
      <c r="N373" s="236"/>
    </row>
    <row r="374" spans="1:14" x14ac:dyDescent="0.2">
      <c r="A374" s="237" t="str">
        <f>name!E$12</f>
        <v>Elementary occupations</v>
      </c>
      <c r="B374" s="302">
        <v>0.57395914780414681</v>
      </c>
      <c r="C374" s="302">
        <v>0.67867346045263777</v>
      </c>
      <c r="D374" s="302">
        <f t="shared" si="121"/>
        <v>1.2526326082567847</v>
      </c>
      <c r="E374" s="303"/>
      <c r="F374" s="302">
        <v>0.59674929149251843</v>
      </c>
      <c r="G374" s="302">
        <v>0.49542203864585088</v>
      </c>
      <c r="H374" s="302">
        <f t="shared" si="122"/>
        <v>1.0921713301383693</v>
      </c>
      <c r="I374" s="303"/>
      <c r="J374" s="302">
        <v>0.40367597390672094</v>
      </c>
      <c r="K374" s="302">
        <v>0.39173319700814174</v>
      </c>
      <c r="L374" s="302">
        <f t="shared" si="123"/>
        <v>0.79540917091486274</v>
      </c>
      <c r="M374" s="236"/>
      <c r="N374" s="236"/>
    </row>
    <row r="375" spans="1:14" x14ac:dyDescent="0.2">
      <c r="A375" s="237"/>
      <c r="B375" s="302"/>
      <c r="C375" s="302"/>
      <c r="D375" s="302"/>
      <c r="E375" s="303"/>
      <c r="F375" s="302"/>
      <c r="G375" s="302"/>
      <c r="H375" s="302"/>
      <c r="I375" s="303"/>
      <c r="J375" s="302"/>
      <c r="K375" s="302"/>
      <c r="L375" s="302"/>
      <c r="M375" s="236"/>
      <c r="N375" s="236"/>
    </row>
    <row r="376" spans="1:14" x14ac:dyDescent="0.2">
      <c r="A376" s="244" t="s">
        <v>33</v>
      </c>
      <c r="B376" s="311">
        <f>SUM(B366:B374)</f>
        <v>4.5296579877087488</v>
      </c>
      <c r="C376" s="311">
        <f t="shared" ref="C376:D376" si="124">SUM(C366:C374)</f>
        <v>6.7623420122912501</v>
      </c>
      <c r="D376" s="311">
        <f t="shared" si="124"/>
        <v>11.292000000000002</v>
      </c>
      <c r="E376" s="311"/>
      <c r="F376" s="311">
        <f t="shared" ref="F376:H376" si="125">SUM(F366:F374)</f>
        <v>6.0056707211460871</v>
      </c>
      <c r="G376" s="311">
        <f t="shared" si="125"/>
        <v>5.4763292788539006</v>
      </c>
      <c r="H376" s="311">
        <f t="shared" si="125"/>
        <v>11.481999999999987</v>
      </c>
      <c r="I376" s="311"/>
      <c r="J376" s="311">
        <f t="shared" ref="J376:L376" si="126">SUM(J366:J374)</f>
        <v>5.390220742449662</v>
      </c>
      <c r="K376" s="311">
        <f t="shared" si="126"/>
        <v>5.3727792575503353</v>
      </c>
      <c r="L376" s="311">
        <f t="shared" si="126"/>
        <v>10.762999999999995</v>
      </c>
      <c r="M376" s="236"/>
      <c r="N376" s="236"/>
    </row>
    <row r="377" spans="1:14" x14ac:dyDescent="0.2">
      <c r="A377" s="237"/>
      <c r="B377" s="237"/>
      <c r="C377" s="237"/>
      <c r="D377" s="237"/>
      <c r="E377" s="237"/>
      <c r="F377" s="237"/>
      <c r="G377" s="237"/>
      <c r="H377" s="237"/>
      <c r="I377" s="237"/>
      <c r="J377" s="237"/>
      <c r="K377" s="237"/>
      <c r="L377" s="240"/>
      <c r="M377" s="236"/>
      <c r="N377" s="236"/>
    </row>
    <row r="378" spans="1:14" x14ac:dyDescent="0.2">
      <c r="A378" s="237"/>
      <c r="B378" s="237"/>
      <c r="C378" s="237"/>
      <c r="D378" s="237"/>
      <c r="E378" s="237"/>
      <c r="F378" s="237"/>
      <c r="G378" s="237"/>
      <c r="H378" s="237"/>
      <c r="I378" s="237"/>
      <c r="J378" s="237"/>
      <c r="K378" s="237"/>
      <c r="L378" s="256" t="s">
        <v>36</v>
      </c>
      <c r="M378" s="236"/>
      <c r="N378" s="236"/>
    </row>
    <row r="379" spans="1:14" x14ac:dyDescent="0.2">
      <c r="A379" s="242"/>
      <c r="B379" s="250"/>
      <c r="C379" s="250"/>
      <c r="D379" s="250"/>
      <c r="E379" s="250"/>
      <c r="F379" s="250"/>
      <c r="G379" s="250"/>
      <c r="H379" s="250"/>
      <c r="I379" s="250"/>
      <c r="J379" s="250"/>
      <c r="K379" s="250"/>
      <c r="L379" s="236"/>
      <c r="M379" s="236"/>
      <c r="N379" s="236"/>
    </row>
    <row r="380" spans="1:14" x14ac:dyDescent="0.2">
      <c r="A380" s="241" t="str">
        <f>name!B25</f>
        <v>Other services</v>
      </c>
      <c r="B380" s="375">
        <f>B$6</f>
        <v>2015</v>
      </c>
      <c r="C380" s="375"/>
      <c r="D380" s="375"/>
      <c r="E380" s="253"/>
      <c r="F380" s="375">
        <f>F363</f>
        <v>2020</v>
      </c>
      <c r="G380" s="375"/>
      <c r="H380" s="375"/>
      <c r="I380" s="253"/>
      <c r="J380" s="375">
        <f>J363</f>
        <v>2035</v>
      </c>
      <c r="K380" s="375"/>
      <c r="L380" s="375"/>
      <c r="M380" s="236"/>
      <c r="N380" s="236"/>
    </row>
    <row r="381" spans="1:14" x14ac:dyDescent="0.2">
      <c r="A381" s="254"/>
      <c r="B381" s="255" t="s">
        <v>361</v>
      </c>
      <c r="C381" s="255" t="s">
        <v>362</v>
      </c>
      <c r="D381" s="255" t="s">
        <v>33</v>
      </c>
      <c r="E381" s="255"/>
      <c r="F381" s="255" t="s">
        <v>361</v>
      </c>
      <c r="G381" s="255" t="s">
        <v>362</v>
      </c>
      <c r="H381" s="255" t="s">
        <v>33</v>
      </c>
      <c r="I381" s="255"/>
      <c r="J381" s="255" t="s">
        <v>361</v>
      </c>
      <c r="K381" s="255" t="s">
        <v>362</v>
      </c>
      <c r="L381" s="255" t="s">
        <v>33</v>
      </c>
      <c r="M381" s="236"/>
      <c r="N381" s="236"/>
    </row>
    <row r="382" spans="1:14" x14ac:dyDescent="0.2">
      <c r="A382" s="258"/>
      <c r="B382" s="259"/>
      <c r="C382" s="259"/>
      <c r="D382" s="259"/>
      <c r="E382" s="259"/>
      <c r="F382" s="259"/>
      <c r="G382" s="259"/>
      <c r="H382" s="259"/>
      <c r="I382" s="259"/>
      <c r="J382" s="259"/>
      <c r="K382" s="259"/>
      <c r="L382" s="259"/>
      <c r="M382" s="236"/>
      <c r="N382" s="236"/>
    </row>
    <row r="383" spans="1:14" x14ac:dyDescent="0.2">
      <c r="A383" s="237" t="str">
        <f>name!E$4</f>
        <v>Managers, directors and senior officials</v>
      </c>
      <c r="B383" s="302">
        <v>0.35016725270387938</v>
      </c>
      <c r="C383" s="302">
        <v>0.64137843537353478</v>
      </c>
      <c r="D383" s="302">
        <f>SUM(B383:C383)</f>
        <v>0.99154568807741417</v>
      </c>
      <c r="E383" s="303"/>
      <c r="F383" s="302">
        <v>0.66247546280797154</v>
      </c>
      <c r="G383" s="302">
        <v>0.88384888738972767</v>
      </c>
      <c r="H383" s="302">
        <f>SUM(F383:G383)</f>
        <v>1.5463243501976991</v>
      </c>
      <c r="I383" s="303"/>
      <c r="J383" s="302">
        <v>0.4624926661184931</v>
      </c>
      <c r="K383" s="302">
        <v>0.86237803889702358</v>
      </c>
      <c r="L383" s="302">
        <f>SUM(J383:K383)</f>
        <v>1.3248707050155166</v>
      </c>
      <c r="M383" s="236"/>
      <c r="N383" s="236"/>
    </row>
    <row r="384" spans="1:14" x14ac:dyDescent="0.2">
      <c r="A384" s="237" t="str">
        <f>name!E$5</f>
        <v>Professional occupations</v>
      </c>
      <c r="B384" s="302">
        <v>1.1035163932121708</v>
      </c>
      <c r="C384" s="302">
        <v>1.1252093007160198</v>
      </c>
      <c r="D384" s="302">
        <f t="shared" ref="D384:D391" si="127">SUM(B384:C384)</f>
        <v>2.2287256939281903</v>
      </c>
      <c r="E384" s="303"/>
      <c r="F384" s="302">
        <v>1.6252313871013899</v>
      </c>
      <c r="G384" s="302">
        <v>1.2205983425553755</v>
      </c>
      <c r="H384" s="302">
        <f t="shared" ref="H384:H391" si="128">SUM(F384:G384)</f>
        <v>2.8458297296567654</v>
      </c>
      <c r="I384" s="303"/>
      <c r="J384" s="302">
        <v>1.5701212464468608</v>
      </c>
      <c r="K384" s="302">
        <v>1.3151191460519307</v>
      </c>
      <c r="L384" s="302">
        <f t="shared" ref="L384:L391" si="129">SUM(J384:K384)</f>
        <v>2.8852403924987913</v>
      </c>
      <c r="M384" s="236"/>
      <c r="N384" s="236"/>
    </row>
    <row r="385" spans="1:14" x14ac:dyDescent="0.2">
      <c r="A385" s="237" t="str">
        <f>name!E$6</f>
        <v>Associate professional occupations</v>
      </c>
      <c r="B385" s="302">
        <v>0.64822449806830496</v>
      </c>
      <c r="C385" s="302">
        <v>0.50540661602493619</v>
      </c>
      <c r="D385" s="302">
        <f t="shared" si="127"/>
        <v>1.1536311140932412</v>
      </c>
      <c r="E385" s="303"/>
      <c r="F385" s="302">
        <v>0.91282158368746547</v>
      </c>
      <c r="G385" s="302">
        <v>0.60330976181294371</v>
      </c>
      <c r="H385" s="302">
        <f t="shared" si="128"/>
        <v>1.5161313455004093</v>
      </c>
      <c r="I385" s="303"/>
      <c r="J385" s="302">
        <v>0.78544502993136101</v>
      </c>
      <c r="K385" s="302">
        <v>0.54768742010377802</v>
      </c>
      <c r="L385" s="302">
        <f t="shared" si="129"/>
        <v>1.3331324500351389</v>
      </c>
      <c r="M385" s="236"/>
      <c r="N385" s="236"/>
    </row>
    <row r="386" spans="1:14" x14ac:dyDescent="0.2">
      <c r="A386" s="237" t="str">
        <f>name!E$7</f>
        <v>Administrative and secretarial occupations</v>
      </c>
      <c r="B386" s="302">
        <v>1.2669464123477829</v>
      </c>
      <c r="C386" s="302">
        <v>0.11862903055059448</v>
      </c>
      <c r="D386" s="302">
        <f t="shared" si="127"/>
        <v>1.3855754428983773</v>
      </c>
      <c r="E386" s="303"/>
      <c r="F386" s="302">
        <v>1.061871432722362</v>
      </c>
      <c r="G386" s="302">
        <v>0.13685166486484512</v>
      </c>
      <c r="H386" s="302">
        <f t="shared" si="128"/>
        <v>1.198723097587207</v>
      </c>
      <c r="I386" s="303"/>
      <c r="J386" s="302">
        <v>1.0431612994147967</v>
      </c>
      <c r="K386" s="302">
        <v>0.15248635324432003</v>
      </c>
      <c r="L386" s="302">
        <f t="shared" si="129"/>
        <v>1.1956476526591167</v>
      </c>
      <c r="M386" s="236"/>
      <c r="N386" s="236"/>
    </row>
    <row r="387" spans="1:14" x14ac:dyDescent="0.2">
      <c r="A387" s="237" t="str">
        <f>name!E$8</f>
        <v>Skilled trades occupations</v>
      </c>
      <c r="B387" s="302">
        <v>0.14128900017503768</v>
      </c>
      <c r="C387" s="302">
        <v>0.48489940467925824</v>
      </c>
      <c r="D387" s="302">
        <f t="shared" si="127"/>
        <v>0.62618840485429594</v>
      </c>
      <c r="E387" s="303"/>
      <c r="F387" s="302">
        <v>0.22203993825245674</v>
      </c>
      <c r="G387" s="302">
        <v>0.46916607373320968</v>
      </c>
      <c r="H387" s="302">
        <f t="shared" si="128"/>
        <v>0.69120601198566645</v>
      </c>
      <c r="I387" s="303"/>
      <c r="J387" s="302">
        <v>0.23680547205551342</v>
      </c>
      <c r="K387" s="302">
        <v>0.48008287862985766</v>
      </c>
      <c r="L387" s="302">
        <f t="shared" si="129"/>
        <v>0.71688835068537105</v>
      </c>
      <c r="M387" s="236"/>
      <c r="N387" s="236"/>
    </row>
    <row r="388" spans="1:14" x14ac:dyDescent="0.2">
      <c r="A388" s="237" t="str">
        <f>name!E$9</f>
        <v>Caring, leisure and other service occupations</v>
      </c>
      <c r="B388" s="302">
        <v>2.8795030182056944</v>
      </c>
      <c r="C388" s="302">
        <v>0.77134902104096903</v>
      </c>
      <c r="D388" s="302">
        <f t="shared" si="127"/>
        <v>3.6508520392466632</v>
      </c>
      <c r="E388" s="303"/>
      <c r="F388" s="302">
        <v>5.189088172854615</v>
      </c>
      <c r="G388" s="302">
        <v>1.0779111351822892</v>
      </c>
      <c r="H388" s="302">
        <f t="shared" si="128"/>
        <v>6.2669993080369046</v>
      </c>
      <c r="I388" s="303"/>
      <c r="J388" s="302">
        <v>4.453402758433211</v>
      </c>
      <c r="K388" s="302">
        <v>0.97904332515121173</v>
      </c>
      <c r="L388" s="302">
        <f t="shared" si="129"/>
        <v>5.4324460835844226</v>
      </c>
      <c r="M388" s="236"/>
      <c r="N388" s="236"/>
    </row>
    <row r="389" spans="1:14" x14ac:dyDescent="0.2">
      <c r="A389" s="237" t="str">
        <f>name!E$10</f>
        <v>Sales and customer service occupations</v>
      </c>
      <c r="B389" s="302">
        <v>0.23890885996074718</v>
      </c>
      <c r="C389" s="302">
        <v>0.27993810898869342</v>
      </c>
      <c r="D389" s="302">
        <f t="shared" si="127"/>
        <v>0.5188469689494406</v>
      </c>
      <c r="E389" s="303"/>
      <c r="F389" s="302">
        <v>0.29294906269829274</v>
      </c>
      <c r="G389" s="302">
        <v>0.35557364329837493</v>
      </c>
      <c r="H389" s="302">
        <f t="shared" si="128"/>
        <v>0.64852270599666761</v>
      </c>
      <c r="I389" s="303"/>
      <c r="J389" s="302">
        <v>0.19722743960062156</v>
      </c>
      <c r="K389" s="302">
        <v>0.29486699788890913</v>
      </c>
      <c r="L389" s="302">
        <f t="shared" si="129"/>
        <v>0.49209443748953069</v>
      </c>
      <c r="M389" s="236"/>
      <c r="N389" s="236"/>
    </row>
    <row r="390" spans="1:14" x14ac:dyDescent="0.2">
      <c r="A390" s="237" t="str">
        <f>name!E$11</f>
        <v>Process, plant and machine operatives</v>
      </c>
      <c r="B390" s="302">
        <v>7.0912368193537578E-2</v>
      </c>
      <c r="C390" s="302">
        <v>0.28522925472821192</v>
      </c>
      <c r="D390" s="302">
        <f t="shared" si="127"/>
        <v>0.3561416229217495</v>
      </c>
      <c r="E390" s="303"/>
      <c r="F390" s="302">
        <v>7.9906668062352706E-2</v>
      </c>
      <c r="G390" s="302">
        <v>0.34604873281023396</v>
      </c>
      <c r="H390" s="302">
        <f t="shared" si="128"/>
        <v>0.42595540087258665</v>
      </c>
      <c r="I390" s="303"/>
      <c r="J390" s="302">
        <v>7.3724362362446921E-2</v>
      </c>
      <c r="K390" s="302">
        <v>0.26024044718261852</v>
      </c>
      <c r="L390" s="302">
        <f t="shared" si="129"/>
        <v>0.33396480954506547</v>
      </c>
      <c r="M390" s="236"/>
      <c r="N390" s="236"/>
    </row>
    <row r="391" spans="1:14" x14ac:dyDescent="0.2">
      <c r="A391" s="237" t="str">
        <f>name!E$12</f>
        <v>Elementary occupations</v>
      </c>
      <c r="B391" s="302">
        <v>0.70398138723509629</v>
      </c>
      <c r="C391" s="302">
        <v>0.52151163779552578</v>
      </c>
      <c r="D391" s="302">
        <f t="shared" si="127"/>
        <v>1.2254930250306222</v>
      </c>
      <c r="E391" s="303"/>
      <c r="F391" s="302">
        <v>0.45661495612123992</v>
      </c>
      <c r="G391" s="302">
        <v>0.55169309404484512</v>
      </c>
      <c r="H391" s="302">
        <f t="shared" si="128"/>
        <v>1.008308050166085</v>
      </c>
      <c r="I391" s="303"/>
      <c r="J391" s="302">
        <v>0.30309357396309411</v>
      </c>
      <c r="K391" s="302">
        <v>0.51762154452393927</v>
      </c>
      <c r="L391" s="302">
        <f t="shared" si="129"/>
        <v>0.82071511848703338</v>
      </c>
      <c r="M391" s="236"/>
      <c r="N391" s="236"/>
    </row>
    <row r="392" spans="1:14" x14ac:dyDescent="0.2">
      <c r="A392" s="237"/>
      <c r="B392" s="302"/>
      <c r="C392" s="302"/>
      <c r="D392" s="302"/>
      <c r="E392" s="303"/>
      <c r="F392" s="302"/>
      <c r="G392" s="302"/>
      <c r="H392" s="302"/>
      <c r="I392" s="303"/>
      <c r="J392" s="302"/>
      <c r="K392" s="302"/>
      <c r="L392" s="302"/>
      <c r="M392" s="236"/>
      <c r="N392" s="236"/>
    </row>
    <row r="393" spans="1:14" x14ac:dyDescent="0.2">
      <c r="A393" s="244" t="s">
        <v>33</v>
      </c>
      <c r="B393" s="311">
        <f>SUM(B383:B391)</f>
        <v>7.4034491901022514</v>
      </c>
      <c r="C393" s="311">
        <f t="shared" ref="C393:D393" si="130">SUM(C383:C391)</f>
        <v>4.7335508098977437</v>
      </c>
      <c r="D393" s="311">
        <f t="shared" si="130"/>
        <v>12.136999999999993</v>
      </c>
      <c r="E393" s="311"/>
      <c r="F393" s="311">
        <f t="shared" ref="F393:H393" si="131">SUM(F383:F391)</f>
        <v>10.502998664308146</v>
      </c>
      <c r="G393" s="311">
        <f t="shared" si="131"/>
        <v>5.6450013356918447</v>
      </c>
      <c r="H393" s="311">
        <f t="shared" si="131"/>
        <v>16.147999999999989</v>
      </c>
      <c r="I393" s="311"/>
      <c r="J393" s="311">
        <f t="shared" ref="J393:L393" si="132">SUM(J383:J391)</f>
        <v>9.1254738483263989</v>
      </c>
      <c r="K393" s="311">
        <f t="shared" si="132"/>
        <v>5.409526151673588</v>
      </c>
      <c r="L393" s="311">
        <f t="shared" si="132"/>
        <v>14.534999999999986</v>
      </c>
      <c r="M393" s="236"/>
      <c r="N393" s="236"/>
    </row>
    <row r="394" spans="1:14" x14ac:dyDescent="0.2">
      <c r="A394" s="237"/>
      <c r="B394" s="237"/>
      <c r="C394" s="237"/>
      <c r="D394" s="237"/>
      <c r="E394" s="237"/>
      <c r="F394" s="237"/>
      <c r="G394" s="237"/>
      <c r="H394" s="237"/>
      <c r="I394" s="237"/>
      <c r="J394" s="237"/>
      <c r="K394" s="237"/>
      <c r="L394" s="240"/>
      <c r="M394" s="236"/>
      <c r="N394" s="236"/>
    </row>
  </sheetData>
  <mergeCells count="69">
    <mergeCell ref="B40:D40"/>
    <mergeCell ref="F40:H40"/>
    <mergeCell ref="J40:L40"/>
    <mergeCell ref="B57:D57"/>
    <mergeCell ref="F57:H57"/>
    <mergeCell ref="J57:L57"/>
    <mergeCell ref="B6:D6"/>
    <mergeCell ref="F6:H6"/>
    <mergeCell ref="J6:L6"/>
    <mergeCell ref="B23:D23"/>
    <mergeCell ref="F23:H23"/>
    <mergeCell ref="J23:L23"/>
    <mergeCell ref="B108:D108"/>
    <mergeCell ref="F108:H108"/>
    <mergeCell ref="J108:L108"/>
    <mergeCell ref="B125:D125"/>
    <mergeCell ref="F125:H125"/>
    <mergeCell ref="J125:L125"/>
    <mergeCell ref="B74:D74"/>
    <mergeCell ref="F74:H74"/>
    <mergeCell ref="J74:L74"/>
    <mergeCell ref="B91:D91"/>
    <mergeCell ref="F91:H91"/>
    <mergeCell ref="J91:L91"/>
    <mergeCell ref="B176:D176"/>
    <mergeCell ref="F176:H176"/>
    <mergeCell ref="J176:L176"/>
    <mergeCell ref="B193:D193"/>
    <mergeCell ref="F193:H193"/>
    <mergeCell ref="J193:L193"/>
    <mergeCell ref="B142:D142"/>
    <mergeCell ref="F142:H142"/>
    <mergeCell ref="J142:L142"/>
    <mergeCell ref="B159:D159"/>
    <mergeCell ref="F159:H159"/>
    <mergeCell ref="J159:L159"/>
    <mergeCell ref="B244:D244"/>
    <mergeCell ref="F244:H244"/>
    <mergeCell ref="J244:L244"/>
    <mergeCell ref="B261:D261"/>
    <mergeCell ref="F261:H261"/>
    <mergeCell ref="J261:L261"/>
    <mergeCell ref="B210:D210"/>
    <mergeCell ref="F210:H210"/>
    <mergeCell ref="J210:L210"/>
    <mergeCell ref="B227:D227"/>
    <mergeCell ref="F227:H227"/>
    <mergeCell ref="J227:L227"/>
    <mergeCell ref="B312:D312"/>
    <mergeCell ref="F312:H312"/>
    <mergeCell ref="J312:L312"/>
    <mergeCell ref="B329:D329"/>
    <mergeCell ref="F329:H329"/>
    <mergeCell ref="J329:L329"/>
    <mergeCell ref="B278:D278"/>
    <mergeCell ref="F278:H278"/>
    <mergeCell ref="J278:L278"/>
    <mergeCell ref="B295:D295"/>
    <mergeCell ref="F295:H295"/>
    <mergeCell ref="J295:L295"/>
    <mergeCell ref="B380:D380"/>
    <mergeCell ref="F380:H380"/>
    <mergeCell ref="J380:L380"/>
    <mergeCell ref="B346:D346"/>
    <mergeCell ref="F346:H346"/>
    <mergeCell ref="J346:L346"/>
    <mergeCell ref="B363:D363"/>
    <mergeCell ref="F363:H363"/>
    <mergeCell ref="J363:L363"/>
  </mergeCells>
  <pageMargins left="0.7" right="0.7" top="0.75" bottom="0.75" header="0.3" footer="0.3"/>
  <pageSetup paperSize="9" scale="81" orientation="portrait" r:id="rId1"/>
  <rowBreaks count="5" manualBreakCount="5">
    <brk id="54" max="16383" man="1"/>
    <brk id="122" max="11" man="1"/>
    <brk id="190" max="11" man="1"/>
    <brk id="258" max="11" man="1"/>
    <brk id="326" max="11" man="1"/>
  </rowBreaks>
  <colBreaks count="1" manualBreakCount="1">
    <brk id="12" max="1048575" man="1"/>
  </colBreaks>
  <drawing r:id="rId2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D00-000000000000}">
  <sheetPr codeName="Sheet115">
    <pageSetUpPr fitToPage="1"/>
  </sheetPr>
  <dimension ref="A1:W394"/>
  <sheetViews>
    <sheetView showGridLines="0" zoomScale="85" zoomScaleNormal="85" workbookViewId="0"/>
  </sheetViews>
  <sheetFormatPr defaultRowHeight="12.75" x14ac:dyDescent="0.2"/>
  <cols>
    <col min="1" max="1" width="33.140625" bestFit="1" customWidth="1"/>
    <col min="2" max="15" width="5.7109375" customWidth="1"/>
    <col min="259" max="259" width="33.140625" bestFit="1" customWidth="1"/>
    <col min="260" max="262" width="7.140625" customWidth="1"/>
    <col min="263" max="263" width="5" customWidth="1"/>
    <col min="264" max="266" width="7.140625" customWidth="1"/>
    <col min="267" max="267" width="5" customWidth="1"/>
    <col min="268" max="270" width="7.140625" customWidth="1"/>
    <col min="515" max="515" width="33.140625" bestFit="1" customWidth="1"/>
    <col min="516" max="518" width="7.140625" customWidth="1"/>
    <col min="519" max="519" width="5" customWidth="1"/>
    <col min="520" max="522" width="7.140625" customWidth="1"/>
    <col min="523" max="523" width="5" customWidth="1"/>
    <col min="524" max="526" width="7.140625" customWidth="1"/>
    <col min="771" max="771" width="33.140625" bestFit="1" customWidth="1"/>
    <col min="772" max="774" width="7.140625" customWidth="1"/>
    <col min="775" max="775" width="5" customWidth="1"/>
    <col min="776" max="778" width="7.140625" customWidth="1"/>
    <col min="779" max="779" width="5" customWidth="1"/>
    <col min="780" max="782" width="7.140625" customWidth="1"/>
    <col min="1027" max="1027" width="33.140625" bestFit="1" customWidth="1"/>
    <col min="1028" max="1030" width="7.140625" customWidth="1"/>
    <col min="1031" max="1031" width="5" customWidth="1"/>
    <col min="1032" max="1034" width="7.140625" customWidth="1"/>
    <col min="1035" max="1035" width="5" customWidth="1"/>
    <col min="1036" max="1038" width="7.140625" customWidth="1"/>
    <col min="1283" max="1283" width="33.140625" bestFit="1" customWidth="1"/>
    <col min="1284" max="1286" width="7.140625" customWidth="1"/>
    <col min="1287" max="1287" width="5" customWidth="1"/>
    <col min="1288" max="1290" width="7.140625" customWidth="1"/>
    <col min="1291" max="1291" width="5" customWidth="1"/>
    <col min="1292" max="1294" width="7.140625" customWidth="1"/>
    <col min="1539" max="1539" width="33.140625" bestFit="1" customWidth="1"/>
    <col min="1540" max="1542" width="7.140625" customWidth="1"/>
    <col min="1543" max="1543" width="5" customWidth="1"/>
    <col min="1544" max="1546" width="7.140625" customWidth="1"/>
    <col min="1547" max="1547" width="5" customWidth="1"/>
    <col min="1548" max="1550" width="7.140625" customWidth="1"/>
    <col min="1795" max="1795" width="33.140625" bestFit="1" customWidth="1"/>
    <col min="1796" max="1798" width="7.140625" customWidth="1"/>
    <col min="1799" max="1799" width="5" customWidth="1"/>
    <col min="1800" max="1802" width="7.140625" customWidth="1"/>
    <col min="1803" max="1803" width="5" customWidth="1"/>
    <col min="1804" max="1806" width="7.140625" customWidth="1"/>
    <col min="2051" max="2051" width="33.140625" bestFit="1" customWidth="1"/>
    <col min="2052" max="2054" width="7.140625" customWidth="1"/>
    <col min="2055" max="2055" width="5" customWidth="1"/>
    <col min="2056" max="2058" width="7.140625" customWidth="1"/>
    <col min="2059" max="2059" width="5" customWidth="1"/>
    <col min="2060" max="2062" width="7.140625" customWidth="1"/>
    <col min="2307" max="2307" width="33.140625" bestFit="1" customWidth="1"/>
    <col min="2308" max="2310" width="7.140625" customWidth="1"/>
    <col min="2311" max="2311" width="5" customWidth="1"/>
    <col min="2312" max="2314" width="7.140625" customWidth="1"/>
    <col min="2315" max="2315" width="5" customWidth="1"/>
    <col min="2316" max="2318" width="7.140625" customWidth="1"/>
    <col min="2563" max="2563" width="33.140625" bestFit="1" customWidth="1"/>
    <col min="2564" max="2566" width="7.140625" customWidth="1"/>
    <col min="2567" max="2567" width="5" customWidth="1"/>
    <col min="2568" max="2570" width="7.140625" customWidth="1"/>
    <col min="2571" max="2571" width="5" customWidth="1"/>
    <col min="2572" max="2574" width="7.140625" customWidth="1"/>
    <col min="2819" max="2819" width="33.140625" bestFit="1" customWidth="1"/>
    <col min="2820" max="2822" width="7.140625" customWidth="1"/>
    <col min="2823" max="2823" width="5" customWidth="1"/>
    <col min="2824" max="2826" width="7.140625" customWidth="1"/>
    <col min="2827" max="2827" width="5" customWidth="1"/>
    <col min="2828" max="2830" width="7.140625" customWidth="1"/>
    <col min="3075" max="3075" width="33.140625" bestFit="1" customWidth="1"/>
    <col min="3076" max="3078" width="7.140625" customWidth="1"/>
    <col min="3079" max="3079" width="5" customWidth="1"/>
    <col min="3080" max="3082" width="7.140625" customWidth="1"/>
    <col min="3083" max="3083" width="5" customWidth="1"/>
    <col min="3084" max="3086" width="7.140625" customWidth="1"/>
    <col min="3331" max="3331" width="33.140625" bestFit="1" customWidth="1"/>
    <col min="3332" max="3334" width="7.140625" customWidth="1"/>
    <col min="3335" max="3335" width="5" customWidth="1"/>
    <col min="3336" max="3338" width="7.140625" customWidth="1"/>
    <col min="3339" max="3339" width="5" customWidth="1"/>
    <col min="3340" max="3342" width="7.140625" customWidth="1"/>
    <col min="3587" max="3587" width="33.140625" bestFit="1" customWidth="1"/>
    <col min="3588" max="3590" width="7.140625" customWidth="1"/>
    <col min="3591" max="3591" width="5" customWidth="1"/>
    <col min="3592" max="3594" width="7.140625" customWidth="1"/>
    <col min="3595" max="3595" width="5" customWidth="1"/>
    <col min="3596" max="3598" width="7.140625" customWidth="1"/>
    <col min="3843" max="3843" width="33.140625" bestFit="1" customWidth="1"/>
    <col min="3844" max="3846" width="7.140625" customWidth="1"/>
    <col min="3847" max="3847" width="5" customWidth="1"/>
    <col min="3848" max="3850" width="7.140625" customWidth="1"/>
    <col min="3851" max="3851" width="5" customWidth="1"/>
    <col min="3852" max="3854" width="7.140625" customWidth="1"/>
    <col min="4099" max="4099" width="33.140625" bestFit="1" customWidth="1"/>
    <col min="4100" max="4102" width="7.140625" customWidth="1"/>
    <col min="4103" max="4103" width="5" customWidth="1"/>
    <col min="4104" max="4106" width="7.140625" customWidth="1"/>
    <col min="4107" max="4107" width="5" customWidth="1"/>
    <col min="4108" max="4110" width="7.140625" customWidth="1"/>
    <col min="4355" max="4355" width="33.140625" bestFit="1" customWidth="1"/>
    <col min="4356" max="4358" width="7.140625" customWidth="1"/>
    <col min="4359" max="4359" width="5" customWidth="1"/>
    <col min="4360" max="4362" width="7.140625" customWidth="1"/>
    <col min="4363" max="4363" width="5" customWidth="1"/>
    <col min="4364" max="4366" width="7.140625" customWidth="1"/>
    <col min="4611" max="4611" width="33.140625" bestFit="1" customWidth="1"/>
    <col min="4612" max="4614" width="7.140625" customWidth="1"/>
    <col min="4615" max="4615" width="5" customWidth="1"/>
    <col min="4616" max="4618" width="7.140625" customWidth="1"/>
    <col min="4619" max="4619" width="5" customWidth="1"/>
    <col min="4620" max="4622" width="7.140625" customWidth="1"/>
    <col min="4867" max="4867" width="33.140625" bestFit="1" customWidth="1"/>
    <col min="4868" max="4870" width="7.140625" customWidth="1"/>
    <col min="4871" max="4871" width="5" customWidth="1"/>
    <col min="4872" max="4874" width="7.140625" customWidth="1"/>
    <col min="4875" max="4875" width="5" customWidth="1"/>
    <col min="4876" max="4878" width="7.140625" customWidth="1"/>
    <col min="5123" max="5123" width="33.140625" bestFit="1" customWidth="1"/>
    <col min="5124" max="5126" width="7.140625" customWidth="1"/>
    <col min="5127" max="5127" width="5" customWidth="1"/>
    <col min="5128" max="5130" width="7.140625" customWidth="1"/>
    <col min="5131" max="5131" width="5" customWidth="1"/>
    <col min="5132" max="5134" width="7.140625" customWidth="1"/>
    <col min="5379" max="5379" width="33.140625" bestFit="1" customWidth="1"/>
    <col min="5380" max="5382" width="7.140625" customWidth="1"/>
    <col min="5383" max="5383" width="5" customWidth="1"/>
    <col min="5384" max="5386" width="7.140625" customWidth="1"/>
    <col min="5387" max="5387" width="5" customWidth="1"/>
    <col min="5388" max="5390" width="7.140625" customWidth="1"/>
    <col min="5635" max="5635" width="33.140625" bestFit="1" customWidth="1"/>
    <col min="5636" max="5638" width="7.140625" customWidth="1"/>
    <col min="5639" max="5639" width="5" customWidth="1"/>
    <col min="5640" max="5642" width="7.140625" customWidth="1"/>
    <col min="5643" max="5643" width="5" customWidth="1"/>
    <col min="5644" max="5646" width="7.140625" customWidth="1"/>
    <col min="5891" max="5891" width="33.140625" bestFit="1" customWidth="1"/>
    <col min="5892" max="5894" width="7.140625" customWidth="1"/>
    <col min="5895" max="5895" width="5" customWidth="1"/>
    <col min="5896" max="5898" width="7.140625" customWidth="1"/>
    <col min="5899" max="5899" width="5" customWidth="1"/>
    <col min="5900" max="5902" width="7.140625" customWidth="1"/>
    <col min="6147" max="6147" width="33.140625" bestFit="1" customWidth="1"/>
    <col min="6148" max="6150" width="7.140625" customWidth="1"/>
    <col min="6151" max="6151" width="5" customWidth="1"/>
    <col min="6152" max="6154" width="7.140625" customWidth="1"/>
    <col min="6155" max="6155" width="5" customWidth="1"/>
    <col min="6156" max="6158" width="7.140625" customWidth="1"/>
    <col min="6403" max="6403" width="33.140625" bestFit="1" customWidth="1"/>
    <col min="6404" max="6406" width="7.140625" customWidth="1"/>
    <col min="6407" max="6407" width="5" customWidth="1"/>
    <col min="6408" max="6410" width="7.140625" customWidth="1"/>
    <col min="6411" max="6411" width="5" customWidth="1"/>
    <col min="6412" max="6414" width="7.140625" customWidth="1"/>
    <col min="6659" max="6659" width="33.140625" bestFit="1" customWidth="1"/>
    <col min="6660" max="6662" width="7.140625" customWidth="1"/>
    <col min="6663" max="6663" width="5" customWidth="1"/>
    <col min="6664" max="6666" width="7.140625" customWidth="1"/>
    <col min="6667" max="6667" width="5" customWidth="1"/>
    <col min="6668" max="6670" width="7.140625" customWidth="1"/>
    <col min="6915" max="6915" width="33.140625" bestFit="1" customWidth="1"/>
    <col min="6916" max="6918" width="7.140625" customWidth="1"/>
    <col min="6919" max="6919" width="5" customWidth="1"/>
    <col min="6920" max="6922" width="7.140625" customWidth="1"/>
    <col min="6923" max="6923" width="5" customWidth="1"/>
    <col min="6924" max="6926" width="7.140625" customWidth="1"/>
    <col min="7171" max="7171" width="33.140625" bestFit="1" customWidth="1"/>
    <col min="7172" max="7174" width="7.140625" customWidth="1"/>
    <col min="7175" max="7175" width="5" customWidth="1"/>
    <col min="7176" max="7178" width="7.140625" customWidth="1"/>
    <col min="7179" max="7179" width="5" customWidth="1"/>
    <col min="7180" max="7182" width="7.140625" customWidth="1"/>
    <col min="7427" max="7427" width="33.140625" bestFit="1" customWidth="1"/>
    <col min="7428" max="7430" width="7.140625" customWidth="1"/>
    <col min="7431" max="7431" width="5" customWidth="1"/>
    <col min="7432" max="7434" width="7.140625" customWidth="1"/>
    <col min="7435" max="7435" width="5" customWidth="1"/>
    <col min="7436" max="7438" width="7.140625" customWidth="1"/>
    <col min="7683" max="7683" width="33.140625" bestFit="1" customWidth="1"/>
    <col min="7684" max="7686" width="7.140625" customWidth="1"/>
    <col min="7687" max="7687" width="5" customWidth="1"/>
    <col min="7688" max="7690" width="7.140625" customWidth="1"/>
    <col min="7691" max="7691" width="5" customWidth="1"/>
    <col min="7692" max="7694" width="7.140625" customWidth="1"/>
    <col min="7939" max="7939" width="33.140625" bestFit="1" customWidth="1"/>
    <col min="7940" max="7942" width="7.140625" customWidth="1"/>
    <col min="7943" max="7943" width="5" customWidth="1"/>
    <col min="7944" max="7946" width="7.140625" customWidth="1"/>
    <col min="7947" max="7947" width="5" customWidth="1"/>
    <col min="7948" max="7950" width="7.140625" customWidth="1"/>
    <col min="8195" max="8195" width="33.140625" bestFit="1" customWidth="1"/>
    <col min="8196" max="8198" width="7.140625" customWidth="1"/>
    <col min="8199" max="8199" width="5" customWidth="1"/>
    <col min="8200" max="8202" width="7.140625" customWidth="1"/>
    <col min="8203" max="8203" width="5" customWidth="1"/>
    <col min="8204" max="8206" width="7.140625" customWidth="1"/>
    <col min="8451" max="8451" width="33.140625" bestFit="1" customWidth="1"/>
    <col min="8452" max="8454" width="7.140625" customWidth="1"/>
    <col min="8455" max="8455" width="5" customWidth="1"/>
    <col min="8456" max="8458" width="7.140625" customWidth="1"/>
    <col min="8459" max="8459" width="5" customWidth="1"/>
    <col min="8460" max="8462" width="7.140625" customWidth="1"/>
    <col min="8707" max="8707" width="33.140625" bestFit="1" customWidth="1"/>
    <col min="8708" max="8710" width="7.140625" customWidth="1"/>
    <col min="8711" max="8711" width="5" customWidth="1"/>
    <col min="8712" max="8714" width="7.140625" customWidth="1"/>
    <col min="8715" max="8715" width="5" customWidth="1"/>
    <col min="8716" max="8718" width="7.140625" customWidth="1"/>
    <col min="8963" max="8963" width="33.140625" bestFit="1" customWidth="1"/>
    <col min="8964" max="8966" width="7.140625" customWidth="1"/>
    <col min="8967" max="8967" width="5" customWidth="1"/>
    <col min="8968" max="8970" width="7.140625" customWidth="1"/>
    <col min="8971" max="8971" width="5" customWidth="1"/>
    <col min="8972" max="8974" width="7.140625" customWidth="1"/>
    <col min="9219" max="9219" width="33.140625" bestFit="1" customWidth="1"/>
    <col min="9220" max="9222" width="7.140625" customWidth="1"/>
    <col min="9223" max="9223" width="5" customWidth="1"/>
    <col min="9224" max="9226" width="7.140625" customWidth="1"/>
    <col min="9227" max="9227" width="5" customWidth="1"/>
    <col min="9228" max="9230" width="7.140625" customWidth="1"/>
    <col min="9475" max="9475" width="33.140625" bestFit="1" customWidth="1"/>
    <col min="9476" max="9478" width="7.140625" customWidth="1"/>
    <col min="9479" max="9479" width="5" customWidth="1"/>
    <col min="9480" max="9482" width="7.140625" customWidth="1"/>
    <col min="9483" max="9483" width="5" customWidth="1"/>
    <col min="9484" max="9486" width="7.140625" customWidth="1"/>
    <col min="9731" max="9731" width="33.140625" bestFit="1" customWidth="1"/>
    <col min="9732" max="9734" width="7.140625" customWidth="1"/>
    <col min="9735" max="9735" width="5" customWidth="1"/>
    <col min="9736" max="9738" width="7.140625" customWidth="1"/>
    <col min="9739" max="9739" width="5" customWidth="1"/>
    <col min="9740" max="9742" width="7.140625" customWidth="1"/>
    <col min="9987" max="9987" width="33.140625" bestFit="1" customWidth="1"/>
    <col min="9988" max="9990" width="7.140625" customWidth="1"/>
    <col min="9991" max="9991" width="5" customWidth="1"/>
    <col min="9992" max="9994" width="7.140625" customWidth="1"/>
    <col min="9995" max="9995" width="5" customWidth="1"/>
    <col min="9996" max="9998" width="7.140625" customWidth="1"/>
    <col min="10243" max="10243" width="33.140625" bestFit="1" customWidth="1"/>
    <col min="10244" max="10246" width="7.140625" customWidth="1"/>
    <col min="10247" max="10247" width="5" customWidth="1"/>
    <col min="10248" max="10250" width="7.140625" customWidth="1"/>
    <col min="10251" max="10251" width="5" customWidth="1"/>
    <col min="10252" max="10254" width="7.140625" customWidth="1"/>
    <col min="10499" max="10499" width="33.140625" bestFit="1" customWidth="1"/>
    <col min="10500" max="10502" width="7.140625" customWidth="1"/>
    <col min="10503" max="10503" width="5" customWidth="1"/>
    <col min="10504" max="10506" width="7.140625" customWidth="1"/>
    <col min="10507" max="10507" width="5" customWidth="1"/>
    <col min="10508" max="10510" width="7.140625" customWidth="1"/>
    <col min="10755" max="10755" width="33.140625" bestFit="1" customWidth="1"/>
    <col min="10756" max="10758" width="7.140625" customWidth="1"/>
    <col min="10759" max="10759" width="5" customWidth="1"/>
    <col min="10760" max="10762" width="7.140625" customWidth="1"/>
    <col min="10763" max="10763" width="5" customWidth="1"/>
    <col min="10764" max="10766" width="7.140625" customWidth="1"/>
    <col min="11011" max="11011" width="33.140625" bestFit="1" customWidth="1"/>
    <col min="11012" max="11014" width="7.140625" customWidth="1"/>
    <col min="11015" max="11015" width="5" customWidth="1"/>
    <col min="11016" max="11018" width="7.140625" customWidth="1"/>
    <col min="11019" max="11019" width="5" customWidth="1"/>
    <col min="11020" max="11022" width="7.140625" customWidth="1"/>
    <col min="11267" max="11267" width="33.140625" bestFit="1" customWidth="1"/>
    <col min="11268" max="11270" width="7.140625" customWidth="1"/>
    <col min="11271" max="11271" width="5" customWidth="1"/>
    <col min="11272" max="11274" width="7.140625" customWidth="1"/>
    <col min="11275" max="11275" width="5" customWidth="1"/>
    <col min="11276" max="11278" width="7.140625" customWidth="1"/>
    <col min="11523" max="11523" width="33.140625" bestFit="1" customWidth="1"/>
    <col min="11524" max="11526" width="7.140625" customWidth="1"/>
    <col min="11527" max="11527" width="5" customWidth="1"/>
    <col min="11528" max="11530" width="7.140625" customWidth="1"/>
    <col min="11531" max="11531" width="5" customWidth="1"/>
    <col min="11532" max="11534" width="7.140625" customWidth="1"/>
    <col min="11779" max="11779" width="33.140625" bestFit="1" customWidth="1"/>
    <col min="11780" max="11782" width="7.140625" customWidth="1"/>
    <col min="11783" max="11783" width="5" customWidth="1"/>
    <col min="11784" max="11786" width="7.140625" customWidth="1"/>
    <col min="11787" max="11787" width="5" customWidth="1"/>
    <col min="11788" max="11790" width="7.140625" customWidth="1"/>
    <col min="12035" max="12035" width="33.140625" bestFit="1" customWidth="1"/>
    <col min="12036" max="12038" width="7.140625" customWidth="1"/>
    <col min="12039" max="12039" width="5" customWidth="1"/>
    <col min="12040" max="12042" width="7.140625" customWidth="1"/>
    <col min="12043" max="12043" width="5" customWidth="1"/>
    <col min="12044" max="12046" width="7.140625" customWidth="1"/>
    <col min="12291" max="12291" width="33.140625" bestFit="1" customWidth="1"/>
    <col min="12292" max="12294" width="7.140625" customWidth="1"/>
    <col min="12295" max="12295" width="5" customWidth="1"/>
    <col min="12296" max="12298" width="7.140625" customWidth="1"/>
    <col min="12299" max="12299" width="5" customWidth="1"/>
    <col min="12300" max="12302" width="7.140625" customWidth="1"/>
    <col min="12547" max="12547" width="33.140625" bestFit="1" customWidth="1"/>
    <col min="12548" max="12550" width="7.140625" customWidth="1"/>
    <col min="12551" max="12551" width="5" customWidth="1"/>
    <col min="12552" max="12554" width="7.140625" customWidth="1"/>
    <col min="12555" max="12555" width="5" customWidth="1"/>
    <col min="12556" max="12558" width="7.140625" customWidth="1"/>
    <col min="12803" max="12803" width="33.140625" bestFit="1" customWidth="1"/>
    <col min="12804" max="12806" width="7.140625" customWidth="1"/>
    <col min="12807" max="12807" width="5" customWidth="1"/>
    <col min="12808" max="12810" width="7.140625" customWidth="1"/>
    <col min="12811" max="12811" width="5" customWidth="1"/>
    <col min="12812" max="12814" width="7.140625" customWidth="1"/>
    <col min="13059" max="13059" width="33.140625" bestFit="1" customWidth="1"/>
    <col min="13060" max="13062" width="7.140625" customWidth="1"/>
    <col min="13063" max="13063" width="5" customWidth="1"/>
    <col min="13064" max="13066" width="7.140625" customWidth="1"/>
    <col min="13067" max="13067" width="5" customWidth="1"/>
    <col min="13068" max="13070" width="7.140625" customWidth="1"/>
    <col min="13315" max="13315" width="33.140625" bestFit="1" customWidth="1"/>
    <col min="13316" max="13318" width="7.140625" customWidth="1"/>
    <col min="13319" max="13319" width="5" customWidth="1"/>
    <col min="13320" max="13322" width="7.140625" customWidth="1"/>
    <col min="13323" max="13323" width="5" customWidth="1"/>
    <col min="13324" max="13326" width="7.140625" customWidth="1"/>
    <col min="13571" max="13571" width="33.140625" bestFit="1" customWidth="1"/>
    <col min="13572" max="13574" width="7.140625" customWidth="1"/>
    <col min="13575" max="13575" width="5" customWidth="1"/>
    <col min="13576" max="13578" width="7.140625" customWidth="1"/>
    <col min="13579" max="13579" width="5" customWidth="1"/>
    <col min="13580" max="13582" width="7.140625" customWidth="1"/>
    <col min="13827" max="13827" width="33.140625" bestFit="1" customWidth="1"/>
    <col min="13828" max="13830" width="7.140625" customWidth="1"/>
    <col min="13831" max="13831" width="5" customWidth="1"/>
    <col min="13832" max="13834" width="7.140625" customWidth="1"/>
    <col min="13835" max="13835" width="5" customWidth="1"/>
    <col min="13836" max="13838" width="7.140625" customWidth="1"/>
    <col min="14083" max="14083" width="33.140625" bestFit="1" customWidth="1"/>
    <col min="14084" max="14086" width="7.140625" customWidth="1"/>
    <col min="14087" max="14087" width="5" customWidth="1"/>
    <col min="14088" max="14090" width="7.140625" customWidth="1"/>
    <col min="14091" max="14091" width="5" customWidth="1"/>
    <col min="14092" max="14094" width="7.140625" customWidth="1"/>
    <col min="14339" max="14339" width="33.140625" bestFit="1" customWidth="1"/>
    <col min="14340" max="14342" width="7.140625" customWidth="1"/>
    <col min="14343" max="14343" width="5" customWidth="1"/>
    <col min="14344" max="14346" width="7.140625" customWidth="1"/>
    <col min="14347" max="14347" width="5" customWidth="1"/>
    <col min="14348" max="14350" width="7.140625" customWidth="1"/>
    <col min="14595" max="14595" width="33.140625" bestFit="1" customWidth="1"/>
    <col min="14596" max="14598" width="7.140625" customWidth="1"/>
    <col min="14599" max="14599" width="5" customWidth="1"/>
    <col min="14600" max="14602" width="7.140625" customWidth="1"/>
    <col min="14603" max="14603" width="5" customWidth="1"/>
    <col min="14604" max="14606" width="7.140625" customWidth="1"/>
    <col min="14851" max="14851" width="33.140625" bestFit="1" customWidth="1"/>
    <col min="14852" max="14854" width="7.140625" customWidth="1"/>
    <col min="14855" max="14855" width="5" customWidth="1"/>
    <col min="14856" max="14858" width="7.140625" customWidth="1"/>
    <col min="14859" max="14859" width="5" customWidth="1"/>
    <col min="14860" max="14862" width="7.140625" customWidth="1"/>
    <col min="15107" max="15107" width="33.140625" bestFit="1" customWidth="1"/>
    <col min="15108" max="15110" width="7.140625" customWidth="1"/>
    <col min="15111" max="15111" width="5" customWidth="1"/>
    <col min="15112" max="15114" width="7.140625" customWidth="1"/>
    <col min="15115" max="15115" width="5" customWidth="1"/>
    <col min="15116" max="15118" width="7.140625" customWidth="1"/>
    <col min="15363" max="15363" width="33.140625" bestFit="1" customWidth="1"/>
    <col min="15364" max="15366" width="7.140625" customWidth="1"/>
    <col min="15367" max="15367" width="5" customWidth="1"/>
    <col min="15368" max="15370" width="7.140625" customWidth="1"/>
    <col min="15371" max="15371" width="5" customWidth="1"/>
    <col min="15372" max="15374" width="7.140625" customWidth="1"/>
    <col min="15619" max="15619" width="33.140625" bestFit="1" customWidth="1"/>
    <col min="15620" max="15622" width="7.140625" customWidth="1"/>
    <col min="15623" max="15623" width="5" customWidth="1"/>
    <col min="15624" max="15626" width="7.140625" customWidth="1"/>
    <col min="15627" max="15627" width="5" customWidth="1"/>
    <col min="15628" max="15630" width="7.140625" customWidth="1"/>
    <col min="15875" max="15875" width="33.140625" bestFit="1" customWidth="1"/>
    <col min="15876" max="15878" width="7.140625" customWidth="1"/>
    <col min="15879" max="15879" width="5" customWidth="1"/>
    <col min="15880" max="15882" width="7.140625" customWidth="1"/>
    <col min="15883" max="15883" width="5" customWidth="1"/>
    <col min="15884" max="15886" width="7.140625" customWidth="1"/>
    <col min="16131" max="16131" width="33.140625" bestFit="1" customWidth="1"/>
    <col min="16132" max="16134" width="7.140625" customWidth="1"/>
    <col min="16135" max="16135" width="5" customWidth="1"/>
    <col min="16136" max="16138" width="7.140625" customWidth="1"/>
    <col min="16139" max="16139" width="5" customWidth="1"/>
    <col min="16140" max="16142" width="7.140625" customWidth="1"/>
  </cols>
  <sheetData>
    <row r="1" spans="1:23" ht="15.75" x14ac:dyDescent="0.25">
      <c r="A1" s="19" t="str">
        <f>CONCATENATE("Industry and Occupation Table 2  Occupation composition (SOC2020) by employment status, ",B$6,"-",L$6,", ",Info!B5)</f>
        <v>Industry and Occupation Table 2  Occupation composition (SOC2020) by employment status, 2015-2035, Greater Lincolnshire</v>
      </c>
    </row>
    <row r="2" spans="1:23" x14ac:dyDescent="0.2">
      <c r="A2" s="258" t="s">
        <v>516</v>
      </c>
    </row>
    <row r="4" spans="1:23" x14ac:dyDescent="0.2">
      <c r="O4" s="251" t="s">
        <v>36</v>
      </c>
    </row>
    <row r="5" spans="1:23" s="258" customFormat="1" x14ac:dyDescent="0.2">
      <c r="A5" s="242"/>
      <c r="B5" s="242"/>
      <c r="C5" s="242"/>
      <c r="D5" s="242"/>
      <c r="E5" s="242"/>
      <c r="F5" s="242"/>
      <c r="G5" s="242"/>
      <c r="H5" s="242"/>
      <c r="I5" s="242"/>
      <c r="J5" s="242"/>
      <c r="K5" s="242"/>
      <c r="L5" s="242"/>
      <c r="M5" s="242"/>
      <c r="N5" s="242"/>
    </row>
    <row r="6" spans="1:23" s="258" customFormat="1" x14ac:dyDescent="0.2">
      <c r="A6" s="241" t="s">
        <v>0</v>
      </c>
      <c r="B6" s="375">
        <v>2015</v>
      </c>
      <c r="C6" s="375"/>
      <c r="D6" s="375"/>
      <c r="E6" s="375"/>
      <c r="F6" s="246"/>
      <c r="G6" s="375">
        <v>2020</v>
      </c>
      <c r="H6" s="375"/>
      <c r="I6" s="375"/>
      <c r="J6" s="375"/>
      <c r="K6" s="278"/>
      <c r="L6" s="375">
        <v>2035</v>
      </c>
      <c r="M6" s="375"/>
      <c r="N6" s="375"/>
      <c r="O6" s="375"/>
      <c r="S6" s="279"/>
      <c r="T6" s="279"/>
      <c r="U6" s="279"/>
      <c r="V6" s="279"/>
      <c r="W6" s="279"/>
    </row>
    <row r="7" spans="1:23" s="258" customFormat="1" x14ac:dyDescent="0.2">
      <c r="A7" s="252"/>
      <c r="B7" s="268" t="str">
        <f>name!$J$5</f>
        <v>FT</v>
      </c>
      <c r="C7" s="268" t="str">
        <f>name!$J$6</f>
        <v>PT</v>
      </c>
      <c r="D7" s="268" t="str">
        <f>name!$J$4</f>
        <v>SE</v>
      </c>
      <c r="E7" s="268" t="s">
        <v>33</v>
      </c>
      <c r="F7" s="280"/>
      <c r="G7" s="268" t="str">
        <f>name!$J$5</f>
        <v>FT</v>
      </c>
      <c r="H7" s="268" t="str">
        <f>name!$J$6</f>
        <v>PT</v>
      </c>
      <c r="I7" s="268" t="str">
        <f>name!$J$4</f>
        <v>SE</v>
      </c>
      <c r="J7" s="268" t="s">
        <v>33</v>
      </c>
      <c r="K7" s="280"/>
      <c r="L7" s="268" t="str">
        <f>name!$J$5</f>
        <v>FT</v>
      </c>
      <c r="M7" s="268" t="str">
        <f>name!$J$6</f>
        <v>PT</v>
      </c>
      <c r="N7" s="268" t="str">
        <f>name!$J$4</f>
        <v>SE</v>
      </c>
      <c r="O7" s="268" t="s">
        <v>33</v>
      </c>
      <c r="T7" s="281"/>
      <c r="V7" s="281"/>
    </row>
    <row r="8" spans="1:23" s="236" customFormat="1" x14ac:dyDescent="0.2">
      <c r="B8" s="239"/>
      <c r="C8" s="239"/>
      <c r="D8" s="239"/>
      <c r="E8" s="239"/>
      <c r="F8" s="239"/>
      <c r="G8" s="239"/>
      <c r="H8" s="239"/>
      <c r="I8" s="239"/>
      <c r="J8" s="239"/>
      <c r="K8" s="239"/>
      <c r="L8" s="239"/>
      <c r="M8" s="239"/>
      <c r="N8" s="239"/>
      <c r="O8" s="239"/>
      <c r="T8" s="249"/>
      <c r="V8" s="249"/>
    </row>
    <row r="9" spans="1:23" s="236" customFormat="1" x14ac:dyDescent="0.2">
      <c r="A9" s="237" t="str">
        <f>name!E$4</f>
        <v>Managers, directors and senior officials</v>
      </c>
      <c r="B9" s="249">
        <f>SUM(B26,B43,B60,B77,B94,B111,B128,B145,B162,B179,B196,B213,B230,B247,B264,B281,B298,B315,B332,B349,B366,B383)</f>
        <v>32.124888949738413</v>
      </c>
      <c r="C9" s="249">
        <f t="shared" ref="C9:D9" si="0">SUM(C26,C43,C60,C77,C94,C111,C128,C145,C162,C179,C196,C213,C230,C247,C264,C281,C298,C315,C332,C349,C366,C383)</f>
        <v>4.9053751487387558</v>
      </c>
      <c r="D9" s="249">
        <f t="shared" si="0"/>
        <v>8.7003310780554681</v>
      </c>
      <c r="E9" s="249">
        <f>SUM(B9:D9)</f>
        <v>45.730595176532638</v>
      </c>
      <c r="F9" s="238"/>
      <c r="G9" s="249">
        <f>SUM(G26,G43,G60,G77,G94,G111,G128,G145,G162,G179,G196,G213,G230,G247,G264,G281,G298,G315,G332,G349,G366,G383)</f>
        <v>37.225648474060954</v>
      </c>
      <c r="H9" s="249">
        <f t="shared" ref="H9:I9" si="1">SUM(H26,H43,H60,H77,H94,H111,H128,H145,H162,H179,H196,H213,H230,H247,H264,H281,H298,H315,H332,H349,H366,H383)</f>
        <v>7.3570171524071277</v>
      </c>
      <c r="I9" s="249">
        <f t="shared" si="1"/>
        <v>10.325621311637761</v>
      </c>
      <c r="J9" s="249">
        <f>SUM(G9:I9)</f>
        <v>54.908286938105846</v>
      </c>
      <c r="K9" s="238"/>
      <c r="L9" s="249">
        <f>SUM(L26,L43,L60,L77,L94,L111,L128,L145,L162,L179,L196,L213,L230,L247,L264,L281,L298,L315,L332,L349,L366,L383)</f>
        <v>35.846534080045586</v>
      </c>
      <c r="M9" s="249">
        <f t="shared" ref="M9:N9" si="2">SUM(M26,M43,M60,M77,M94,M111,M128,M145,M162,M179,M196,M213,M230,M247,M264,M281,M298,M315,M332,M349,M366,M383)</f>
        <v>8.4980014784967963</v>
      </c>
      <c r="N9" s="249">
        <f t="shared" si="2"/>
        <v>11.59897204146303</v>
      </c>
      <c r="O9" s="249">
        <f>SUM(L9:N9)</f>
        <v>55.943507600005411</v>
      </c>
      <c r="T9" s="249"/>
      <c r="V9" s="249"/>
    </row>
    <row r="10" spans="1:23" s="236" customFormat="1" x14ac:dyDescent="0.2">
      <c r="A10" s="237" t="str">
        <f>name!E$5</f>
        <v>Professional occupations</v>
      </c>
      <c r="B10" s="249">
        <f t="shared" ref="B10:D17" si="3">SUM(B27,B44,B61,B78,B95,B112,B129,B146,B163,B180,B197,B214,B231,B248,B265,B282,B299,B316,B333,B350,B367,B384)</f>
        <v>58.12350486014013</v>
      </c>
      <c r="C10" s="249">
        <f t="shared" si="3"/>
        <v>15.900537310882408</v>
      </c>
      <c r="D10" s="249">
        <f t="shared" si="3"/>
        <v>10.124018229446218</v>
      </c>
      <c r="E10" s="249">
        <f t="shared" ref="E10:E17" si="4">SUM(B10:D10)</f>
        <v>84.148060400468765</v>
      </c>
      <c r="F10" s="238"/>
      <c r="G10" s="249">
        <f t="shared" ref="G10:I10" si="5">SUM(G27,G44,G61,G78,G95,G112,G129,G146,G163,G180,G197,G214,G231,G248,G265,G282,G299,G316,G333,G350,G367,G384)</f>
        <v>70.479574950972676</v>
      </c>
      <c r="H10" s="249">
        <f t="shared" si="5"/>
        <v>19.730882024390024</v>
      </c>
      <c r="I10" s="249">
        <f t="shared" si="5"/>
        <v>10.542771536744469</v>
      </c>
      <c r="J10" s="249">
        <f t="shared" ref="J10:J17" si="6">SUM(G10:I10)</f>
        <v>100.75322851210717</v>
      </c>
      <c r="K10" s="238"/>
      <c r="L10" s="249">
        <f t="shared" ref="L10:N10" si="7">SUM(L27,L44,L61,L78,L95,L112,L129,L146,L163,L180,L197,L214,L231,L248,L265,L282,L299,L316,L333,L350,L367,L384)</f>
        <v>83.956084220305385</v>
      </c>
      <c r="M10" s="249">
        <f t="shared" si="7"/>
        <v>22.793245072244531</v>
      </c>
      <c r="N10" s="249">
        <f t="shared" si="7"/>
        <v>10.521389809716553</v>
      </c>
      <c r="O10" s="249">
        <f t="shared" ref="O10:O17" si="8">SUM(L10:N10)</f>
        <v>117.27071910226647</v>
      </c>
      <c r="T10" s="249"/>
      <c r="V10" s="249"/>
    </row>
    <row r="11" spans="1:23" s="236" customFormat="1" x14ac:dyDescent="0.2">
      <c r="A11" s="237" t="str">
        <f>name!E$6</f>
        <v>Associate professional occupations</v>
      </c>
      <c r="B11" s="249">
        <f t="shared" si="3"/>
        <v>36.118675160658675</v>
      </c>
      <c r="C11" s="249">
        <f t="shared" si="3"/>
        <v>10.705973587826122</v>
      </c>
      <c r="D11" s="249">
        <f t="shared" si="3"/>
        <v>7.1022367010167349</v>
      </c>
      <c r="E11" s="249">
        <f t="shared" si="4"/>
        <v>53.926885449501533</v>
      </c>
      <c r="F11" s="238"/>
      <c r="G11" s="249">
        <f t="shared" ref="G11:I11" si="9">SUM(G28,G45,G62,G79,G96,G113,G130,G147,G164,G181,G198,G215,G232,G249,G266,G283,G300,G317,G334,G351,G368,G385)</f>
        <v>41.992424633138782</v>
      </c>
      <c r="H11" s="249">
        <f t="shared" si="9"/>
        <v>12.580887846045345</v>
      </c>
      <c r="I11" s="249">
        <f t="shared" si="9"/>
        <v>6.8640606669631792</v>
      </c>
      <c r="J11" s="249">
        <f t="shared" si="6"/>
        <v>61.437373146147301</v>
      </c>
      <c r="K11" s="238"/>
      <c r="L11" s="249">
        <f t="shared" ref="L11:N11" si="10">SUM(L28,L45,L62,L79,L96,L113,L130,L147,L164,L181,L198,L215,L232,L249,L266,L283,L300,L317,L334,L351,L368,L385)</f>
        <v>47.261335947228098</v>
      </c>
      <c r="M11" s="249">
        <f t="shared" si="10"/>
        <v>15.512393782385566</v>
      </c>
      <c r="N11" s="249">
        <f t="shared" si="10"/>
        <v>7.0251764354693602</v>
      </c>
      <c r="O11" s="249">
        <f t="shared" si="8"/>
        <v>69.798906165083025</v>
      </c>
      <c r="T11" s="249"/>
      <c r="V11" s="249"/>
    </row>
    <row r="12" spans="1:23" s="236" customFormat="1" x14ac:dyDescent="0.2">
      <c r="A12" s="237" t="str">
        <f>name!E$7</f>
        <v>Administrative and secretarial occupations</v>
      </c>
      <c r="B12" s="249">
        <f t="shared" si="3"/>
        <v>27.988936505406876</v>
      </c>
      <c r="C12" s="249">
        <f t="shared" si="3"/>
        <v>21.360782583280649</v>
      </c>
      <c r="D12" s="249">
        <f t="shared" si="3"/>
        <v>2.0166913563954139</v>
      </c>
      <c r="E12" s="249">
        <f t="shared" si="4"/>
        <v>51.366410445082934</v>
      </c>
      <c r="F12" s="238"/>
      <c r="G12" s="249">
        <f t="shared" ref="G12:I12" si="11">SUM(G29,G46,G63,G80,G97,G114,G131,G148,G165,G182,G199,G216,G233,G250,G267,G284,G301,G318,G335,G352,G369,G386)</f>
        <v>28.565021692605075</v>
      </c>
      <c r="H12" s="249">
        <f t="shared" si="11"/>
        <v>20.400057326964518</v>
      </c>
      <c r="I12" s="249">
        <f t="shared" si="11"/>
        <v>2.187061392486723</v>
      </c>
      <c r="J12" s="249">
        <f t="shared" si="6"/>
        <v>51.152140412056319</v>
      </c>
      <c r="K12" s="238"/>
      <c r="L12" s="249">
        <f t="shared" ref="L12:N12" si="12">SUM(L29,L46,L63,L80,L97,L114,L131,L148,L165,L182,L199,L216,L233,L250,L267,L284,L301,L318,L335,L352,L369,L386)</f>
        <v>28.309049124706576</v>
      </c>
      <c r="M12" s="249">
        <f t="shared" si="12"/>
        <v>17.8299454788514</v>
      </c>
      <c r="N12" s="249">
        <f t="shared" si="12"/>
        <v>2.0376316857663079</v>
      </c>
      <c r="O12" s="249">
        <f t="shared" si="8"/>
        <v>48.176626289324282</v>
      </c>
      <c r="T12" s="249"/>
      <c r="V12" s="249"/>
    </row>
    <row r="13" spans="1:23" s="236" customFormat="1" x14ac:dyDescent="0.2">
      <c r="A13" s="237" t="str">
        <f>name!E$8</f>
        <v>Skilled trades occupations</v>
      </c>
      <c r="B13" s="249">
        <f t="shared" si="3"/>
        <v>32.216209317291614</v>
      </c>
      <c r="C13" s="249">
        <f t="shared" si="3"/>
        <v>6.0536797029093572</v>
      </c>
      <c r="D13" s="249">
        <f t="shared" si="3"/>
        <v>17.302178982903428</v>
      </c>
      <c r="E13" s="249">
        <f t="shared" si="4"/>
        <v>55.572068003104398</v>
      </c>
      <c r="F13" s="238"/>
      <c r="G13" s="249">
        <f t="shared" ref="G13:I13" si="13">SUM(G30,G47,G64,G81,G98,G115,G132,G149,G166,G183,G200,G217,G234,G251,G268,G285,G302,G319,G336,G353,G370,G387)</f>
        <v>28.235574721845374</v>
      </c>
      <c r="H13" s="249">
        <f t="shared" si="13"/>
        <v>4.7166505579875775</v>
      </c>
      <c r="I13" s="249">
        <f t="shared" si="13"/>
        <v>15.580715667550214</v>
      </c>
      <c r="J13" s="249">
        <f t="shared" si="6"/>
        <v>48.532940947383167</v>
      </c>
      <c r="K13" s="238"/>
      <c r="L13" s="249">
        <f t="shared" ref="L13:N13" si="14">SUM(L30,L47,L64,L81,L98,L115,L132,L149,L166,L183,L200,L217,L234,L251,L268,L285,L302,L319,L336,L353,L370,L387)</f>
        <v>22.887355037126536</v>
      </c>
      <c r="M13" s="249">
        <f t="shared" si="14"/>
        <v>5.1853532036394316</v>
      </c>
      <c r="N13" s="249">
        <f t="shared" si="14"/>
        <v>15.162182180625612</v>
      </c>
      <c r="O13" s="249">
        <f t="shared" si="8"/>
        <v>43.234890421391583</v>
      </c>
      <c r="T13" s="249"/>
      <c r="V13" s="249"/>
    </row>
    <row r="14" spans="1:23" s="236" customFormat="1" x14ac:dyDescent="0.2">
      <c r="A14" s="237" t="str">
        <f>name!E$9</f>
        <v>Caring, leisure and other service occupations</v>
      </c>
      <c r="B14" s="249">
        <f t="shared" si="3"/>
        <v>25.456104414765022</v>
      </c>
      <c r="C14" s="249">
        <f t="shared" si="3"/>
        <v>25.478719641629116</v>
      </c>
      <c r="D14" s="249">
        <f t="shared" si="3"/>
        <v>4.2863507505297669</v>
      </c>
      <c r="E14" s="249">
        <f t="shared" si="4"/>
        <v>55.221174806923898</v>
      </c>
      <c r="F14" s="238"/>
      <c r="G14" s="249">
        <f t="shared" ref="G14:I14" si="15">SUM(G31,G48,G65,G82,G99,G116,G133,G150,G167,G184,G201,G218,G235,G252,G269,G286,G303,G320,G337,G354,G371,G388)</f>
        <v>25.732028012790355</v>
      </c>
      <c r="H14" s="249">
        <f t="shared" si="15"/>
        <v>24.721241766096707</v>
      </c>
      <c r="I14" s="249">
        <f t="shared" si="15"/>
        <v>6.3932282418016104</v>
      </c>
      <c r="J14" s="249">
        <f t="shared" si="6"/>
        <v>56.846498020688671</v>
      </c>
      <c r="K14" s="238"/>
      <c r="L14" s="249">
        <f t="shared" ref="L14:N14" si="16">SUM(L31,L48,L65,L82,L99,L116,L133,L150,L167,L184,L201,L218,L235,L252,L269,L286,L303,L320,L337,L354,L371,L388)</f>
        <v>29.200979976455063</v>
      </c>
      <c r="M14" s="249">
        <f t="shared" si="16"/>
        <v>24.179065808602179</v>
      </c>
      <c r="N14" s="249">
        <f t="shared" si="16"/>
        <v>7.047600431922822</v>
      </c>
      <c r="O14" s="249">
        <f t="shared" si="8"/>
        <v>60.427646216980065</v>
      </c>
      <c r="T14" s="249"/>
      <c r="V14" s="249"/>
    </row>
    <row r="15" spans="1:23" s="236" customFormat="1" x14ac:dyDescent="0.2">
      <c r="A15" s="237" t="str">
        <f>name!E$10</f>
        <v>Sales and customer service occupations</v>
      </c>
      <c r="B15" s="249">
        <f t="shared" si="3"/>
        <v>16.086824105270992</v>
      </c>
      <c r="C15" s="249">
        <f t="shared" si="3"/>
        <v>27.091104894006445</v>
      </c>
      <c r="D15" s="249">
        <f t="shared" si="3"/>
        <v>3.1901431714171786</v>
      </c>
      <c r="E15" s="249">
        <f t="shared" si="4"/>
        <v>46.368072170694617</v>
      </c>
      <c r="F15" s="238"/>
      <c r="G15" s="249">
        <f t="shared" ref="G15:I15" si="17">SUM(G32,G49,G66,G83,G100,G117,G134,G151,G168,G185,G202,G219,G236,G253,G270,G287,G304,G321,G338,G355,G372,G389)</f>
        <v>14.325266904666783</v>
      </c>
      <c r="H15" s="249">
        <f t="shared" si="17"/>
        <v>26.030095951398149</v>
      </c>
      <c r="I15" s="249">
        <f t="shared" si="17"/>
        <v>2.4721109847399791</v>
      </c>
      <c r="J15" s="249">
        <f t="shared" si="6"/>
        <v>42.827473840804906</v>
      </c>
      <c r="K15" s="238"/>
      <c r="L15" s="249">
        <f t="shared" ref="L15:N15" si="18">SUM(L32,L49,L66,L83,L100,L117,L134,L151,L168,L185,L202,L219,L236,L253,L270,L287,L304,L321,L338,L355,L372,L389)</f>
        <v>13.569735353427451</v>
      </c>
      <c r="M15" s="249">
        <f t="shared" si="18"/>
        <v>27.023587556748627</v>
      </c>
      <c r="N15" s="249">
        <f t="shared" si="18"/>
        <v>1.9281752292118681</v>
      </c>
      <c r="O15" s="249">
        <f t="shared" si="8"/>
        <v>42.521498139387944</v>
      </c>
      <c r="T15" s="249"/>
      <c r="V15" s="249"/>
    </row>
    <row r="16" spans="1:23" s="236" customFormat="1" x14ac:dyDescent="0.2">
      <c r="A16" s="237" t="str">
        <f>name!E$11</f>
        <v>Process, plant and machine operatives</v>
      </c>
      <c r="B16" s="249">
        <f t="shared" si="3"/>
        <v>34.619754303789918</v>
      </c>
      <c r="C16" s="249">
        <f t="shared" si="3"/>
        <v>5.8071346046203605</v>
      </c>
      <c r="D16" s="249">
        <f t="shared" si="3"/>
        <v>4.2949232058574323</v>
      </c>
      <c r="E16" s="249">
        <f t="shared" si="4"/>
        <v>44.721812114267706</v>
      </c>
      <c r="F16" s="238"/>
      <c r="G16" s="249">
        <f t="shared" ref="G16:I16" si="19">SUM(G33,G50,G67,G84,G101,G118,G135,G152,G169,G186,G203,G220,G237,G254,G271,G288,G305,G322,G339,G356,G373,G390)</f>
        <v>29.605475572804075</v>
      </c>
      <c r="H16" s="249">
        <f t="shared" si="19"/>
        <v>6.7671141195373314</v>
      </c>
      <c r="I16" s="249">
        <f t="shared" si="19"/>
        <v>5.1564790709190937</v>
      </c>
      <c r="J16" s="249">
        <f t="shared" si="6"/>
        <v>41.529068763260497</v>
      </c>
      <c r="K16" s="238"/>
      <c r="L16" s="249">
        <f t="shared" ref="L16:N16" si="20">SUM(L33,L50,L67,L84,L101,L118,L135,L152,L169,L186,L203,L220,L237,L254,L271,L288,L305,L322,L339,L356,L373,L390)</f>
        <v>25.884173866391105</v>
      </c>
      <c r="M16" s="249">
        <f t="shared" si="20"/>
        <v>7.5933719142959522</v>
      </c>
      <c r="N16" s="249">
        <f t="shared" si="20"/>
        <v>5.782976327916872</v>
      </c>
      <c r="O16" s="249">
        <f t="shared" si="8"/>
        <v>39.260522108603929</v>
      </c>
      <c r="T16" s="249"/>
      <c r="V16" s="249"/>
    </row>
    <row r="17" spans="1:15" s="236" customFormat="1" x14ac:dyDescent="0.2">
      <c r="A17" s="237" t="str">
        <f>name!E$12</f>
        <v>Elementary occupations</v>
      </c>
      <c r="B17" s="249">
        <f t="shared" si="3"/>
        <v>31.606342166911585</v>
      </c>
      <c r="C17" s="249">
        <f t="shared" si="3"/>
        <v>29.545115592858295</v>
      </c>
      <c r="D17" s="249">
        <f t="shared" si="3"/>
        <v>3.3984636736536946</v>
      </c>
      <c r="E17" s="249">
        <f t="shared" si="4"/>
        <v>64.549921433423577</v>
      </c>
      <c r="F17" s="238"/>
      <c r="G17" s="249">
        <f t="shared" ref="G17:I17" si="21">SUM(G34,G51,G68,G85,G102,G119,G136,G153,G170,G187,G204,G221,G238,G255,G272,G289,G306,G323,G340,G357,G374,G391)</f>
        <v>27.052054550187599</v>
      </c>
      <c r="H17" s="249">
        <f t="shared" si="21"/>
        <v>26.52546201400634</v>
      </c>
      <c r="I17" s="249">
        <f t="shared" si="21"/>
        <v>3.2804728552524298</v>
      </c>
      <c r="J17" s="249">
        <f t="shared" si="6"/>
        <v>56.857989419446369</v>
      </c>
      <c r="K17" s="238"/>
      <c r="L17" s="249">
        <f t="shared" ref="L17:N17" si="22">SUM(L34,L51,L68,L85,L102,L119,L136,L153,L170,L187,L204,L221,L238,L255,L272,L289,L306,L323,L340,L357,L374,L391)</f>
        <v>29.775462458490651</v>
      </c>
      <c r="M17" s="249">
        <f t="shared" si="22"/>
        <v>22.148004356991585</v>
      </c>
      <c r="N17" s="249">
        <f t="shared" si="22"/>
        <v>4.3542171414752149</v>
      </c>
      <c r="O17" s="249">
        <f t="shared" si="8"/>
        <v>56.277683956957453</v>
      </c>
    </row>
    <row r="18" spans="1:15" s="236" customFormat="1" x14ac:dyDescent="0.2">
      <c r="A18" s="237"/>
      <c r="B18" s="249"/>
      <c r="C18" s="249"/>
      <c r="D18" s="249"/>
      <c r="E18" s="249"/>
      <c r="F18" s="238"/>
      <c r="G18" s="249"/>
      <c r="H18" s="249"/>
      <c r="I18" s="249"/>
      <c r="J18" s="249"/>
      <c r="K18" s="238"/>
      <c r="L18" s="249"/>
      <c r="M18" s="249"/>
      <c r="N18" s="249"/>
      <c r="O18" s="249"/>
    </row>
    <row r="19" spans="1:15" s="236" customFormat="1" x14ac:dyDescent="0.2">
      <c r="A19" s="244" t="s">
        <v>33</v>
      </c>
      <c r="B19" s="247">
        <f>SUM(B9:B17)</f>
        <v>294.34123978397326</v>
      </c>
      <c r="C19" s="247">
        <f t="shared" ref="C19:O19" si="23">SUM(C9:C17)</f>
        <v>146.84842306675151</v>
      </c>
      <c r="D19" s="247">
        <f t="shared" si="23"/>
        <v>60.415337149275331</v>
      </c>
      <c r="E19" s="247">
        <f t="shared" si="23"/>
        <v>501.60500000000013</v>
      </c>
      <c r="F19" s="247"/>
      <c r="G19" s="247">
        <f t="shared" si="23"/>
        <v>303.21306951307173</v>
      </c>
      <c r="H19" s="247">
        <f t="shared" si="23"/>
        <v>148.82940875883313</v>
      </c>
      <c r="I19" s="247">
        <f t="shared" si="23"/>
        <v>62.802521728095456</v>
      </c>
      <c r="J19" s="247">
        <f t="shared" si="23"/>
        <v>514.84500000000025</v>
      </c>
      <c r="K19" s="247"/>
      <c r="L19" s="247">
        <f t="shared" si="23"/>
        <v>316.69071006417647</v>
      </c>
      <c r="M19" s="247">
        <f t="shared" si="23"/>
        <v>150.76296865225606</v>
      </c>
      <c r="N19" s="247">
        <f t="shared" si="23"/>
        <v>65.458321283567642</v>
      </c>
      <c r="O19" s="247">
        <f t="shared" si="23"/>
        <v>532.91200000000026</v>
      </c>
    </row>
    <row r="20" spans="1:15" s="236" customFormat="1" x14ac:dyDescent="0.2">
      <c r="A20" s="237"/>
      <c r="B20" s="238"/>
      <c r="C20" s="238"/>
      <c r="D20" s="238"/>
      <c r="E20" s="238"/>
      <c r="F20" s="238"/>
      <c r="G20" s="238"/>
      <c r="H20" s="238"/>
      <c r="I20" s="238"/>
      <c r="J20" s="238"/>
      <c r="K20" s="238"/>
      <c r="L20" s="238"/>
      <c r="M20" s="238"/>
      <c r="N20" s="239"/>
    </row>
    <row r="21" spans="1:15" s="236" customFormat="1" x14ac:dyDescent="0.2">
      <c r="A21" s="237"/>
      <c r="B21" s="237"/>
      <c r="C21" s="237"/>
      <c r="D21" s="237"/>
      <c r="E21" s="237"/>
      <c r="F21" s="237"/>
      <c r="G21" s="237"/>
      <c r="H21" s="237"/>
      <c r="I21" s="237"/>
      <c r="J21" s="237"/>
      <c r="K21" s="237"/>
      <c r="L21" s="237"/>
      <c r="M21" s="237"/>
      <c r="N21" s="240"/>
      <c r="O21" s="251" t="s">
        <v>36</v>
      </c>
    </row>
    <row r="22" spans="1:15" s="236" customFormat="1" x14ac:dyDescent="0.2">
      <c r="A22" s="242"/>
      <c r="B22" s="242"/>
      <c r="C22" s="242"/>
      <c r="D22" s="242"/>
      <c r="E22" s="242"/>
      <c r="F22" s="242"/>
      <c r="G22" s="242"/>
      <c r="H22" s="242"/>
      <c r="I22" s="242"/>
      <c r="J22" s="242"/>
      <c r="K22" s="242"/>
      <c r="L22" s="242"/>
      <c r="M22" s="242"/>
      <c r="N22" s="242"/>
      <c r="O22" s="242"/>
    </row>
    <row r="23" spans="1:15" s="236" customFormat="1" x14ac:dyDescent="0.2">
      <c r="A23" s="241" t="str">
        <f>name!B4</f>
        <v>Agriculture</v>
      </c>
      <c r="B23" s="377">
        <f>$B$6</f>
        <v>2015</v>
      </c>
      <c r="C23" s="377"/>
      <c r="D23" s="377"/>
      <c r="E23" s="377"/>
      <c r="F23" s="263"/>
      <c r="G23" s="377">
        <f>$G$6</f>
        <v>2020</v>
      </c>
      <c r="H23" s="377"/>
      <c r="I23" s="377"/>
      <c r="J23" s="377"/>
      <c r="K23" s="263"/>
      <c r="L23" s="377">
        <f>$L$6</f>
        <v>2035</v>
      </c>
      <c r="M23" s="377"/>
      <c r="N23" s="377"/>
      <c r="O23" s="377"/>
    </row>
    <row r="24" spans="1:15" s="236" customFormat="1" x14ac:dyDescent="0.2">
      <c r="A24" s="254"/>
      <c r="B24" s="268" t="str">
        <f>$B$7</f>
        <v>FT</v>
      </c>
      <c r="C24" s="268" t="str">
        <f>$C$7</f>
        <v>PT</v>
      </c>
      <c r="D24" s="268" t="str">
        <f>$D$7</f>
        <v>SE</v>
      </c>
      <c r="E24" s="268" t="str">
        <f>$E$7</f>
        <v>Total</v>
      </c>
      <c r="F24" s="268"/>
      <c r="G24" s="268" t="str">
        <f>$G$7</f>
        <v>FT</v>
      </c>
      <c r="H24" s="268" t="str">
        <f>$H$7</f>
        <v>PT</v>
      </c>
      <c r="I24" s="268" t="str">
        <f>$I$7</f>
        <v>SE</v>
      </c>
      <c r="J24" s="268" t="str">
        <f>$J$7</f>
        <v>Total</v>
      </c>
      <c r="K24" s="268"/>
      <c r="L24" s="268" t="str">
        <f>$L$7</f>
        <v>FT</v>
      </c>
      <c r="M24" s="268" t="str">
        <f>$M$7</f>
        <v>PT</v>
      </c>
      <c r="N24" s="268" t="str">
        <f>$N$7</f>
        <v>SE</v>
      </c>
      <c r="O24" s="268" t="str">
        <f>$O$7</f>
        <v>Total</v>
      </c>
    </row>
    <row r="25" spans="1:15" s="236" customFormat="1" x14ac:dyDescent="0.2">
      <c r="A25" s="258"/>
      <c r="B25" s="239"/>
      <c r="C25" s="239"/>
      <c r="D25" s="239"/>
      <c r="E25" s="239"/>
      <c r="F25" s="239"/>
      <c r="G25" s="239"/>
      <c r="H25" s="239"/>
      <c r="I25" s="239"/>
      <c r="J25" s="239"/>
      <c r="K25" s="239"/>
      <c r="L25" s="239"/>
      <c r="M25" s="239"/>
      <c r="N25" s="239"/>
      <c r="O25" s="239"/>
    </row>
    <row r="26" spans="1:15" s="236" customFormat="1" x14ac:dyDescent="0.2">
      <c r="A26" s="237" t="str">
        <f>name!E$4</f>
        <v>Managers, directors and senior officials</v>
      </c>
      <c r="B26" s="302">
        <v>0.59694445903900928</v>
      </c>
      <c r="C26" s="302">
        <v>0.18283454098903951</v>
      </c>
      <c r="D26" s="302">
        <v>0.10187367693601759</v>
      </c>
      <c r="E26" s="302">
        <f>SUM(B26:D26)</f>
        <v>0.88165267696406635</v>
      </c>
      <c r="F26" s="303"/>
      <c r="G26" s="302">
        <v>1.0944075400556459</v>
      </c>
      <c r="H26" s="302">
        <v>0.15695625251056328</v>
      </c>
      <c r="I26" s="302">
        <v>0.13162584541789921</v>
      </c>
      <c r="J26" s="302">
        <f>SUM(G26:I26)</f>
        <v>1.3829896379841082</v>
      </c>
      <c r="K26" s="303"/>
      <c r="L26" s="302">
        <v>1.323893143200761</v>
      </c>
      <c r="M26" s="302">
        <v>9.9293124289016987E-2</v>
      </c>
      <c r="N26" s="302">
        <v>0.12003779286488082</v>
      </c>
      <c r="O26" s="302">
        <f>SUM(L26:N26)</f>
        <v>1.5432240603546588</v>
      </c>
    </row>
    <row r="27" spans="1:15" s="236" customFormat="1" x14ac:dyDescent="0.2">
      <c r="A27" s="237" t="str">
        <f>name!E$5</f>
        <v>Professional occupations</v>
      </c>
      <c r="B27" s="302">
        <v>0.47013144764729525</v>
      </c>
      <c r="C27" s="302">
        <v>0.19685065098317672</v>
      </c>
      <c r="D27" s="302">
        <v>4.5448592260948779E-2</v>
      </c>
      <c r="E27" s="302">
        <f t="shared" ref="E27:E34" si="24">SUM(B27:D27)</f>
        <v>0.71243069089142075</v>
      </c>
      <c r="F27" s="303"/>
      <c r="G27" s="302">
        <v>0.94573512914805735</v>
      </c>
      <c r="H27" s="302">
        <v>0.18072495574248137</v>
      </c>
      <c r="I27" s="302">
        <v>6.7811994199130254E-2</v>
      </c>
      <c r="J27" s="302">
        <f t="shared" ref="J27:J34" si="25">SUM(G27:I27)</f>
        <v>1.194272079089669</v>
      </c>
      <c r="K27" s="303"/>
      <c r="L27" s="302">
        <v>1.2932493495212238</v>
      </c>
      <c r="M27" s="302">
        <v>0.16243340471718318</v>
      </c>
      <c r="N27" s="302">
        <v>8.3754845644603795E-2</v>
      </c>
      <c r="O27" s="302">
        <f t="shared" ref="O27:O34" si="26">SUM(L27:N27)</f>
        <v>1.5394375998830108</v>
      </c>
    </row>
    <row r="28" spans="1:15" s="236" customFormat="1" x14ac:dyDescent="0.2">
      <c r="A28" s="237" t="str">
        <f>name!E$6</f>
        <v>Associate professional occupations</v>
      </c>
      <c r="B28" s="302">
        <v>0.24798583775366542</v>
      </c>
      <c r="C28" s="302">
        <v>0.17064434174186174</v>
      </c>
      <c r="D28" s="302">
        <v>2.9426148784791814E-2</v>
      </c>
      <c r="E28" s="302">
        <f t="shared" si="24"/>
        <v>0.44805632828031899</v>
      </c>
      <c r="F28" s="303"/>
      <c r="G28" s="302">
        <v>0.46116342455133391</v>
      </c>
      <c r="H28" s="302">
        <v>0.13268708841384616</v>
      </c>
      <c r="I28" s="302">
        <v>4.0670842682468927E-2</v>
      </c>
      <c r="J28" s="302">
        <f t="shared" si="25"/>
        <v>0.634521355647649</v>
      </c>
      <c r="K28" s="303"/>
      <c r="L28" s="302">
        <v>0.4876457881695791</v>
      </c>
      <c r="M28" s="302">
        <v>7.9115047450133813E-2</v>
      </c>
      <c r="N28" s="302">
        <v>5.7466325436699418E-2</v>
      </c>
      <c r="O28" s="302">
        <f t="shared" si="26"/>
        <v>0.62422716105641229</v>
      </c>
    </row>
    <row r="29" spans="1:15" s="236" customFormat="1" x14ac:dyDescent="0.2">
      <c r="A29" s="237" t="str">
        <f>name!E$7</f>
        <v>Administrative and secretarial occupations</v>
      </c>
      <c r="B29" s="302">
        <v>0.24481269901726377</v>
      </c>
      <c r="C29" s="302">
        <v>0.49336626007836742</v>
      </c>
      <c r="D29" s="302">
        <v>2.3012249812337147E-2</v>
      </c>
      <c r="E29" s="302">
        <f t="shared" si="24"/>
        <v>0.76119120890796832</v>
      </c>
      <c r="F29" s="303"/>
      <c r="G29" s="302">
        <v>0.32783423700866055</v>
      </c>
      <c r="H29" s="302">
        <v>0.18755715640474524</v>
      </c>
      <c r="I29" s="302">
        <v>3.7029791521738138E-2</v>
      </c>
      <c r="J29" s="302">
        <f t="shared" si="25"/>
        <v>0.55242118493514392</v>
      </c>
      <c r="K29" s="303"/>
      <c r="L29" s="302">
        <v>0.2489116298176122</v>
      </c>
      <c r="M29" s="302">
        <v>6.8670790143183752E-2</v>
      </c>
      <c r="N29" s="302">
        <v>4.2638150424586366E-2</v>
      </c>
      <c r="O29" s="302">
        <f t="shared" si="26"/>
        <v>0.3602205703853823</v>
      </c>
    </row>
    <row r="30" spans="1:15" s="236" customFormat="1" x14ac:dyDescent="0.2">
      <c r="A30" s="237" t="str">
        <f>name!E$8</f>
        <v>Skilled trades occupations</v>
      </c>
      <c r="B30" s="302">
        <v>2.8127298523219633</v>
      </c>
      <c r="C30" s="302">
        <v>0.38278012403036643</v>
      </c>
      <c r="D30" s="302">
        <v>3.208870532561428</v>
      </c>
      <c r="E30" s="302">
        <f t="shared" si="24"/>
        <v>6.4043805089137571</v>
      </c>
      <c r="F30" s="303"/>
      <c r="G30" s="302">
        <v>4.2559592295186164</v>
      </c>
      <c r="H30" s="302">
        <v>0.1840633613373632</v>
      </c>
      <c r="I30" s="302">
        <v>3.0497729592977958</v>
      </c>
      <c r="J30" s="302">
        <f>SUM(G30:I30)</f>
        <v>7.489795550153775</v>
      </c>
      <c r="K30" s="303"/>
      <c r="L30" s="302">
        <v>4.4603803580330474</v>
      </c>
      <c r="M30" s="302">
        <v>0.1889217528420713</v>
      </c>
      <c r="N30" s="302">
        <v>1.7337189906334101</v>
      </c>
      <c r="O30" s="302">
        <f t="shared" si="26"/>
        <v>6.383021101508529</v>
      </c>
    </row>
    <row r="31" spans="1:15" s="236" customFormat="1" x14ac:dyDescent="0.2">
      <c r="A31" s="237" t="str">
        <f>name!E$9</f>
        <v>Caring, leisure and other service occupations</v>
      </c>
      <c r="B31" s="302">
        <v>0.20636230619942916</v>
      </c>
      <c r="C31" s="302">
        <v>0.2054672877904456</v>
      </c>
      <c r="D31" s="302">
        <v>8.9313155335053865E-2</v>
      </c>
      <c r="E31" s="302">
        <f t="shared" si="24"/>
        <v>0.50114274932492864</v>
      </c>
      <c r="F31" s="303"/>
      <c r="G31" s="302">
        <v>0.27266609955915017</v>
      </c>
      <c r="H31" s="302">
        <v>9.0267759203832801E-2</v>
      </c>
      <c r="I31" s="302">
        <v>9.3336159864443977E-2</v>
      </c>
      <c r="J31" s="302">
        <f t="shared" si="25"/>
        <v>0.45627001862742694</v>
      </c>
      <c r="K31" s="303"/>
      <c r="L31" s="302">
        <v>0.21444928589280002</v>
      </c>
      <c r="M31" s="302">
        <v>5.2002405639803517E-2</v>
      </c>
      <c r="N31" s="302">
        <v>0.18019199514601641</v>
      </c>
      <c r="O31" s="302">
        <f t="shared" si="26"/>
        <v>0.44664368667861992</v>
      </c>
    </row>
    <row r="32" spans="1:15" s="236" customFormat="1" x14ac:dyDescent="0.2">
      <c r="A32" s="237" t="str">
        <f>name!E$10</f>
        <v>Sales and customer service occupations</v>
      </c>
      <c r="B32" s="302">
        <v>0.20916190327824577</v>
      </c>
      <c r="C32" s="302">
        <v>0.11761957189569432</v>
      </c>
      <c r="D32" s="302">
        <v>5.7241091480057439E-2</v>
      </c>
      <c r="E32" s="302">
        <f t="shared" si="24"/>
        <v>0.38402256665399753</v>
      </c>
      <c r="F32" s="303"/>
      <c r="G32" s="302">
        <v>0.30795620921641087</v>
      </c>
      <c r="H32" s="302">
        <v>6.7849775353823416E-2</v>
      </c>
      <c r="I32" s="302">
        <v>5.5849197586768415E-2</v>
      </c>
      <c r="J32" s="302">
        <f t="shared" si="25"/>
        <v>0.43165518215700271</v>
      </c>
      <c r="K32" s="303"/>
      <c r="L32" s="302">
        <v>0.32461089583987446</v>
      </c>
      <c r="M32" s="302">
        <v>6.060871513220363E-2</v>
      </c>
      <c r="N32" s="302">
        <v>4.2087592990695186E-2</v>
      </c>
      <c r="O32" s="302">
        <f t="shared" si="26"/>
        <v>0.42730720396277327</v>
      </c>
    </row>
    <row r="33" spans="1:15" s="236" customFormat="1" x14ac:dyDescent="0.2">
      <c r="A33" s="237" t="str">
        <f>name!E$11</f>
        <v>Process, plant and machine operatives</v>
      </c>
      <c r="B33" s="302">
        <v>0.31667533569507433</v>
      </c>
      <c r="C33" s="302">
        <v>0.15127689545293754</v>
      </c>
      <c r="D33" s="302">
        <v>8.2271354909092279E-2</v>
      </c>
      <c r="E33" s="302">
        <f t="shared" si="24"/>
        <v>0.5502235860571042</v>
      </c>
      <c r="F33" s="303"/>
      <c r="G33" s="302">
        <v>0.3935482675646419</v>
      </c>
      <c r="H33" s="302">
        <v>8.6752894774041231E-2</v>
      </c>
      <c r="I33" s="302">
        <v>0.12466960961400757</v>
      </c>
      <c r="J33" s="302">
        <f t="shared" si="25"/>
        <v>0.60497077195269067</v>
      </c>
      <c r="K33" s="303"/>
      <c r="L33" s="302">
        <v>0.21151505103209803</v>
      </c>
      <c r="M33" s="302">
        <v>0.10478657501789734</v>
      </c>
      <c r="N33" s="302">
        <v>0.26580080092162311</v>
      </c>
      <c r="O33" s="302">
        <f t="shared" si="26"/>
        <v>0.5821024269716184</v>
      </c>
    </row>
    <row r="34" spans="1:15" s="236" customFormat="1" x14ac:dyDescent="0.2">
      <c r="A34" s="237" t="str">
        <f>name!E$12</f>
        <v>Elementary occupations</v>
      </c>
      <c r="B34" s="302">
        <v>0.59817245002456954</v>
      </c>
      <c r="C34" s="302">
        <v>0.47640661914547972</v>
      </c>
      <c r="D34" s="302">
        <v>0.67432061483640482</v>
      </c>
      <c r="E34" s="302">
        <f t="shared" si="24"/>
        <v>1.7488996840064539</v>
      </c>
      <c r="F34" s="303"/>
      <c r="G34" s="302">
        <v>0.67880039877224541</v>
      </c>
      <c r="H34" s="302">
        <v>0.19544758869398743</v>
      </c>
      <c r="I34" s="302">
        <v>0.7138562319863242</v>
      </c>
      <c r="J34" s="302">
        <f t="shared" si="25"/>
        <v>1.588104219452557</v>
      </c>
      <c r="K34" s="303"/>
      <c r="L34" s="302">
        <v>0.35369303482224596</v>
      </c>
      <c r="M34" s="302">
        <v>0.35043844673271257</v>
      </c>
      <c r="N34" s="302">
        <v>1.2736847076440632</v>
      </c>
      <c r="O34" s="302">
        <f t="shared" si="26"/>
        <v>1.9778161891990216</v>
      </c>
    </row>
    <row r="35" spans="1:15" s="236" customFormat="1" x14ac:dyDescent="0.2">
      <c r="A35" s="237"/>
      <c r="B35" s="302"/>
      <c r="C35" s="302"/>
      <c r="D35" s="302"/>
      <c r="E35" s="302"/>
      <c r="F35" s="303"/>
      <c r="G35" s="302"/>
      <c r="H35" s="302"/>
      <c r="I35" s="302"/>
      <c r="J35" s="302"/>
      <c r="K35" s="303"/>
      <c r="L35" s="302"/>
      <c r="M35" s="302"/>
      <c r="N35" s="302"/>
      <c r="O35" s="302"/>
    </row>
    <row r="36" spans="1:15" s="236" customFormat="1" x14ac:dyDescent="0.2">
      <c r="A36" s="244" t="s">
        <v>33</v>
      </c>
      <c r="B36" s="311">
        <f>SUM(B26:B34)</f>
        <v>5.7029762909765163</v>
      </c>
      <c r="C36" s="311">
        <f t="shared" ref="C36:O36" si="27">SUM(C26:C34)</f>
        <v>2.3772462921073689</v>
      </c>
      <c r="D36" s="311">
        <f t="shared" si="27"/>
        <v>4.311777416916132</v>
      </c>
      <c r="E36" s="311">
        <f t="shared" si="27"/>
        <v>12.392000000000017</v>
      </c>
      <c r="F36" s="311"/>
      <c r="G36" s="311">
        <f t="shared" si="27"/>
        <v>8.7380705353947636</v>
      </c>
      <c r="H36" s="311">
        <f t="shared" si="27"/>
        <v>1.2823068324346842</v>
      </c>
      <c r="I36" s="311">
        <f t="shared" si="27"/>
        <v>4.3146226321705763</v>
      </c>
      <c r="J36" s="311">
        <f t="shared" si="27"/>
        <v>14.335000000000022</v>
      </c>
      <c r="K36" s="311"/>
      <c r="L36" s="311">
        <f t="shared" si="27"/>
        <v>8.9183485363292423</v>
      </c>
      <c r="M36" s="311">
        <f t="shared" si="27"/>
        <v>1.166270261964206</v>
      </c>
      <c r="N36" s="311">
        <f t="shared" si="27"/>
        <v>3.7993812017065784</v>
      </c>
      <c r="O36" s="311">
        <f t="shared" si="27"/>
        <v>13.884000000000025</v>
      </c>
    </row>
    <row r="37" spans="1:15" s="236" customFormat="1" x14ac:dyDescent="0.2">
      <c r="A37" s="237"/>
      <c r="B37" s="237"/>
      <c r="C37" s="237"/>
      <c r="D37" s="237"/>
      <c r="E37" s="237"/>
      <c r="F37" s="237"/>
      <c r="G37" s="237"/>
      <c r="H37" s="237"/>
      <c r="I37" s="237"/>
      <c r="J37" s="237"/>
      <c r="K37" s="237"/>
      <c r="L37" s="237"/>
      <c r="M37" s="237"/>
      <c r="N37" s="240"/>
    </row>
    <row r="38" spans="1:15" s="236" customFormat="1" x14ac:dyDescent="0.2">
      <c r="A38" s="237"/>
      <c r="B38" s="237"/>
      <c r="C38" s="237"/>
      <c r="D38" s="237"/>
      <c r="E38" s="237"/>
      <c r="F38" s="237"/>
      <c r="G38" s="237"/>
      <c r="H38" s="237"/>
      <c r="I38" s="237"/>
      <c r="J38" s="237"/>
      <c r="K38" s="237"/>
      <c r="L38" s="237"/>
      <c r="M38" s="237"/>
      <c r="N38" s="240"/>
      <c r="O38" s="251" t="s">
        <v>36</v>
      </c>
    </row>
    <row r="39" spans="1:15" s="236" customFormat="1" x14ac:dyDescent="0.2">
      <c r="A39" s="242"/>
      <c r="B39" s="242"/>
      <c r="C39" s="242"/>
      <c r="D39" s="242"/>
      <c r="E39" s="242"/>
      <c r="F39" s="242"/>
      <c r="G39" s="242"/>
      <c r="H39" s="242"/>
      <c r="I39" s="242"/>
      <c r="J39" s="242"/>
      <c r="K39" s="242"/>
      <c r="L39" s="242"/>
      <c r="M39" s="242"/>
      <c r="N39" s="242"/>
      <c r="O39" s="242"/>
    </row>
    <row r="40" spans="1:15" s="236" customFormat="1" x14ac:dyDescent="0.2">
      <c r="A40" s="241" t="str">
        <f>name!B5</f>
        <v>Mining and quarrying</v>
      </c>
      <c r="B40" s="377">
        <f>$B$6</f>
        <v>2015</v>
      </c>
      <c r="C40" s="377"/>
      <c r="D40" s="377"/>
      <c r="E40" s="377"/>
      <c r="F40" s="263"/>
      <c r="G40" s="377">
        <f>$G$6</f>
        <v>2020</v>
      </c>
      <c r="H40" s="377"/>
      <c r="I40" s="377"/>
      <c r="J40" s="377"/>
      <c r="K40" s="263"/>
      <c r="L40" s="377">
        <f>$L$6</f>
        <v>2035</v>
      </c>
      <c r="M40" s="377"/>
      <c r="N40" s="377"/>
      <c r="O40" s="377"/>
    </row>
    <row r="41" spans="1:15" s="236" customFormat="1" x14ac:dyDescent="0.2">
      <c r="A41" s="254"/>
      <c r="B41" s="268" t="str">
        <f>$B$7</f>
        <v>FT</v>
      </c>
      <c r="C41" s="268" t="str">
        <f>$C$7</f>
        <v>PT</v>
      </c>
      <c r="D41" s="268" t="str">
        <f>$D$7</f>
        <v>SE</v>
      </c>
      <c r="E41" s="268" t="str">
        <f>$E$7</f>
        <v>Total</v>
      </c>
      <c r="F41" s="268"/>
      <c r="G41" s="268" t="str">
        <f>$G$7</f>
        <v>FT</v>
      </c>
      <c r="H41" s="268" t="str">
        <f>$H$7</f>
        <v>PT</v>
      </c>
      <c r="I41" s="268" t="str">
        <f>$I$7</f>
        <v>SE</v>
      </c>
      <c r="J41" s="268" t="str">
        <f>$J$7</f>
        <v>Total</v>
      </c>
      <c r="K41" s="268"/>
      <c r="L41" s="268" t="str">
        <f>$L$7</f>
        <v>FT</v>
      </c>
      <c r="M41" s="268" t="str">
        <f>$M$7</f>
        <v>PT</v>
      </c>
      <c r="N41" s="268" t="str">
        <f>$N$7</f>
        <v>SE</v>
      </c>
      <c r="O41" s="268" t="str">
        <f>$O$7</f>
        <v>Total</v>
      </c>
    </row>
    <row r="42" spans="1:15" s="236" customFormat="1" x14ac:dyDescent="0.2">
      <c r="A42" s="258"/>
      <c r="B42" s="239"/>
      <c r="C42" s="239"/>
      <c r="D42" s="239"/>
      <c r="E42" s="239"/>
      <c r="F42" s="239"/>
      <c r="G42" s="239"/>
      <c r="H42" s="239"/>
      <c r="I42" s="239"/>
      <c r="J42" s="239"/>
      <c r="K42" s="239"/>
      <c r="L42" s="239"/>
      <c r="M42" s="239"/>
      <c r="N42" s="239"/>
      <c r="O42" s="239"/>
    </row>
    <row r="43" spans="1:15" s="236" customFormat="1" x14ac:dyDescent="0.2">
      <c r="A43" s="237" t="str">
        <f>name!E$4</f>
        <v>Managers, directors and senior officials</v>
      </c>
      <c r="B43" s="302">
        <v>5.2478861429910137E-2</v>
      </c>
      <c r="C43" s="302">
        <v>1.3725192557739459E-3</v>
      </c>
      <c r="D43" s="302">
        <v>2.3218998211962918E-5</v>
      </c>
      <c r="E43" s="302">
        <f>SUM(B43:D43)</f>
        <v>5.3874599683896046E-2</v>
      </c>
      <c r="F43" s="303"/>
      <c r="G43" s="302">
        <v>8.0687500706512288E-2</v>
      </c>
      <c r="H43" s="302">
        <v>5.5006505791758446E-3</v>
      </c>
      <c r="I43" s="302">
        <v>0</v>
      </c>
      <c r="J43" s="302">
        <f>SUM(G43:I43)</f>
        <v>8.618815128568813E-2</v>
      </c>
      <c r="K43" s="303"/>
      <c r="L43" s="302">
        <v>4.8654000341987767E-2</v>
      </c>
      <c r="M43" s="302">
        <v>3.39104157586766E-3</v>
      </c>
      <c r="N43" s="302">
        <v>0</v>
      </c>
      <c r="O43" s="302">
        <f>SUM(L43:N43)</f>
        <v>5.2045041917855431E-2</v>
      </c>
    </row>
    <row r="44" spans="1:15" s="236" customFormat="1" x14ac:dyDescent="0.2">
      <c r="A44" s="237" t="str">
        <f>name!E$5</f>
        <v>Professional occupations</v>
      </c>
      <c r="B44" s="302">
        <v>7.1315943622984157E-2</v>
      </c>
      <c r="C44" s="302">
        <v>5.4976947040656955E-3</v>
      </c>
      <c r="D44" s="302">
        <v>1.2047819712162549E-5</v>
      </c>
      <c r="E44" s="302">
        <f t="shared" ref="E44:E51" si="28">SUM(B44:D44)</f>
        <v>7.6825686146762009E-2</v>
      </c>
      <c r="F44" s="303"/>
      <c r="G44" s="302">
        <v>0.12157749506097559</v>
      </c>
      <c r="H44" s="302">
        <v>1.2437961976902674E-2</v>
      </c>
      <c r="I44" s="302">
        <v>0</v>
      </c>
      <c r="J44" s="302">
        <f t="shared" ref="J44:J46" si="29">SUM(G44:I44)</f>
        <v>0.13401545703787826</v>
      </c>
      <c r="K44" s="303"/>
      <c r="L44" s="302">
        <v>9.7108343016686735E-2</v>
      </c>
      <c r="M44" s="302">
        <v>9.2081768178082189E-3</v>
      </c>
      <c r="N44" s="302">
        <v>0</v>
      </c>
      <c r="O44" s="302">
        <f t="shared" ref="O44:O51" si="30">SUM(L44:N44)</f>
        <v>0.10631651983449496</v>
      </c>
    </row>
    <row r="45" spans="1:15" s="236" customFormat="1" x14ac:dyDescent="0.2">
      <c r="A45" s="237" t="str">
        <f>name!E$6</f>
        <v>Associate professional occupations</v>
      </c>
      <c r="B45" s="302">
        <v>5.3428523235651927E-2</v>
      </c>
      <c r="C45" s="302">
        <v>3.7758503575282694E-3</v>
      </c>
      <c r="D45" s="302">
        <v>1.77930561781078E-5</v>
      </c>
      <c r="E45" s="302">
        <f t="shared" si="28"/>
        <v>5.7222166649358301E-2</v>
      </c>
      <c r="F45" s="303"/>
      <c r="G45" s="302">
        <v>8.489185193189959E-2</v>
      </c>
      <c r="H45" s="302">
        <v>7.3453180605241803E-3</v>
      </c>
      <c r="I45" s="302">
        <v>0</v>
      </c>
      <c r="J45" s="302">
        <f t="shared" si="29"/>
        <v>9.2237169992423776E-2</v>
      </c>
      <c r="K45" s="303"/>
      <c r="L45" s="302">
        <v>5.1147331752742088E-2</v>
      </c>
      <c r="M45" s="302">
        <v>4.2069142828180797E-3</v>
      </c>
      <c r="N45" s="302">
        <v>0</v>
      </c>
      <c r="O45" s="302">
        <f t="shared" si="30"/>
        <v>5.5354246035560169E-2</v>
      </c>
    </row>
    <row r="46" spans="1:15" s="236" customFormat="1" x14ac:dyDescent="0.2">
      <c r="A46" s="237" t="str">
        <f>name!E$7</f>
        <v>Administrative and secretarial occupations</v>
      </c>
      <c r="B46" s="302">
        <v>3.9852270801130851E-2</v>
      </c>
      <c r="C46" s="302">
        <v>6.9454589223826822E-3</v>
      </c>
      <c r="D46" s="302">
        <v>4.472726797068932E-5</v>
      </c>
      <c r="E46" s="302">
        <f t="shared" si="28"/>
        <v>4.6842456991484226E-2</v>
      </c>
      <c r="F46" s="303"/>
      <c r="G46" s="302">
        <v>5.565394835734553E-2</v>
      </c>
      <c r="H46" s="302">
        <v>8.2508743651314755E-3</v>
      </c>
      <c r="I46" s="302">
        <v>0</v>
      </c>
      <c r="J46" s="302">
        <f t="shared" si="29"/>
        <v>6.3904822722477009E-2</v>
      </c>
      <c r="K46" s="303"/>
      <c r="L46" s="302">
        <v>3.1452395678687621E-2</v>
      </c>
      <c r="M46" s="302">
        <v>3.3290342893687493E-3</v>
      </c>
      <c r="N46" s="302">
        <v>0</v>
      </c>
      <c r="O46" s="302">
        <f t="shared" si="30"/>
        <v>3.4781429968056374E-2</v>
      </c>
    </row>
    <row r="47" spans="1:15" s="236" customFormat="1" x14ac:dyDescent="0.2">
      <c r="A47" s="237" t="str">
        <f>name!E$8</f>
        <v>Skilled trades occupations</v>
      </c>
      <c r="B47" s="302">
        <v>0.23865758413033938</v>
      </c>
      <c r="C47" s="302">
        <v>3.8991396551608529E-3</v>
      </c>
      <c r="D47" s="302">
        <v>2.5542003741115059E-6</v>
      </c>
      <c r="E47" s="302">
        <f t="shared" si="28"/>
        <v>0.24255927798587437</v>
      </c>
      <c r="F47" s="303"/>
      <c r="G47" s="302">
        <v>0.27276667483150402</v>
      </c>
      <c r="H47" s="302">
        <v>5.4663541100848419E-3</v>
      </c>
      <c r="I47" s="302">
        <v>0</v>
      </c>
      <c r="J47" s="302">
        <f>SUM(G47:I47)</f>
        <v>0.27823302894158886</v>
      </c>
      <c r="K47" s="303"/>
      <c r="L47" s="302">
        <v>0.14209816392067254</v>
      </c>
      <c r="M47" s="302">
        <v>5.8296029992861258E-3</v>
      </c>
      <c r="N47" s="302">
        <v>0</v>
      </c>
      <c r="O47" s="302">
        <f t="shared" si="30"/>
        <v>0.14792776691995865</v>
      </c>
    </row>
    <row r="48" spans="1:15" s="236" customFormat="1" x14ac:dyDescent="0.2">
      <c r="A48" s="237" t="str">
        <f>name!E$9</f>
        <v>Caring, leisure and other service occupations</v>
      </c>
      <c r="B48" s="302">
        <v>4.3526081319807961E-3</v>
      </c>
      <c r="C48" s="302">
        <v>1.1942745573300006E-2</v>
      </c>
      <c r="D48" s="302">
        <v>5.8761469661384474E-6</v>
      </c>
      <c r="E48" s="302">
        <f t="shared" si="28"/>
        <v>1.630122985224694E-2</v>
      </c>
      <c r="F48" s="303"/>
      <c r="G48" s="302">
        <v>6.1975348182430143E-3</v>
      </c>
      <c r="H48" s="302">
        <v>1.2031845794138742E-2</v>
      </c>
      <c r="I48" s="302">
        <v>0</v>
      </c>
      <c r="J48" s="302">
        <f t="shared" ref="J48:J51" si="31">SUM(G48:I48)</f>
        <v>1.8229380612381756E-2</v>
      </c>
      <c r="K48" s="303"/>
      <c r="L48" s="302">
        <v>3.8085347306468292E-3</v>
      </c>
      <c r="M48" s="302">
        <v>7.4362766818701484E-3</v>
      </c>
      <c r="N48" s="302">
        <v>0</v>
      </c>
      <c r="O48" s="302">
        <f t="shared" si="30"/>
        <v>1.1244811412516978E-2</v>
      </c>
    </row>
    <row r="49" spans="1:15" s="236" customFormat="1" x14ac:dyDescent="0.2">
      <c r="A49" s="237" t="str">
        <f>name!E$10</f>
        <v>Sales and customer service occupations</v>
      </c>
      <c r="B49" s="302">
        <v>1.3892339406067176E-2</v>
      </c>
      <c r="C49" s="302">
        <v>5.4588710305151864E-3</v>
      </c>
      <c r="D49" s="302">
        <v>9.7409501961555836E-6</v>
      </c>
      <c r="E49" s="302">
        <f t="shared" si="28"/>
        <v>1.9360951386778517E-2</v>
      </c>
      <c r="F49" s="303"/>
      <c r="G49" s="302">
        <v>1.8463020686798528E-2</v>
      </c>
      <c r="H49" s="302">
        <v>8.8086902573218002E-3</v>
      </c>
      <c r="I49" s="302">
        <v>0</v>
      </c>
      <c r="J49" s="302">
        <f t="shared" si="31"/>
        <v>2.7271710944120328E-2</v>
      </c>
      <c r="K49" s="303"/>
      <c r="L49" s="302">
        <v>1.1558850099170997E-2</v>
      </c>
      <c r="M49" s="302">
        <v>4.8303071247028997E-3</v>
      </c>
      <c r="N49" s="302">
        <v>0</v>
      </c>
      <c r="O49" s="302">
        <f t="shared" si="30"/>
        <v>1.6389157223873897E-2</v>
      </c>
    </row>
    <row r="50" spans="1:15" s="236" customFormat="1" x14ac:dyDescent="0.2">
      <c r="A50" s="237" t="str">
        <f>name!E$11</f>
        <v>Process, plant and machine operatives</v>
      </c>
      <c r="B50" s="302">
        <v>0.15042783234086748</v>
      </c>
      <c r="C50" s="302">
        <v>4.8552347387870879E-3</v>
      </c>
      <c r="D50" s="302">
        <v>3.8208915339644722E-6</v>
      </c>
      <c r="E50" s="302">
        <f t="shared" si="28"/>
        <v>0.15528688797118856</v>
      </c>
      <c r="F50" s="303"/>
      <c r="G50" s="302">
        <v>0.16440852407773185</v>
      </c>
      <c r="H50" s="302">
        <v>1.3641566629987077E-2</v>
      </c>
      <c r="I50" s="302">
        <v>0</v>
      </c>
      <c r="J50" s="302">
        <f t="shared" si="31"/>
        <v>0.17805009070771893</v>
      </c>
      <c r="K50" s="303"/>
      <c r="L50" s="302">
        <v>8.1092898623678675E-2</v>
      </c>
      <c r="M50" s="302">
        <v>8.4319583390636416E-3</v>
      </c>
      <c r="N50" s="302">
        <v>0</v>
      </c>
      <c r="O50" s="302">
        <f t="shared" si="30"/>
        <v>8.9524856962742316E-2</v>
      </c>
    </row>
    <row r="51" spans="1:15" s="236" customFormat="1" x14ac:dyDescent="0.2">
      <c r="A51" s="237" t="str">
        <f>name!E$12</f>
        <v>Elementary occupations</v>
      </c>
      <c r="B51" s="302">
        <v>3.4861587044147525E-2</v>
      </c>
      <c r="C51" s="302">
        <v>6.857786622273045E-3</v>
      </c>
      <c r="D51" s="302">
        <v>7.3696659909731286E-6</v>
      </c>
      <c r="E51" s="302">
        <f t="shared" si="28"/>
        <v>4.1726743332411539E-2</v>
      </c>
      <c r="F51" s="303"/>
      <c r="G51" s="302">
        <v>3.7209150095748086E-2</v>
      </c>
      <c r="H51" s="302">
        <v>6.6610376599748715E-3</v>
      </c>
      <c r="I51" s="302">
        <v>0</v>
      </c>
      <c r="J51" s="302">
        <f t="shared" si="31"/>
        <v>4.3870187755722961E-2</v>
      </c>
      <c r="K51" s="303"/>
      <c r="L51" s="302">
        <v>2.3070292863041089E-2</v>
      </c>
      <c r="M51" s="302">
        <v>4.3458768618992076E-3</v>
      </c>
      <c r="N51" s="302">
        <v>0</v>
      </c>
      <c r="O51" s="302">
        <f t="shared" si="30"/>
        <v>2.7416169724940296E-2</v>
      </c>
    </row>
    <row r="52" spans="1:15" s="236" customFormat="1" x14ac:dyDescent="0.2">
      <c r="A52" s="237"/>
      <c r="B52" s="302"/>
      <c r="C52" s="302"/>
      <c r="D52" s="302"/>
      <c r="E52" s="302"/>
      <c r="F52" s="303"/>
      <c r="G52" s="302"/>
      <c r="H52" s="302"/>
      <c r="I52" s="302"/>
      <c r="J52" s="302"/>
      <c r="K52" s="303"/>
      <c r="L52" s="302"/>
      <c r="M52" s="302"/>
      <c r="N52" s="302"/>
      <c r="O52" s="302"/>
    </row>
    <row r="53" spans="1:15" s="236" customFormat="1" x14ac:dyDescent="0.2">
      <c r="A53" s="244" t="s">
        <v>33</v>
      </c>
      <c r="B53" s="311">
        <f>SUM(B43:B51)</f>
        <v>0.65926755014307936</v>
      </c>
      <c r="C53" s="311">
        <f t="shared" ref="C53:E53" si="32">SUM(C43:C51)</f>
        <v>5.0605300859786768E-2</v>
      </c>
      <c r="D53" s="311">
        <f t="shared" si="32"/>
        <v>1.2714899713426575E-4</v>
      </c>
      <c r="E53" s="311">
        <f t="shared" si="32"/>
        <v>0.71000000000000063</v>
      </c>
      <c r="F53" s="311"/>
      <c r="G53" s="311">
        <f t="shared" ref="G53:J53" si="33">SUM(G43:G51)</f>
        <v>0.84185570056675862</v>
      </c>
      <c r="H53" s="311">
        <f t="shared" si="33"/>
        <v>8.0144299433241514E-2</v>
      </c>
      <c r="I53" s="311">
        <f t="shared" si="33"/>
        <v>0</v>
      </c>
      <c r="J53" s="311">
        <f t="shared" si="33"/>
        <v>0.92199999999999993</v>
      </c>
      <c r="K53" s="311"/>
      <c r="L53" s="311">
        <f t="shared" ref="L53:O53" si="34">SUM(L43:L51)</f>
        <v>0.48999081102731434</v>
      </c>
      <c r="M53" s="311">
        <f t="shared" si="34"/>
        <v>5.1009188972684735E-2</v>
      </c>
      <c r="N53" s="311">
        <f t="shared" si="34"/>
        <v>0</v>
      </c>
      <c r="O53" s="311">
        <f t="shared" si="34"/>
        <v>0.54099999999999915</v>
      </c>
    </row>
    <row r="54" spans="1:15" s="236" customFormat="1" x14ac:dyDescent="0.2">
      <c r="A54" s="237"/>
      <c r="B54" s="237"/>
      <c r="C54" s="237"/>
      <c r="D54" s="237"/>
      <c r="E54" s="237"/>
      <c r="F54" s="237"/>
      <c r="G54" s="237"/>
      <c r="H54" s="237"/>
      <c r="I54" s="237"/>
      <c r="J54" s="237"/>
      <c r="K54" s="237"/>
      <c r="L54" s="237"/>
      <c r="M54" s="237"/>
      <c r="N54" s="240"/>
    </row>
    <row r="55" spans="1:15" s="236" customFormat="1" x14ac:dyDescent="0.2">
      <c r="A55" s="237"/>
      <c r="B55" s="237"/>
      <c r="C55" s="237"/>
      <c r="D55" s="237"/>
      <c r="E55" s="237"/>
      <c r="F55" s="237"/>
      <c r="G55" s="237"/>
      <c r="H55" s="237"/>
      <c r="I55" s="237"/>
      <c r="J55" s="237"/>
      <c r="K55" s="237"/>
      <c r="L55" s="237"/>
      <c r="M55" s="237"/>
      <c r="N55" s="240"/>
      <c r="O55" s="251" t="s">
        <v>36</v>
      </c>
    </row>
    <row r="56" spans="1:15" s="236" customFormat="1" x14ac:dyDescent="0.2">
      <c r="A56" s="242"/>
      <c r="B56" s="242"/>
      <c r="C56" s="242"/>
      <c r="D56" s="242"/>
      <c r="E56" s="242"/>
      <c r="F56" s="242"/>
      <c r="G56" s="242"/>
      <c r="H56" s="242"/>
      <c r="I56" s="242"/>
      <c r="J56" s="242"/>
      <c r="K56" s="242"/>
      <c r="L56" s="242"/>
      <c r="M56" s="242"/>
      <c r="N56" s="242"/>
      <c r="O56" s="242"/>
    </row>
    <row r="57" spans="1:15" s="236" customFormat="1" x14ac:dyDescent="0.2">
      <c r="A57" s="241" t="str">
        <f>name!B6</f>
        <v>Food drink and tobacco</v>
      </c>
      <c r="B57" s="377">
        <f>$B$6</f>
        <v>2015</v>
      </c>
      <c r="C57" s="377"/>
      <c r="D57" s="377"/>
      <c r="E57" s="377"/>
      <c r="F57" s="263"/>
      <c r="G57" s="377">
        <f>$G$6</f>
        <v>2020</v>
      </c>
      <c r="H57" s="377"/>
      <c r="I57" s="377"/>
      <c r="J57" s="377"/>
      <c r="K57" s="263"/>
      <c r="L57" s="377">
        <f>$L$6</f>
        <v>2035</v>
      </c>
      <c r="M57" s="377"/>
      <c r="N57" s="377"/>
      <c r="O57" s="377"/>
    </row>
    <row r="58" spans="1:15" s="236" customFormat="1" x14ac:dyDescent="0.2">
      <c r="A58" s="254"/>
      <c r="B58" s="268" t="str">
        <f>$B$7</f>
        <v>FT</v>
      </c>
      <c r="C58" s="268" t="str">
        <f>$C$7</f>
        <v>PT</v>
      </c>
      <c r="D58" s="268" t="str">
        <f>$D$7</f>
        <v>SE</v>
      </c>
      <c r="E58" s="268" t="str">
        <f>$E$7</f>
        <v>Total</v>
      </c>
      <c r="F58" s="268"/>
      <c r="G58" s="268" t="str">
        <f>$G$7</f>
        <v>FT</v>
      </c>
      <c r="H58" s="268" t="str">
        <f>$H$7</f>
        <v>PT</v>
      </c>
      <c r="I58" s="268" t="str">
        <f>$I$7</f>
        <v>SE</v>
      </c>
      <c r="J58" s="268" t="str">
        <f>$J$7</f>
        <v>Total</v>
      </c>
      <c r="K58" s="268"/>
      <c r="L58" s="268" t="str">
        <f>$L$7</f>
        <v>FT</v>
      </c>
      <c r="M58" s="268" t="str">
        <f>$M$7</f>
        <v>PT</v>
      </c>
      <c r="N58" s="268" t="str">
        <f>$N$7</f>
        <v>SE</v>
      </c>
      <c r="O58" s="268" t="str">
        <f>$O$7</f>
        <v>Total</v>
      </c>
    </row>
    <row r="59" spans="1:15" s="236" customFormat="1" x14ac:dyDescent="0.2">
      <c r="A59" s="258"/>
      <c r="B59" s="239"/>
      <c r="C59" s="239"/>
      <c r="D59" s="239"/>
      <c r="E59" s="239"/>
      <c r="F59" s="239"/>
      <c r="G59" s="239"/>
      <c r="H59" s="239"/>
      <c r="I59" s="239"/>
      <c r="J59" s="239"/>
      <c r="K59" s="239"/>
      <c r="L59" s="239"/>
      <c r="M59" s="239"/>
      <c r="N59" s="239"/>
      <c r="O59" s="239"/>
    </row>
    <row r="60" spans="1:15" s="236" customFormat="1" x14ac:dyDescent="0.2">
      <c r="A60" s="237" t="str">
        <f>name!E$4</f>
        <v>Managers, directors and senior officials</v>
      </c>
      <c r="B60" s="302">
        <v>1.6982323503913022</v>
      </c>
      <c r="C60" s="302">
        <v>6.5200345507896385E-2</v>
      </c>
      <c r="D60" s="302">
        <v>0.10094366796001233</v>
      </c>
      <c r="E60" s="302">
        <f>SUM(B60:D60)</f>
        <v>1.864376363859211</v>
      </c>
      <c r="F60" s="303"/>
      <c r="G60" s="302">
        <v>2.2031991866845559</v>
      </c>
      <c r="H60" s="302">
        <v>0.13730740525454041</v>
      </c>
      <c r="I60" s="302">
        <v>7.084389815196851E-2</v>
      </c>
      <c r="J60" s="302">
        <f>SUM(G60:I60)</f>
        <v>2.4113504900910647</v>
      </c>
      <c r="K60" s="303"/>
      <c r="L60" s="302">
        <v>2.1471581768470234</v>
      </c>
      <c r="M60" s="302">
        <v>7.8941336327856243E-2</v>
      </c>
      <c r="N60" s="302">
        <v>8.7274093287880591E-2</v>
      </c>
      <c r="O60" s="302">
        <f>SUM(L60:N60)</f>
        <v>2.3133736064627599</v>
      </c>
    </row>
    <row r="61" spans="1:15" s="236" customFormat="1" x14ac:dyDescent="0.2">
      <c r="A61" s="237" t="str">
        <f>name!E$5</f>
        <v>Professional occupations</v>
      </c>
      <c r="B61" s="302">
        <v>1.8703397003488622</v>
      </c>
      <c r="C61" s="302">
        <v>7.2014209000766355E-2</v>
      </c>
      <c r="D61" s="302">
        <v>6.6308813368158401E-2</v>
      </c>
      <c r="E61" s="302">
        <f t="shared" ref="E61:E68" si="35">SUM(B61:D61)</f>
        <v>2.0086627227177867</v>
      </c>
      <c r="F61" s="303"/>
      <c r="G61" s="302">
        <v>2.6356184146273183</v>
      </c>
      <c r="H61" s="302">
        <v>0.1349819426554047</v>
      </c>
      <c r="I61" s="302">
        <v>2.4622106606256793E-2</v>
      </c>
      <c r="J61" s="302">
        <f t="shared" ref="J61:J63" si="36">SUM(G61:I61)</f>
        <v>2.7952224638889795</v>
      </c>
      <c r="K61" s="303"/>
      <c r="L61" s="302">
        <v>3.8627657554830659</v>
      </c>
      <c r="M61" s="302">
        <v>0.13516694720604153</v>
      </c>
      <c r="N61" s="302">
        <v>1.27476956064314E-2</v>
      </c>
      <c r="O61" s="302">
        <f t="shared" ref="O61:O68" si="37">SUM(L61:N61)</f>
        <v>4.0106803982955386</v>
      </c>
    </row>
    <row r="62" spans="1:15" s="236" customFormat="1" x14ac:dyDescent="0.2">
      <c r="A62" s="237" t="str">
        <f>name!E$6</f>
        <v>Associate professional occupations</v>
      </c>
      <c r="B62" s="302">
        <v>2.4697002976142621</v>
      </c>
      <c r="C62" s="302">
        <v>0.12397232451114402</v>
      </c>
      <c r="D62" s="302">
        <v>4.1836281117145165E-2</v>
      </c>
      <c r="E62" s="302">
        <f t="shared" si="35"/>
        <v>2.6355089032425512</v>
      </c>
      <c r="F62" s="303"/>
      <c r="G62" s="302">
        <v>3.3356001415416112</v>
      </c>
      <c r="H62" s="302">
        <v>0.197316780576618</v>
      </c>
      <c r="I62" s="302">
        <v>1.8196718430301621E-2</v>
      </c>
      <c r="J62" s="302">
        <f t="shared" si="36"/>
        <v>3.5511136405485306</v>
      </c>
      <c r="K62" s="303"/>
      <c r="L62" s="302">
        <v>3.7059707521698293</v>
      </c>
      <c r="M62" s="302">
        <v>0.1365189612655357</v>
      </c>
      <c r="N62" s="302">
        <v>1.4503919399652E-2</v>
      </c>
      <c r="O62" s="302">
        <f t="shared" si="37"/>
        <v>3.8569936328350169</v>
      </c>
    </row>
    <row r="63" spans="1:15" s="236" customFormat="1" x14ac:dyDescent="0.2">
      <c r="A63" s="237" t="str">
        <f>name!E$7</f>
        <v>Administrative and secretarial occupations</v>
      </c>
      <c r="B63" s="302">
        <v>1.1078023319933172</v>
      </c>
      <c r="C63" s="302">
        <v>0.31739005011944577</v>
      </c>
      <c r="D63" s="302">
        <v>3.1416681622878952E-2</v>
      </c>
      <c r="E63" s="302">
        <f t="shared" si="35"/>
        <v>1.4566090637356419</v>
      </c>
      <c r="F63" s="303"/>
      <c r="G63" s="302">
        <v>1.2549958825695862</v>
      </c>
      <c r="H63" s="302">
        <v>0.37058069468809146</v>
      </c>
      <c r="I63" s="302">
        <v>1.5717828363890581E-2</v>
      </c>
      <c r="J63" s="302">
        <f t="shared" si="36"/>
        <v>1.6412944056215681</v>
      </c>
      <c r="K63" s="303"/>
      <c r="L63" s="302">
        <v>1.3594897376617108</v>
      </c>
      <c r="M63" s="302">
        <v>0.1592268870244522</v>
      </c>
      <c r="N63" s="302">
        <v>1.5290830897595533E-2</v>
      </c>
      <c r="O63" s="302">
        <f t="shared" si="37"/>
        <v>1.5340074555837586</v>
      </c>
    </row>
    <row r="64" spans="1:15" s="236" customFormat="1" x14ac:dyDescent="0.2">
      <c r="A64" s="237" t="str">
        <f>name!E$8</f>
        <v>Skilled trades occupations</v>
      </c>
      <c r="B64" s="302">
        <v>2.6751597210779794</v>
      </c>
      <c r="C64" s="302">
        <v>0.13025338206085113</v>
      </c>
      <c r="D64" s="302">
        <v>0.26611431906357991</v>
      </c>
      <c r="E64" s="302">
        <f t="shared" si="35"/>
        <v>3.0715274222024105</v>
      </c>
      <c r="F64" s="303"/>
      <c r="G64" s="302">
        <v>2.3931615905309376</v>
      </c>
      <c r="H64" s="302">
        <v>0.15875527369703457</v>
      </c>
      <c r="I64" s="302">
        <v>0.12325726229440434</v>
      </c>
      <c r="J64" s="302">
        <f>SUM(G64:I64)</f>
        <v>2.6751741265223763</v>
      </c>
      <c r="K64" s="303"/>
      <c r="L64" s="302">
        <v>2.0155648181603336</v>
      </c>
      <c r="M64" s="302">
        <v>0.10455103594173261</v>
      </c>
      <c r="N64" s="302">
        <v>0.1256024471219396</v>
      </c>
      <c r="O64" s="302">
        <f t="shared" si="37"/>
        <v>2.2457183012240058</v>
      </c>
    </row>
    <row r="65" spans="1:15" s="236" customFormat="1" x14ac:dyDescent="0.2">
      <c r="A65" s="237" t="str">
        <f>name!E$9</f>
        <v>Caring, leisure and other service occupations</v>
      </c>
      <c r="B65" s="302">
        <v>0.14384551905446327</v>
      </c>
      <c r="C65" s="302">
        <v>4.451303250548834E-2</v>
      </c>
      <c r="D65" s="302">
        <v>8.6645349518526295E-3</v>
      </c>
      <c r="E65" s="302">
        <f t="shared" si="35"/>
        <v>0.19702308651180425</v>
      </c>
      <c r="F65" s="303"/>
      <c r="G65" s="302">
        <v>0.1642682264328211</v>
      </c>
      <c r="H65" s="302">
        <v>4.3504259344479983E-2</v>
      </c>
      <c r="I65" s="302">
        <v>4.4338273828325864E-3</v>
      </c>
      <c r="J65" s="302">
        <f t="shared" ref="J65:J68" si="38">SUM(G65:I65)</f>
        <v>0.21220631316013366</v>
      </c>
      <c r="K65" s="303"/>
      <c r="L65" s="302">
        <v>0.15698134802907493</v>
      </c>
      <c r="M65" s="302">
        <v>2.0690555043625988E-2</v>
      </c>
      <c r="N65" s="302">
        <v>6.2645554254529591E-3</v>
      </c>
      <c r="O65" s="302">
        <f t="shared" si="37"/>
        <v>0.18393645849815388</v>
      </c>
    </row>
    <row r="66" spans="1:15" s="236" customFormat="1" x14ac:dyDescent="0.2">
      <c r="A66" s="237" t="str">
        <f>name!E$10</f>
        <v>Sales and customer service occupations</v>
      </c>
      <c r="B66" s="302">
        <v>0.26818359966092536</v>
      </c>
      <c r="C66" s="302">
        <v>7.5891679277762539E-2</v>
      </c>
      <c r="D66" s="302">
        <v>1.8791260117274621E-2</v>
      </c>
      <c r="E66" s="302">
        <f t="shared" si="35"/>
        <v>0.3628665390559625</v>
      </c>
      <c r="F66" s="303"/>
      <c r="G66" s="302">
        <v>0.29009787202411597</v>
      </c>
      <c r="H66" s="302">
        <v>0.10135383678531293</v>
      </c>
      <c r="I66" s="302">
        <v>1.137306399181799E-2</v>
      </c>
      <c r="J66" s="302">
        <f t="shared" si="38"/>
        <v>0.4028247728012469</v>
      </c>
      <c r="K66" s="303"/>
      <c r="L66" s="302">
        <v>0.33055906146027358</v>
      </c>
      <c r="M66" s="302">
        <v>5.8619438503301355E-2</v>
      </c>
      <c r="N66" s="302">
        <v>1.5053880058559488E-2</v>
      </c>
      <c r="O66" s="302">
        <f t="shared" si="37"/>
        <v>0.40423238002213446</v>
      </c>
    </row>
    <row r="67" spans="1:15" s="236" customFormat="1" x14ac:dyDescent="0.2">
      <c r="A67" s="237" t="str">
        <f>name!E$11</f>
        <v>Process, plant and machine operatives</v>
      </c>
      <c r="B67" s="302">
        <v>5.6779201894360183</v>
      </c>
      <c r="C67" s="302">
        <v>0.47934114738204925</v>
      </c>
      <c r="D67" s="302">
        <v>4.3283319883035451E-2</v>
      </c>
      <c r="E67" s="302">
        <f t="shared" si="35"/>
        <v>6.2005446567011031</v>
      </c>
      <c r="F67" s="303"/>
      <c r="G67" s="302">
        <v>5.1025417927238985</v>
      </c>
      <c r="H67" s="302">
        <v>0.78172780287449795</v>
      </c>
      <c r="I67" s="302">
        <v>2.1443489755030527E-2</v>
      </c>
      <c r="J67" s="302">
        <f t="shared" si="38"/>
        <v>5.905713085353427</v>
      </c>
      <c r="K67" s="303"/>
      <c r="L67" s="302">
        <v>4.4461017259740823</v>
      </c>
      <c r="M67" s="302">
        <v>0.82284559144456004</v>
      </c>
      <c r="N67" s="302">
        <v>2.9827979324232014E-2</v>
      </c>
      <c r="O67" s="302">
        <f t="shared" si="37"/>
        <v>5.2987752967428747</v>
      </c>
    </row>
    <row r="68" spans="1:15" s="236" customFormat="1" x14ac:dyDescent="0.2">
      <c r="A68" s="237" t="str">
        <f>name!E$12</f>
        <v>Elementary occupations</v>
      </c>
      <c r="B68" s="302">
        <v>3.6710751458036528</v>
      </c>
      <c r="C68" s="302">
        <v>0.87816450473680663</v>
      </c>
      <c r="D68" s="302">
        <v>2.1641591433071244E-2</v>
      </c>
      <c r="E68" s="302">
        <f t="shared" si="35"/>
        <v>4.570881241973531</v>
      </c>
      <c r="F68" s="303"/>
      <c r="G68" s="302">
        <v>3.3320104893112013</v>
      </c>
      <c r="H68" s="302">
        <v>1.2170716262430219</v>
      </c>
      <c r="I68" s="302">
        <v>8.0185864584666009E-3</v>
      </c>
      <c r="J68" s="302">
        <f t="shared" si="38"/>
        <v>4.5571007020126899</v>
      </c>
      <c r="K68" s="303"/>
      <c r="L68" s="302">
        <v>3.6106396857965981</v>
      </c>
      <c r="M68" s="302">
        <v>1.716129011327348</v>
      </c>
      <c r="N68" s="302">
        <v>1.7513773211810139E-2</v>
      </c>
      <c r="O68" s="302">
        <f t="shared" si="37"/>
        <v>5.3442824703357559</v>
      </c>
    </row>
    <row r="69" spans="1:15" s="236" customFormat="1" x14ac:dyDescent="0.2">
      <c r="A69" s="237"/>
      <c r="B69" s="302"/>
      <c r="C69" s="302"/>
      <c r="D69" s="302"/>
      <c r="E69" s="302"/>
      <c r="F69" s="303"/>
      <c r="G69" s="302"/>
      <c r="H69" s="302"/>
      <c r="I69" s="302"/>
      <c r="J69" s="302"/>
      <c r="K69" s="303"/>
      <c r="L69" s="302"/>
      <c r="M69" s="302"/>
      <c r="N69" s="302"/>
      <c r="O69" s="302"/>
    </row>
    <row r="70" spans="1:15" s="236" customFormat="1" x14ac:dyDescent="0.2">
      <c r="A70" s="244" t="s">
        <v>33</v>
      </c>
      <c r="B70" s="311">
        <f>SUM(B60:B68)</f>
        <v>19.582258855380783</v>
      </c>
      <c r="C70" s="311">
        <f t="shared" ref="C70:E70" si="39">SUM(C60:C68)</f>
        <v>2.1867406751022105</v>
      </c>
      <c r="D70" s="311">
        <f t="shared" si="39"/>
        <v>0.59900046951700858</v>
      </c>
      <c r="E70" s="311">
        <f t="shared" si="39"/>
        <v>22.368000000000002</v>
      </c>
      <c r="F70" s="311"/>
      <c r="G70" s="311">
        <f t="shared" ref="G70:J70" si="40">SUM(G60:G68)</f>
        <v>20.711493596446047</v>
      </c>
      <c r="H70" s="311">
        <f t="shared" si="40"/>
        <v>3.1425996221190013</v>
      </c>
      <c r="I70" s="311">
        <f t="shared" si="40"/>
        <v>0.29790678143496951</v>
      </c>
      <c r="J70" s="311">
        <f t="shared" si="40"/>
        <v>24.152000000000019</v>
      </c>
      <c r="K70" s="311"/>
      <c r="L70" s="311">
        <f t="shared" ref="L70:O70" si="41">SUM(L60:L68)</f>
        <v>21.635231061581994</v>
      </c>
      <c r="M70" s="311">
        <f t="shared" si="41"/>
        <v>3.2326897640844536</v>
      </c>
      <c r="N70" s="311">
        <f t="shared" si="41"/>
        <v>0.32407917433355377</v>
      </c>
      <c r="O70" s="311">
        <f t="shared" si="41"/>
        <v>25.192</v>
      </c>
    </row>
    <row r="71" spans="1:15" s="236" customFormat="1" x14ac:dyDescent="0.2">
      <c r="A71" s="237"/>
      <c r="B71" s="237"/>
      <c r="C71" s="237"/>
      <c r="D71" s="237"/>
      <c r="E71" s="237"/>
      <c r="F71" s="237"/>
      <c r="G71" s="237"/>
      <c r="H71" s="237"/>
      <c r="I71" s="237"/>
      <c r="J71" s="237"/>
      <c r="K71" s="237"/>
      <c r="L71" s="237"/>
      <c r="M71" s="237"/>
      <c r="N71" s="240"/>
    </row>
    <row r="72" spans="1:15" s="236" customFormat="1" x14ac:dyDescent="0.2">
      <c r="A72" s="237"/>
      <c r="B72" s="237"/>
      <c r="C72" s="237"/>
      <c r="D72" s="237"/>
      <c r="E72" s="237"/>
      <c r="F72" s="237"/>
      <c r="G72" s="237"/>
      <c r="H72" s="237"/>
      <c r="I72" s="237"/>
      <c r="J72" s="237"/>
      <c r="K72" s="237"/>
      <c r="L72" s="237"/>
      <c r="M72" s="237"/>
      <c r="N72" s="240"/>
      <c r="O72" s="251" t="s">
        <v>36</v>
      </c>
    </row>
    <row r="73" spans="1:15" s="236" customFormat="1" x14ac:dyDescent="0.2">
      <c r="A73" s="242"/>
      <c r="B73" s="242"/>
      <c r="C73" s="242"/>
      <c r="D73" s="242"/>
      <c r="E73" s="242"/>
      <c r="F73" s="242"/>
      <c r="G73" s="242"/>
      <c r="H73" s="242"/>
      <c r="I73" s="242"/>
      <c r="J73" s="242"/>
      <c r="K73" s="242"/>
      <c r="L73" s="242"/>
      <c r="M73" s="242"/>
      <c r="N73" s="242"/>
      <c r="O73" s="242"/>
    </row>
    <row r="74" spans="1:15" s="236" customFormat="1" x14ac:dyDescent="0.2">
      <c r="A74" s="241" t="str">
        <f>name!B7</f>
        <v>Engineering</v>
      </c>
      <c r="B74" s="377">
        <f>$B$6</f>
        <v>2015</v>
      </c>
      <c r="C74" s="377"/>
      <c r="D74" s="377"/>
      <c r="E74" s="377"/>
      <c r="F74" s="263"/>
      <c r="G74" s="377">
        <f>$G$6</f>
        <v>2020</v>
      </c>
      <c r="H74" s="377"/>
      <c r="I74" s="377"/>
      <c r="J74" s="377"/>
      <c r="K74" s="263"/>
      <c r="L74" s="377">
        <f>$L$6</f>
        <v>2035</v>
      </c>
      <c r="M74" s="377"/>
      <c r="N74" s="377"/>
      <c r="O74" s="377"/>
    </row>
    <row r="75" spans="1:15" s="236" customFormat="1" x14ac:dyDescent="0.2">
      <c r="A75" s="254"/>
      <c r="B75" s="268" t="str">
        <f>$B$7</f>
        <v>FT</v>
      </c>
      <c r="C75" s="268" t="str">
        <f>$C$7</f>
        <v>PT</v>
      </c>
      <c r="D75" s="268" t="str">
        <f>$D$7</f>
        <v>SE</v>
      </c>
      <c r="E75" s="268" t="str">
        <f>$E$7</f>
        <v>Total</v>
      </c>
      <c r="F75" s="268"/>
      <c r="G75" s="268" t="str">
        <f>$G$7</f>
        <v>FT</v>
      </c>
      <c r="H75" s="268" t="str">
        <f>$H$7</f>
        <v>PT</v>
      </c>
      <c r="I75" s="268" t="str">
        <f>$I$7</f>
        <v>SE</v>
      </c>
      <c r="J75" s="268" t="str">
        <f>$J$7</f>
        <v>Total</v>
      </c>
      <c r="K75" s="268"/>
      <c r="L75" s="268" t="str">
        <f>$L$7</f>
        <v>FT</v>
      </c>
      <c r="M75" s="268" t="str">
        <f>$M$7</f>
        <v>PT</v>
      </c>
      <c r="N75" s="268" t="str">
        <f>$N$7</f>
        <v>SE</v>
      </c>
      <c r="O75" s="268" t="str">
        <f>$O$7</f>
        <v>Total</v>
      </c>
    </row>
    <row r="76" spans="1:15" s="236" customFormat="1" x14ac:dyDescent="0.2">
      <c r="A76" s="258"/>
      <c r="B76" s="239"/>
      <c r="C76" s="239"/>
      <c r="D76" s="239"/>
      <c r="E76" s="239"/>
      <c r="F76" s="239"/>
      <c r="G76" s="239"/>
      <c r="H76" s="239"/>
      <c r="I76" s="239"/>
      <c r="J76" s="239"/>
      <c r="K76" s="239"/>
      <c r="L76" s="239"/>
      <c r="M76" s="239"/>
      <c r="N76" s="239"/>
      <c r="O76" s="239"/>
    </row>
    <row r="77" spans="1:15" s="236" customFormat="1" x14ac:dyDescent="0.2">
      <c r="A77" s="237" t="str">
        <f>name!E$4</f>
        <v>Managers, directors and senior officials</v>
      </c>
      <c r="B77" s="302">
        <v>0.88603761458760466</v>
      </c>
      <c r="C77" s="302">
        <v>5.0961307232659195E-2</v>
      </c>
      <c r="D77" s="302">
        <v>5.337119619098786E-2</v>
      </c>
      <c r="E77" s="302">
        <f>SUM(B77:D77)</f>
        <v>0.99037011801125174</v>
      </c>
      <c r="F77" s="303"/>
      <c r="G77" s="302">
        <v>0.67216451861923276</v>
      </c>
      <c r="H77" s="302">
        <v>7.1375296140482464E-2</v>
      </c>
      <c r="I77" s="302">
        <v>4.5040190244962461E-2</v>
      </c>
      <c r="J77" s="302">
        <f>SUM(G77:I77)</f>
        <v>0.78858000500467762</v>
      </c>
      <c r="K77" s="303"/>
      <c r="L77" s="302">
        <v>0.54424695941758461</v>
      </c>
      <c r="M77" s="302">
        <v>7.277078516629612E-2</v>
      </c>
      <c r="N77" s="302">
        <v>4.5614973395957235E-2</v>
      </c>
      <c r="O77" s="302">
        <f>SUM(L77:N77)</f>
        <v>0.66263271797983792</v>
      </c>
    </row>
    <row r="78" spans="1:15" s="236" customFormat="1" x14ac:dyDescent="0.2">
      <c r="A78" s="237" t="str">
        <f>name!E$5</f>
        <v>Professional occupations</v>
      </c>
      <c r="B78" s="302">
        <v>1.4208320251624618</v>
      </c>
      <c r="C78" s="302">
        <v>4.4578335916616453E-2</v>
      </c>
      <c r="D78" s="302">
        <v>3.5888073493665323E-2</v>
      </c>
      <c r="E78" s="302">
        <f t="shared" ref="E78:E85" si="42">SUM(B78:D78)</f>
        <v>1.5012984345727436</v>
      </c>
      <c r="F78" s="303"/>
      <c r="G78" s="302">
        <v>1.1526015941864234</v>
      </c>
      <c r="H78" s="302">
        <v>6.1399425746802558E-2</v>
      </c>
      <c r="I78" s="302">
        <v>2.6677921552982722E-2</v>
      </c>
      <c r="J78" s="302">
        <f t="shared" ref="J78:J80" si="43">SUM(G78:I78)</f>
        <v>1.2406789414862085</v>
      </c>
      <c r="K78" s="303"/>
      <c r="L78" s="302">
        <v>1.2745236364643371</v>
      </c>
      <c r="M78" s="302">
        <v>6.0089445453152243E-2</v>
      </c>
      <c r="N78" s="302">
        <v>1.7188372324353343E-2</v>
      </c>
      <c r="O78" s="302">
        <f t="shared" ref="O78:O85" si="44">SUM(L78:N78)</f>
        <v>1.3518014542418426</v>
      </c>
    </row>
    <row r="79" spans="1:15" s="236" customFormat="1" x14ac:dyDescent="0.2">
      <c r="A79" s="237" t="str">
        <f>name!E$6</f>
        <v>Associate professional occupations</v>
      </c>
      <c r="B79" s="302">
        <v>0.81402392041026972</v>
      </c>
      <c r="C79" s="302">
        <v>4.7185941817139213E-2</v>
      </c>
      <c r="D79" s="302">
        <v>2.4047851146019598E-2</v>
      </c>
      <c r="E79" s="302">
        <f t="shared" si="42"/>
        <v>0.88525771337342851</v>
      </c>
      <c r="F79" s="303"/>
      <c r="G79" s="302">
        <v>0.63709276151791283</v>
      </c>
      <c r="H79" s="302">
        <v>5.2548434724354297E-2</v>
      </c>
      <c r="I79" s="302">
        <v>1.4444546120771992E-2</v>
      </c>
      <c r="J79" s="302">
        <f t="shared" si="43"/>
        <v>0.70408574236303911</v>
      </c>
      <c r="K79" s="303"/>
      <c r="L79" s="302">
        <v>0.53401015684742859</v>
      </c>
      <c r="M79" s="302">
        <v>4.0459218439726101E-2</v>
      </c>
      <c r="N79" s="302">
        <v>1.1480620113827986E-2</v>
      </c>
      <c r="O79" s="302">
        <f t="shared" si="44"/>
        <v>0.58594999540098269</v>
      </c>
    </row>
    <row r="80" spans="1:15" s="236" customFormat="1" x14ac:dyDescent="0.2">
      <c r="A80" s="237" t="str">
        <f>name!E$7</f>
        <v>Administrative and secretarial occupations</v>
      </c>
      <c r="B80" s="302">
        <v>0.45812463417955446</v>
      </c>
      <c r="C80" s="302">
        <v>0.16141351617753327</v>
      </c>
      <c r="D80" s="302">
        <v>1.318877528106911E-2</v>
      </c>
      <c r="E80" s="302">
        <f t="shared" si="42"/>
        <v>0.6327269256381568</v>
      </c>
      <c r="F80" s="303"/>
      <c r="G80" s="302">
        <v>0.32819103979344127</v>
      </c>
      <c r="H80" s="302">
        <v>0.12981456458680046</v>
      </c>
      <c r="I80" s="302">
        <v>8.1098036452258455E-3</v>
      </c>
      <c r="J80" s="302">
        <f t="shared" si="43"/>
        <v>0.46611540802546758</v>
      </c>
      <c r="K80" s="303"/>
      <c r="L80" s="302">
        <v>0.29976317141339742</v>
      </c>
      <c r="M80" s="302">
        <v>8.6614302122420647E-2</v>
      </c>
      <c r="N80" s="302">
        <v>6.5795217074695878E-3</v>
      </c>
      <c r="O80" s="302">
        <f t="shared" si="44"/>
        <v>0.39295699524328764</v>
      </c>
    </row>
    <row r="81" spans="1:15" s="236" customFormat="1" x14ac:dyDescent="0.2">
      <c r="A81" s="237" t="str">
        <f>name!E$8</f>
        <v>Skilled trades occupations</v>
      </c>
      <c r="B81" s="302">
        <v>1.5786957211864279</v>
      </c>
      <c r="C81" s="302">
        <v>6.9306218521341695E-2</v>
      </c>
      <c r="D81" s="302">
        <v>8.7581152479394936E-2</v>
      </c>
      <c r="E81" s="302">
        <f t="shared" si="42"/>
        <v>1.7355830921871647</v>
      </c>
      <c r="F81" s="303"/>
      <c r="G81" s="302">
        <v>0.90426095343610469</v>
      </c>
      <c r="H81" s="302">
        <v>6.1767255757618836E-2</v>
      </c>
      <c r="I81" s="302">
        <v>5.4116302639367758E-2</v>
      </c>
      <c r="J81" s="302">
        <f>SUM(G81:I81)</f>
        <v>1.0201445118330914</v>
      </c>
      <c r="K81" s="303"/>
      <c r="L81" s="302">
        <v>0.63633216622550093</v>
      </c>
      <c r="M81" s="302">
        <v>6.559038987598266E-2</v>
      </c>
      <c r="N81" s="302">
        <v>5.8239711491013021E-2</v>
      </c>
      <c r="O81" s="302">
        <f t="shared" si="44"/>
        <v>0.76016226759249661</v>
      </c>
    </row>
    <row r="82" spans="1:15" s="236" customFormat="1" x14ac:dyDescent="0.2">
      <c r="A82" s="237" t="str">
        <f>name!E$9</f>
        <v>Caring, leisure and other service occupations</v>
      </c>
      <c r="B82" s="302">
        <v>4.0251539689516322E-2</v>
      </c>
      <c r="C82" s="302">
        <v>1.0080421966297222E-2</v>
      </c>
      <c r="D82" s="302">
        <v>2.8408024229673407E-3</v>
      </c>
      <c r="E82" s="302">
        <f t="shared" si="42"/>
        <v>5.3172764078780882E-2</v>
      </c>
      <c r="F82" s="303"/>
      <c r="G82" s="302">
        <v>2.5219096238909552E-2</v>
      </c>
      <c r="H82" s="302">
        <v>8.0890892223976236E-3</v>
      </c>
      <c r="I82" s="302">
        <v>2.3136802180163995E-3</v>
      </c>
      <c r="J82" s="302">
        <f t="shared" ref="J82:J85" si="45">SUM(G82:I82)</f>
        <v>3.5621865679323579E-2</v>
      </c>
      <c r="K82" s="303"/>
      <c r="L82" s="302">
        <v>1.7572952376852739E-2</v>
      </c>
      <c r="M82" s="302">
        <v>4.6717662555265053E-3</v>
      </c>
      <c r="N82" s="302">
        <v>3.0716747887141603E-3</v>
      </c>
      <c r="O82" s="302">
        <f t="shared" si="44"/>
        <v>2.5316393421093403E-2</v>
      </c>
    </row>
    <row r="83" spans="1:15" s="236" customFormat="1" x14ac:dyDescent="0.2">
      <c r="A83" s="237" t="str">
        <f>name!E$10</f>
        <v>Sales and customer service occupations</v>
      </c>
      <c r="B83" s="302">
        <v>0.19596411087849722</v>
      </c>
      <c r="C83" s="302">
        <v>4.0742099731661305E-2</v>
      </c>
      <c r="D83" s="302">
        <v>7.2874848313199698E-3</v>
      </c>
      <c r="E83" s="302">
        <f t="shared" si="42"/>
        <v>0.24399369544147848</v>
      </c>
      <c r="F83" s="303"/>
      <c r="G83" s="302">
        <v>0.13566647191696651</v>
      </c>
      <c r="H83" s="302">
        <v>4.5147644140493083E-2</v>
      </c>
      <c r="I83" s="302">
        <v>3.9309662788212544E-3</v>
      </c>
      <c r="J83" s="302">
        <f t="shared" si="45"/>
        <v>0.18474508233628084</v>
      </c>
      <c r="K83" s="303"/>
      <c r="L83" s="302">
        <v>0.12528071560728471</v>
      </c>
      <c r="M83" s="302">
        <v>5.350651109183957E-2</v>
      </c>
      <c r="N83" s="302">
        <v>3.354191530066743E-3</v>
      </c>
      <c r="O83" s="302">
        <f t="shared" si="44"/>
        <v>0.18214141822919103</v>
      </c>
    </row>
    <row r="84" spans="1:15" s="236" customFormat="1" x14ac:dyDescent="0.2">
      <c r="A84" s="237" t="str">
        <f>name!E$11</f>
        <v>Process, plant and machine operatives</v>
      </c>
      <c r="B84" s="302">
        <v>1.0290216367759577</v>
      </c>
      <c r="C84" s="302">
        <v>0.10722153369518528</v>
      </c>
      <c r="D84" s="302">
        <v>1.6106946283471073E-2</v>
      </c>
      <c r="E84" s="302">
        <f t="shared" si="42"/>
        <v>1.152350116754614</v>
      </c>
      <c r="F84" s="303"/>
      <c r="G84" s="302">
        <v>0.53368699271621556</v>
      </c>
      <c r="H84" s="302">
        <v>8.4960256100214487E-2</v>
      </c>
      <c r="I84" s="302">
        <v>1.1260951258155263E-2</v>
      </c>
      <c r="J84" s="302">
        <f t="shared" si="45"/>
        <v>0.62990820007458537</v>
      </c>
      <c r="K84" s="303"/>
      <c r="L84" s="302">
        <v>0.44947760766021327</v>
      </c>
      <c r="M84" s="302">
        <v>7.2601650877376814E-2</v>
      </c>
      <c r="N84" s="302">
        <v>1.2639601587616485E-2</v>
      </c>
      <c r="O84" s="302">
        <f t="shared" si="44"/>
        <v>0.53471886012520653</v>
      </c>
    </row>
    <row r="85" spans="1:15" s="236" customFormat="1" x14ac:dyDescent="0.2">
      <c r="A85" s="237" t="str">
        <f>name!E$12</f>
        <v>Elementary occupations</v>
      </c>
      <c r="B85" s="302">
        <v>0.33119263182074926</v>
      </c>
      <c r="C85" s="302">
        <v>3.8695864586423739E-2</v>
      </c>
      <c r="D85" s="302">
        <v>1.0358643535205022E-2</v>
      </c>
      <c r="E85" s="302">
        <f t="shared" si="42"/>
        <v>0.38024713994237808</v>
      </c>
      <c r="F85" s="303"/>
      <c r="G85" s="302">
        <v>0.17362014721349925</v>
      </c>
      <c r="H85" s="302">
        <v>2.9261638390951104E-2</v>
      </c>
      <c r="I85" s="302">
        <v>5.2384575928657862E-3</v>
      </c>
      <c r="J85" s="302">
        <f t="shared" si="45"/>
        <v>0.20812024319731615</v>
      </c>
      <c r="K85" s="303"/>
      <c r="L85" s="302">
        <v>0.16504255978683779</v>
      </c>
      <c r="M85" s="302">
        <v>4.2808681425899615E-2</v>
      </c>
      <c r="N85" s="302">
        <v>8.4686565533149995E-3</v>
      </c>
      <c r="O85" s="302">
        <f t="shared" si="44"/>
        <v>0.2163198977660524</v>
      </c>
    </row>
    <row r="86" spans="1:15" s="236" customFormat="1" x14ac:dyDescent="0.2">
      <c r="A86" s="237"/>
      <c r="B86" s="302"/>
      <c r="C86" s="302"/>
      <c r="D86" s="302"/>
      <c r="E86" s="302"/>
      <c r="F86" s="303"/>
      <c r="G86" s="302"/>
      <c r="H86" s="302"/>
      <c r="I86" s="302"/>
      <c r="J86" s="302"/>
      <c r="K86" s="303"/>
      <c r="L86" s="302"/>
      <c r="M86" s="302"/>
      <c r="N86" s="302"/>
      <c r="O86" s="302"/>
    </row>
    <row r="87" spans="1:15" s="236" customFormat="1" x14ac:dyDescent="0.2">
      <c r="A87" s="244" t="s">
        <v>33</v>
      </c>
      <c r="B87" s="311">
        <f>SUM(B77:B85)</f>
        <v>6.7541438346910398</v>
      </c>
      <c r="C87" s="311">
        <f t="shared" ref="C87:E87" si="46">SUM(C77:C85)</f>
        <v>0.57018523964485734</v>
      </c>
      <c r="D87" s="311">
        <f t="shared" si="46"/>
        <v>0.25067092566410021</v>
      </c>
      <c r="E87" s="311">
        <f t="shared" si="46"/>
        <v>7.5749999999999966</v>
      </c>
      <c r="F87" s="311"/>
      <c r="G87" s="311">
        <f t="shared" ref="G87:J87" si="47">SUM(G77:G85)</f>
        <v>4.5625035756387051</v>
      </c>
      <c r="H87" s="311">
        <f t="shared" si="47"/>
        <v>0.54436360481011492</v>
      </c>
      <c r="I87" s="311">
        <f t="shared" si="47"/>
        <v>0.17113281955116946</v>
      </c>
      <c r="J87" s="311">
        <f t="shared" si="47"/>
        <v>5.2779999999999916</v>
      </c>
      <c r="K87" s="311"/>
      <c r="L87" s="311">
        <f t="shared" ref="L87:O87" si="48">SUM(L77:L85)</f>
        <v>4.0462499257994367</v>
      </c>
      <c r="M87" s="311">
        <f t="shared" si="48"/>
        <v>0.49911275070822025</v>
      </c>
      <c r="N87" s="311">
        <f t="shared" si="48"/>
        <v>0.16663732349233357</v>
      </c>
      <c r="O87" s="311">
        <f t="shared" si="48"/>
        <v>4.7119999999999909</v>
      </c>
    </row>
    <row r="88" spans="1:15" s="236" customFormat="1" x14ac:dyDescent="0.2">
      <c r="A88" s="237"/>
      <c r="B88" s="237"/>
      <c r="C88" s="237"/>
      <c r="D88" s="237"/>
      <c r="E88" s="237"/>
      <c r="F88" s="237"/>
      <c r="G88" s="237"/>
      <c r="H88" s="237"/>
      <c r="I88" s="237"/>
      <c r="J88" s="237"/>
      <c r="K88" s="237"/>
      <c r="L88" s="237"/>
      <c r="M88" s="237"/>
      <c r="N88" s="240"/>
    </row>
    <row r="89" spans="1:15" s="236" customFormat="1" x14ac:dyDescent="0.2">
      <c r="A89" s="237"/>
      <c r="B89" s="237"/>
      <c r="C89" s="237"/>
      <c r="D89" s="237"/>
      <c r="E89" s="237"/>
      <c r="F89" s="237"/>
      <c r="G89" s="237"/>
      <c r="H89" s="237"/>
      <c r="I89" s="237"/>
      <c r="J89" s="237"/>
      <c r="K89" s="237"/>
      <c r="L89" s="237"/>
      <c r="M89" s="237"/>
      <c r="N89" s="240"/>
      <c r="O89" s="251" t="s">
        <v>36</v>
      </c>
    </row>
    <row r="90" spans="1:15" s="236" customFormat="1" x14ac:dyDescent="0.2">
      <c r="A90" s="242"/>
      <c r="B90" s="242"/>
      <c r="C90" s="242"/>
      <c r="D90" s="242"/>
      <c r="E90" s="242"/>
      <c r="F90" s="242"/>
      <c r="G90" s="242"/>
      <c r="H90" s="242"/>
      <c r="I90" s="242"/>
      <c r="J90" s="242"/>
      <c r="K90" s="242"/>
      <c r="L90" s="242"/>
      <c r="M90" s="242"/>
      <c r="N90" s="242"/>
      <c r="O90" s="242"/>
    </row>
    <row r="91" spans="1:15" s="236" customFormat="1" x14ac:dyDescent="0.2">
      <c r="A91" s="241" t="str">
        <f>name!B8</f>
        <v>Rest of manufacturing</v>
      </c>
      <c r="B91" s="377">
        <f>$B$6</f>
        <v>2015</v>
      </c>
      <c r="C91" s="377"/>
      <c r="D91" s="377"/>
      <c r="E91" s="377"/>
      <c r="F91" s="263"/>
      <c r="G91" s="377">
        <f>$G$6</f>
        <v>2020</v>
      </c>
      <c r="H91" s="377"/>
      <c r="I91" s="377"/>
      <c r="J91" s="377"/>
      <c r="K91" s="263"/>
      <c r="L91" s="377">
        <f>$L$6</f>
        <v>2035</v>
      </c>
      <c r="M91" s="377"/>
      <c r="N91" s="377"/>
      <c r="O91" s="377"/>
    </row>
    <row r="92" spans="1:15" s="236" customFormat="1" x14ac:dyDescent="0.2">
      <c r="A92" s="254"/>
      <c r="B92" s="268" t="str">
        <f>$B$7</f>
        <v>FT</v>
      </c>
      <c r="C92" s="268" t="str">
        <f>$C$7</f>
        <v>PT</v>
      </c>
      <c r="D92" s="268" t="str">
        <f>$D$7</f>
        <v>SE</v>
      </c>
      <c r="E92" s="268" t="str">
        <f>$E$7</f>
        <v>Total</v>
      </c>
      <c r="F92" s="268"/>
      <c r="G92" s="268" t="str">
        <f>$G$7</f>
        <v>FT</v>
      </c>
      <c r="H92" s="268" t="str">
        <f>$H$7</f>
        <v>PT</v>
      </c>
      <c r="I92" s="268" t="str">
        <f>$I$7</f>
        <v>SE</v>
      </c>
      <c r="J92" s="268" t="str">
        <f>$J$7</f>
        <v>Total</v>
      </c>
      <c r="K92" s="268"/>
      <c r="L92" s="268" t="str">
        <f>$L$7</f>
        <v>FT</v>
      </c>
      <c r="M92" s="268" t="str">
        <f>$M$7</f>
        <v>PT</v>
      </c>
      <c r="N92" s="268" t="str">
        <f>$N$7</f>
        <v>SE</v>
      </c>
      <c r="O92" s="268" t="str">
        <f>$O$7</f>
        <v>Total</v>
      </c>
    </row>
    <row r="93" spans="1:15" s="236" customFormat="1" x14ac:dyDescent="0.2">
      <c r="A93" s="258"/>
      <c r="B93" s="239"/>
      <c r="C93" s="239"/>
      <c r="D93" s="239"/>
      <c r="E93" s="239"/>
      <c r="F93" s="239"/>
      <c r="G93" s="239"/>
      <c r="H93" s="239"/>
      <c r="I93" s="239"/>
      <c r="J93" s="239"/>
      <c r="K93" s="239"/>
      <c r="L93" s="239"/>
      <c r="M93" s="239"/>
      <c r="N93" s="239"/>
      <c r="O93" s="239"/>
    </row>
    <row r="94" spans="1:15" s="236" customFormat="1" x14ac:dyDescent="0.2">
      <c r="A94" s="237" t="str">
        <f>name!E$4</f>
        <v>Managers, directors and senior officials</v>
      </c>
      <c r="B94" s="302">
        <v>3.439419655763996</v>
      </c>
      <c r="C94" s="302">
        <v>0.17066443315918717</v>
      </c>
      <c r="D94" s="302">
        <v>0.46919697173722202</v>
      </c>
      <c r="E94" s="302">
        <f>SUM(B94:D94)</f>
        <v>4.0792810606604055</v>
      </c>
      <c r="F94" s="303"/>
      <c r="G94" s="302">
        <v>3.821912669534024</v>
      </c>
      <c r="H94" s="302">
        <v>0.35708169204122381</v>
      </c>
      <c r="I94" s="302">
        <v>0.47454150447145044</v>
      </c>
      <c r="J94" s="302">
        <f>SUM(G94:I94)</f>
        <v>4.6535358660466981</v>
      </c>
      <c r="K94" s="303"/>
      <c r="L94" s="302">
        <v>2.9257940641015852</v>
      </c>
      <c r="M94" s="302">
        <v>0.30967966773331967</v>
      </c>
      <c r="N94" s="302">
        <v>0.42634674067162187</v>
      </c>
      <c r="O94" s="302">
        <f>SUM(L94:N94)</f>
        <v>3.6618204725065269</v>
      </c>
    </row>
    <row r="95" spans="1:15" s="236" customFormat="1" x14ac:dyDescent="0.2">
      <c r="A95" s="237" t="str">
        <f>name!E$5</f>
        <v>Professional occupations</v>
      </c>
      <c r="B95" s="302">
        <v>4.2330025827787994</v>
      </c>
      <c r="C95" s="302">
        <v>0.16269941405820418</v>
      </c>
      <c r="D95" s="302">
        <v>0.2521346090911889</v>
      </c>
      <c r="E95" s="302">
        <f t="shared" ref="E95:E102" si="49">SUM(B95:D95)</f>
        <v>4.6478366059281928</v>
      </c>
      <c r="F95" s="303"/>
      <c r="G95" s="302">
        <v>5.5199603573222085</v>
      </c>
      <c r="H95" s="302">
        <v>0.29591937918779898</v>
      </c>
      <c r="I95" s="302">
        <v>0.23500065168091208</v>
      </c>
      <c r="J95" s="302">
        <f t="shared" ref="J95:J97" si="50">SUM(G95:I95)</f>
        <v>6.0508803881909197</v>
      </c>
      <c r="K95" s="303"/>
      <c r="L95" s="302">
        <v>6.2305725636602283</v>
      </c>
      <c r="M95" s="302">
        <v>0.2667520264499631</v>
      </c>
      <c r="N95" s="302">
        <v>0.16267529764525018</v>
      </c>
      <c r="O95" s="302">
        <f t="shared" ref="O95:O102" si="51">SUM(L95:N95)</f>
        <v>6.6599998877554416</v>
      </c>
    </row>
    <row r="96" spans="1:15" s="236" customFormat="1" x14ac:dyDescent="0.2">
      <c r="A96" s="237" t="str">
        <f>name!E$6</f>
        <v>Associate professional occupations</v>
      </c>
      <c r="B96" s="302">
        <v>3.1840501765334013</v>
      </c>
      <c r="C96" s="302">
        <v>0.24318613375400516</v>
      </c>
      <c r="D96" s="302">
        <v>0.27888751757524277</v>
      </c>
      <c r="E96" s="302">
        <f t="shared" si="49"/>
        <v>3.7061238278626494</v>
      </c>
      <c r="F96" s="303"/>
      <c r="G96" s="302">
        <v>3.6938771995250796</v>
      </c>
      <c r="H96" s="302">
        <v>0.38004495194576599</v>
      </c>
      <c r="I96" s="302">
        <v>0.18618168698551785</v>
      </c>
      <c r="J96" s="302">
        <f t="shared" si="50"/>
        <v>4.260103838456363</v>
      </c>
      <c r="K96" s="303"/>
      <c r="L96" s="302">
        <v>3.122313786612759</v>
      </c>
      <c r="M96" s="302">
        <v>0.21555174122583434</v>
      </c>
      <c r="N96" s="302">
        <v>0.16728125105815136</v>
      </c>
      <c r="O96" s="302">
        <f t="shared" si="51"/>
        <v>3.5051467788967448</v>
      </c>
    </row>
    <row r="97" spans="1:15" s="236" customFormat="1" x14ac:dyDescent="0.2">
      <c r="A97" s="237" t="str">
        <f>name!E$7</f>
        <v>Administrative and secretarial occupations</v>
      </c>
      <c r="B97" s="302">
        <v>2.8458170101631919</v>
      </c>
      <c r="C97" s="302">
        <v>0.86556332110906065</v>
      </c>
      <c r="D97" s="302">
        <v>9.4831088604700464E-2</v>
      </c>
      <c r="E97" s="302">
        <f t="shared" si="49"/>
        <v>3.806211419876953</v>
      </c>
      <c r="F97" s="303"/>
      <c r="G97" s="302">
        <v>2.8609731218550309</v>
      </c>
      <c r="H97" s="302">
        <v>0.74802014137946338</v>
      </c>
      <c r="I97" s="302">
        <v>6.759548688864038E-2</v>
      </c>
      <c r="J97" s="302">
        <f t="shared" si="50"/>
        <v>3.6765887501231349</v>
      </c>
      <c r="K97" s="303"/>
      <c r="L97" s="302">
        <v>2.6276123135498946</v>
      </c>
      <c r="M97" s="302">
        <v>0.41329489714407486</v>
      </c>
      <c r="N97" s="302">
        <v>5.9141776253511733E-2</v>
      </c>
      <c r="O97" s="302">
        <f t="shared" si="51"/>
        <v>3.1000489869474812</v>
      </c>
    </row>
    <row r="98" spans="1:15" s="236" customFormat="1" x14ac:dyDescent="0.2">
      <c r="A98" s="237" t="str">
        <f>name!E$8</f>
        <v>Skilled trades occupations</v>
      </c>
      <c r="B98" s="302">
        <v>7.5749783013996934</v>
      </c>
      <c r="C98" s="302">
        <v>0.29938240134805372</v>
      </c>
      <c r="D98" s="302">
        <v>1.2071779688176822</v>
      </c>
      <c r="E98" s="302">
        <f t="shared" si="49"/>
        <v>9.0815386715654292</v>
      </c>
      <c r="F98" s="303"/>
      <c r="G98" s="302">
        <v>6.1848767108731009</v>
      </c>
      <c r="H98" s="302">
        <v>0.38868188175085638</v>
      </c>
      <c r="I98" s="302">
        <v>1.0207869337645263</v>
      </c>
      <c r="J98" s="302">
        <f>SUM(G98:I98)</f>
        <v>7.5943455263884836</v>
      </c>
      <c r="K98" s="303"/>
      <c r="L98" s="302">
        <v>4.0828833711997516</v>
      </c>
      <c r="M98" s="302">
        <v>0.32378477800049915</v>
      </c>
      <c r="N98" s="302">
        <v>0.77394013303622156</v>
      </c>
      <c r="O98" s="302">
        <f t="shared" si="51"/>
        <v>5.1806082822364727</v>
      </c>
    </row>
    <row r="99" spans="1:15" s="236" customFormat="1" x14ac:dyDescent="0.2">
      <c r="A99" s="237" t="str">
        <f>name!E$9</f>
        <v>Caring, leisure and other service occupations</v>
      </c>
      <c r="B99" s="302">
        <v>0.20792676922227873</v>
      </c>
      <c r="C99" s="302">
        <v>8.2024866095752713E-2</v>
      </c>
      <c r="D99" s="302">
        <v>3.9492139552515827E-2</v>
      </c>
      <c r="E99" s="302">
        <f t="shared" si="49"/>
        <v>0.32944377487054732</v>
      </c>
      <c r="F99" s="303"/>
      <c r="G99" s="302">
        <v>0.32482139579191993</v>
      </c>
      <c r="H99" s="302">
        <v>0.11987318346091902</v>
      </c>
      <c r="I99" s="302">
        <v>5.5088030001164821E-2</v>
      </c>
      <c r="J99" s="302">
        <f t="shared" ref="J99:J102" si="52">SUM(G99:I99)</f>
        <v>0.49978260925400375</v>
      </c>
      <c r="K99" s="303"/>
      <c r="L99" s="302">
        <v>0.31586292379685288</v>
      </c>
      <c r="M99" s="302">
        <v>9.601157572010742E-2</v>
      </c>
      <c r="N99" s="302">
        <v>7.1023914522806472E-2</v>
      </c>
      <c r="O99" s="302">
        <f t="shared" si="51"/>
        <v>0.4828984140397668</v>
      </c>
    </row>
    <row r="100" spans="1:15" s="236" customFormat="1" x14ac:dyDescent="0.2">
      <c r="A100" s="237" t="str">
        <f>name!E$10</f>
        <v>Sales and customer service occupations</v>
      </c>
      <c r="B100" s="302">
        <v>1.0526794500591714</v>
      </c>
      <c r="C100" s="302">
        <v>0.24110101823901578</v>
      </c>
      <c r="D100" s="302">
        <v>0.10144211102374096</v>
      </c>
      <c r="E100" s="302">
        <f t="shared" si="49"/>
        <v>1.3952225793219282</v>
      </c>
      <c r="F100" s="303"/>
      <c r="G100" s="302">
        <v>0.96770592639795083</v>
      </c>
      <c r="H100" s="302">
        <v>0.28978113162647606</v>
      </c>
      <c r="I100" s="302">
        <v>6.5703651209505984E-2</v>
      </c>
      <c r="J100" s="302">
        <f t="shared" si="52"/>
        <v>1.3231907092339328</v>
      </c>
      <c r="K100" s="303"/>
      <c r="L100" s="302">
        <v>0.88969727510042096</v>
      </c>
      <c r="M100" s="302">
        <v>0.22654631307229445</v>
      </c>
      <c r="N100" s="302">
        <v>4.1802048339465644E-2</v>
      </c>
      <c r="O100" s="302">
        <f t="shared" si="51"/>
        <v>1.158045636512181</v>
      </c>
    </row>
    <row r="101" spans="1:15" s="236" customFormat="1" x14ac:dyDescent="0.2">
      <c r="A101" s="237" t="str">
        <f>name!E$11</f>
        <v>Process, plant and machine operatives</v>
      </c>
      <c r="B101" s="302">
        <v>7.5444880323197188</v>
      </c>
      <c r="C101" s="302">
        <v>0.54600863192394677</v>
      </c>
      <c r="D101" s="302">
        <v>0.27690545656340348</v>
      </c>
      <c r="E101" s="302">
        <f t="shared" si="49"/>
        <v>8.3674021208070695</v>
      </c>
      <c r="F101" s="303"/>
      <c r="G101" s="302">
        <v>6.0901745189362613</v>
      </c>
      <c r="H101" s="302">
        <v>0.93599211981917019</v>
      </c>
      <c r="I101" s="302">
        <v>0.32470830243497173</v>
      </c>
      <c r="J101" s="302">
        <f t="shared" si="52"/>
        <v>7.3508749411904031</v>
      </c>
      <c r="K101" s="303"/>
      <c r="L101" s="302">
        <v>4.4878111952348698</v>
      </c>
      <c r="M101" s="302">
        <v>0.7476142079383139</v>
      </c>
      <c r="N101" s="302">
        <v>0.29937151605885803</v>
      </c>
      <c r="O101" s="302">
        <f t="shared" si="51"/>
        <v>5.5347969192320416</v>
      </c>
    </row>
    <row r="102" spans="1:15" s="236" customFormat="1" x14ac:dyDescent="0.2">
      <c r="A102" s="237" t="str">
        <f>name!E$12</f>
        <v>Elementary occupations</v>
      </c>
      <c r="B102" s="302">
        <v>2.9022331949730038</v>
      </c>
      <c r="C102" s="302">
        <v>0.51190528550076964</v>
      </c>
      <c r="D102" s="302">
        <v>0.2188014586331741</v>
      </c>
      <c r="E102" s="302">
        <f t="shared" si="49"/>
        <v>3.6329399391069477</v>
      </c>
      <c r="F102" s="303"/>
      <c r="G102" s="302">
        <v>2.2824310633998586</v>
      </c>
      <c r="H102" s="302">
        <v>0.58600592523404005</v>
      </c>
      <c r="I102" s="302">
        <v>0.32626038248219824</v>
      </c>
      <c r="J102" s="302">
        <f t="shared" si="52"/>
        <v>3.1946973711160971</v>
      </c>
      <c r="K102" s="303"/>
      <c r="L102" s="302">
        <v>1.9322861288375779</v>
      </c>
      <c r="M102" s="302">
        <v>0.74404724409214806</v>
      </c>
      <c r="N102" s="302">
        <v>0.29730124894357679</v>
      </c>
      <c r="O102" s="302">
        <f t="shared" si="51"/>
        <v>2.9736346218733027</v>
      </c>
    </row>
    <row r="103" spans="1:15" s="236" customFormat="1" x14ac:dyDescent="0.2">
      <c r="A103" s="237"/>
      <c r="B103" s="302"/>
      <c r="C103" s="302"/>
      <c r="D103" s="302"/>
      <c r="E103" s="302"/>
      <c r="F103" s="303"/>
      <c r="G103" s="302"/>
      <c r="H103" s="302"/>
      <c r="I103" s="302"/>
      <c r="J103" s="302"/>
      <c r="K103" s="303"/>
      <c r="L103" s="302"/>
      <c r="M103" s="302"/>
      <c r="N103" s="302"/>
      <c r="O103" s="302"/>
    </row>
    <row r="104" spans="1:15" s="236" customFormat="1" x14ac:dyDescent="0.2">
      <c r="A104" s="244" t="s">
        <v>33</v>
      </c>
      <c r="B104" s="311">
        <f>SUM(B94:B102)</f>
        <v>32.984595173213251</v>
      </c>
      <c r="C104" s="311">
        <f t="shared" ref="C104:E104" si="53">SUM(C94:C102)</f>
        <v>3.1225355051879959</v>
      </c>
      <c r="D104" s="311">
        <f t="shared" si="53"/>
        <v>2.9388693215988706</v>
      </c>
      <c r="E104" s="311">
        <f t="shared" si="53"/>
        <v>39.04600000000012</v>
      </c>
      <c r="F104" s="311"/>
      <c r="G104" s="311">
        <f t="shared" ref="G104:J104" si="54">SUM(G94:G102)</f>
        <v>31.746732963635434</v>
      </c>
      <c r="H104" s="311">
        <f t="shared" si="54"/>
        <v>4.1014004064457135</v>
      </c>
      <c r="I104" s="311">
        <f t="shared" si="54"/>
        <v>2.7558666299188879</v>
      </c>
      <c r="J104" s="311">
        <f t="shared" si="54"/>
        <v>38.604000000000042</v>
      </c>
      <c r="K104" s="311"/>
      <c r="L104" s="311">
        <f t="shared" ref="L104:O104" si="55">SUM(L94:L102)</f>
        <v>26.61483362209394</v>
      </c>
      <c r="M104" s="311">
        <f t="shared" si="55"/>
        <v>3.3432824513765547</v>
      </c>
      <c r="N104" s="311">
        <f t="shared" si="55"/>
        <v>2.2988839265294638</v>
      </c>
      <c r="O104" s="311">
        <f t="shared" si="55"/>
        <v>32.256999999999962</v>
      </c>
    </row>
    <row r="105" spans="1:15" s="236" customFormat="1" x14ac:dyDescent="0.2">
      <c r="A105" s="237"/>
      <c r="B105" s="237"/>
      <c r="C105" s="237"/>
      <c r="D105" s="237"/>
      <c r="E105" s="237"/>
      <c r="F105" s="237"/>
      <c r="G105" s="237"/>
      <c r="H105" s="237"/>
      <c r="I105" s="237"/>
      <c r="J105" s="237"/>
      <c r="K105" s="237"/>
      <c r="L105" s="237"/>
      <c r="M105" s="237"/>
      <c r="N105" s="240"/>
    </row>
    <row r="106" spans="1:15" s="236" customFormat="1" x14ac:dyDescent="0.2">
      <c r="A106" s="237"/>
      <c r="B106" s="237"/>
      <c r="C106" s="237"/>
      <c r="D106" s="237"/>
      <c r="E106" s="237"/>
      <c r="F106" s="237"/>
      <c r="G106" s="237"/>
      <c r="H106" s="237"/>
      <c r="I106" s="237"/>
      <c r="J106" s="237"/>
      <c r="K106" s="237"/>
      <c r="L106" s="237"/>
      <c r="M106" s="237"/>
      <c r="N106" s="240"/>
      <c r="O106" s="251" t="s">
        <v>36</v>
      </c>
    </row>
    <row r="107" spans="1:15" s="236" customFormat="1" x14ac:dyDescent="0.2">
      <c r="A107" s="242"/>
      <c r="B107" s="242"/>
      <c r="C107" s="242"/>
      <c r="D107" s="242"/>
      <c r="E107" s="242"/>
      <c r="F107" s="242"/>
      <c r="G107" s="242"/>
      <c r="H107" s="242"/>
      <c r="I107" s="242"/>
      <c r="J107" s="242"/>
      <c r="K107" s="242"/>
      <c r="L107" s="242"/>
      <c r="M107" s="242"/>
      <c r="N107" s="242"/>
      <c r="O107" s="242"/>
    </row>
    <row r="108" spans="1:15" s="236" customFormat="1" x14ac:dyDescent="0.2">
      <c r="A108" s="241" t="str">
        <f>name!B9</f>
        <v>Electricity and gas</v>
      </c>
      <c r="B108" s="377">
        <f>$B$6</f>
        <v>2015</v>
      </c>
      <c r="C108" s="377"/>
      <c r="D108" s="377"/>
      <c r="E108" s="377"/>
      <c r="F108" s="263"/>
      <c r="G108" s="377">
        <f>$G$6</f>
        <v>2020</v>
      </c>
      <c r="H108" s="377"/>
      <c r="I108" s="377"/>
      <c r="J108" s="377"/>
      <c r="K108" s="263"/>
      <c r="L108" s="377">
        <f>$L$6</f>
        <v>2035</v>
      </c>
      <c r="M108" s="377"/>
      <c r="N108" s="377"/>
      <c r="O108" s="377"/>
    </row>
    <row r="109" spans="1:15" s="236" customFormat="1" x14ac:dyDescent="0.2">
      <c r="A109" s="254"/>
      <c r="B109" s="268" t="str">
        <f>$B$7</f>
        <v>FT</v>
      </c>
      <c r="C109" s="268" t="str">
        <f>$C$7</f>
        <v>PT</v>
      </c>
      <c r="D109" s="268" t="str">
        <f>$D$7</f>
        <v>SE</v>
      </c>
      <c r="E109" s="268" t="str">
        <f>$E$7</f>
        <v>Total</v>
      </c>
      <c r="F109" s="268"/>
      <c r="G109" s="268" t="str">
        <f>$G$7</f>
        <v>FT</v>
      </c>
      <c r="H109" s="268" t="str">
        <f>$H$7</f>
        <v>PT</v>
      </c>
      <c r="I109" s="268" t="str">
        <f>$I$7</f>
        <v>SE</v>
      </c>
      <c r="J109" s="268" t="str">
        <f>$J$7</f>
        <v>Total</v>
      </c>
      <c r="K109" s="268"/>
      <c r="L109" s="268" t="str">
        <f>$L$7</f>
        <v>FT</v>
      </c>
      <c r="M109" s="268" t="str">
        <f>$M$7</f>
        <v>PT</v>
      </c>
      <c r="N109" s="268" t="str">
        <f>$N$7</f>
        <v>SE</v>
      </c>
      <c r="O109" s="268" t="str">
        <f>$O$7</f>
        <v>Total</v>
      </c>
    </row>
    <row r="110" spans="1:15" s="236" customFormat="1" x14ac:dyDescent="0.2">
      <c r="A110" s="258"/>
      <c r="B110" s="239"/>
      <c r="C110" s="239"/>
      <c r="D110" s="239"/>
      <c r="E110" s="239"/>
      <c r="F110" s="239"/>
      <c r="G110" s="239"/>
      <c r="H110" s="239"/>
      <c r="I110" s="239"/>
      <c r="J110" s="239"/>
      <c r="K110" s="239"/>
      <c r="L110" s="239"/>
      <c r="M110" s="239"/>
      <c r="N110" s="239"/>
      <c r="O110" s="239"/>
    </row>
    <row r="111" spans="1:15" s="236" customFormat="1" x14ac:dyDescent="0.2">
      <c r="A111" s="237" t="str">
        <f>name!E$4</f>
        <v>Managers, directors and senior officials</v>
      </c>
      <c r="B111" s="302">
        <v>0.12156363777187426</v>
      </c>
      <c r="C111" s="302">
        <v>5.2482703257335324E-3</v>
      </c>
      <c r="D111" s="302">
        <v>7.6387529205587104E-3</v>
      </c>
      <c r="E111" s="302">
        <f>SUM(B111:D111)</f>
        <v>0.1344506610181665</v>
      </c>
      <c r="F111" s="303"/>
      <c r="G111" s="302">
        <v>0.14584180278007877</v>
      </c>
      <c r="H111" s="302">
        <v>5.4150661077274698E-3</v>
      </c>
      <c r="I111" s="302">
        <v>0</v>
      </c>
      <c r="J111" s="302">
        <f>SUM(G111:I111)</f>
        <v>0.15125686888780623</v>
      </c>
      <c r="K111" s="303"/>
      <c r="L111" s="302">
        <v>0.13273124074786577</v>
      </c>
      <c r="M111" s="302">
        <v>5.6176490956909193E-3</v>
      </c>
      <c r="N111" s="302">
        <v>0</v>
      </c>
      <c r="O111" s="302">
        <f>SUM(L111:N111)</f>
        <v>0.1383488898435567</v>
      </c>
    </row>
    <row r="112" spans="1:15" s="236" customFormat="1" x14ac:dyDescent="0.2">
      <c r="A112" s="237" t="str">
        <f>name!E$5</f>
        <v>Professional occupations</v>
      </c>
      <c r="B112" s="302">
        <v>0.27949190958232817</v>
      </c>
      <c r="C112" s="302">
        <v>9.3840459963466134E-3</v>
      </c>
      <c r="D112" s="302">
        <v>1.2006740761488978E-2</v>
      </c>
      <c r="E112" s="302">
        <f t="shared" ref="E112:E119" si="56">SUM(B112:D112)</f>
        <v>0.30088269634016379</v>
      </c>
      <c r="F112" s="303"/>
      <c r="G112" s="302">
        <v>0.37094663607461575</v>
      </c>
      <c r="H112" s="302">
        <v>6.5508148283041088E-3</v>
      </c>
      <c r="I112" s="302">
        <v>0</v>
      </c>
      <c r="J112" s="302">
        <f t="shared" ref="J112:J114" si="57">SUM(G112:I112)</f>
        <v>0.37749745090291986</v>
      </c>
      <c r="K112" s="303"/>
      <c r="L112" s="302">
        <v>0.44706831964515931</v>
      </c>
      <c r="M112" s="302">
        <v>7.0339772931886958E-3</v>
      </c>
      <c r="N112" s="302">
        <v>0</v>
      </c>
      <c r="O112" s="302">
        <f t="shared" ref="O112:O119" si="58">SUM(L112:N112)</f>
        <v>0.45410229693834803</v>
      </c>
    </row>
    <row r="113" spans="1:15" s="236" customFormat="1" x14ac:dyDescent="0.2">
      <c r="A113" s="237" t="str">
        <f>name!E$6</f>
        <v>Associate professional occupations</v>
      </c>
      <c r="B113" s="302">
        <v>0.1451145619814688</v>
      </c>
      <c r="C113" s="302">
        <v>7.9094174703535098E-3</v>
      </c>
      <c r="D113" s="302">
        <v>3.8201740980897984E-3</v>
      </c>
      <c r="E113" s="302">
        <f t="shared" si="56"/>
        <v>0.1568441535499121</v>
      </c>
      <c r="F113" s="303"/>
      <c r="G113" s="302">
        <v>0.18721001344164859</v>
      </c>
      <c r="H113" s="302">
        <v>6.5451274030645136E-3</v>
      </c>
      <c r="I113" s="302">
        <v>0</v>
      </c>
      <c r="J113" s="302">
        <f t="shared" si="57"/>
        <v>0.1937551408447131</v>
      </c>
      <c r="K113" s="303"/>
      <c r="L113" s="302">
        <v>0.16939207131858275</v>
      </c>
      <c r="M113" s="302">
        <v>5.8644184165357327E-3</v>
      </c>
      <c r="N113" s="302">
        <v>0</v>
      </c>
      <c r="O113" s="302">
        <f t="shared" si="58"/>
        <v>0.17525648973511848</v>
      </c>
    </row>
    <row r="114" spans="1:15" s="236" customFormat="1" x14ac:dyDescent="0.2">
      <c r="A114" s="237" t="str">
        <f>name!E$7</f>
        <v>Administrative and secretarial occupations</v>
      </c>
      <c r="B114" s="302">
        <v>0.11695276706287575</v>
      </c>
      <c r="C114" s="302">
        <v>2.9747865772010586E-2</v>
      </c>
      <c r="D114" s="302">
        <v>1.2025284017201008E-3</v>
      </c>
      <c r="E114" s="302">
        <f t="shared" si="56"/>
        <v>0.14790316123660643</v>
      </c>
      <c r="F114" s="303"/>
      <c r="G114" s="302">
        <v>0.12365018282778063</v>
      </c>
      <c r="H114" s="302">
        <v>2.3899426264950643E-2</v>
      </c>
      <c r="I114" s="302">
        <v>0</v>
      </c>
      <c r="J114" s="302">
        <f t="shared" si="57"/>
        <v>0.14754960909273127</v>
      </c>
      <c r="K114" s="303"/>
      <c r="L114" s="302">
        <v>9.3036423706295737E-2</v>
      </c>
      <c r="M114" s="302">
        <v>2.0685878087892382E-2</v>
      </c>
      <c r="N114" s="302">
        <v>0</v>
      </c>
      <c r="O114" s="302">
        <f t="shared" si="58"/>
        <v>0.11372230179418812</v>
      </c>
    </row>
    <row r="115" spans="1:15" s="236" customFormat="1" x14ac:dyDescent="0.2">
      <c r="A115" s="237" t="str">
        <f>name!E$8</f>
        <v>Skilled trades occupations</v>
      </c>
      <c r="B115" s="302">
        <v>0.26284143225950662</v>
      </c>
      <c r="C115" s="302">
        <v>1.5507560064806069E-2</v>
      </c>
      <c r="D115" s="302">
        <v>1.0050799054547808E-2</v>
      </c>
      <c r="E115" s="302">
        <f t="shared" si="56"/>
        <v>0.28839979137886051</v>
      </c>
      <c r="F115" s="303"/>
      <c r="G115" s="302">
        <v>0.22018135366974545</v>
      </c>
      <c r="H115" s="302">
        <v>2.6048495291068237E-3</v>
      </c>
      <c r="I115" s="302">
        <v>0</v>
      </c>
      <c r="J115" s="302">
        <f>SUM(G115:I115)</f>
        <v>0.22278620319885228</v>
      </c>
      <c r="K115" s="303"/>
      <c r="L115" s="302">
        <v>0.15942021072910997</v>
      </c>
      <c r="M115" s="302">
        <v>2.2449052360998863E-3</v>
      </c>
      <c r="N115" s="302">
        <v>0</v>
      </c>
      <c r="O115" s="302">
        <f t="shared" si="58"/>
        <v>0.16166511596520985</v>
      </c>
    </row>
    <row r="116" spans="1:15" s="236" customFormat="1" x14ac:dyDescent="0.2">
      <c r="A116" s="237" t="str">
        <f>name!E$9</f>
        <v>Caring, leisure and other service occupations</v>
      </c>
      <c r="B116" s="302">
        <v>2.3972342250902626E-2</v>
      </c>
      <c r="C116" s="302">
        <v>4.0418419709774027E-3</v>
      </c>
      <c r="D116" s="302">
        <v>1.9581390667038629E-4</v>
      </c>
      <c r="E116" s="302">
        <f t="shared" si="56"/>
        <v>2.8209998128550417E-2</v>
      </c>
      <c r="F116" s="303"/>
      <c r="G116" s="302">
        <v>2.3909145053309717E-2</v>
      </c>
      <c r="H116" s="302">
        <v>2.3715877799004139E-3</v>
      </c>
      <c r="I116" s="302">
        <v>0</v>
      </c>
      <c r="J116" s="302">
        <f t="shared" ref="J116:J119" si="59">SUM(G116:I116)</f>
        <v>2.628073283321013E-2</v>
      </c>
      <c r="K116" s="303"/>
      <c r="L116" s="302">
        <v>2.2570610239068985E-2</v>
      </c>
      <c r="M116" s="302">
        <v>1.3985309760009715E-3</v>
      </c>
      <c r="N116" s="302">
        <v>0</v>
      </c>
      <c r="O116" s="302">
        <f t="shared" si="58"/>
        <v>2.3969141215069958E-2</v>
      </c>
    </row>
    <row r="117" spans="1:15" s="236" customFormat="1" x14ac:dyDescent="0.2">
      <c r="A117" s="237" t="str">
        <f>name!E$10</f>
        <v>Sales and customer service occupations</v>
      </c>
      <c r="B117" s="302">
        <v>0.10206226255483886</v>
      </c>
      <c r="C117" s="302">
        <v>5.3470590351807019E-2</v>
      </c>
      <c r="D117" s="302">
        <v>7.563923710257537E-3</v>
      </c>
      <c r="E117" s="302">
        <f t="shared" si="56"/>
        <v>0.16309677661690342</v>
      </c>
      <c r="F117" s="303"/>
      <c r="G117" s="302">
        <v>0.1071556368078472</v>
      </c>
      <c r="H117" s="302">
        <v>3.7907363737860196E-2</v>
      </c>
      <c r="I117" s="302">
        <v>0</v>
      </c>
      <c r="J117" s="302">
        <f t="shared" si="59"/>
        <v>0.14506300054570739</v>
      </c>
      <c r="K117" s="303"/>
      <c r="L117" s="302">
        <v>0.11103403292485987</v>
      </c>
      <c r="M117" s="302">
        <v>4.0504527103016871E-2</v>
      </c>
      <c r="N117" s="302">
        <v>0</v>
      </c>
      <c r="O117" s="302">
        <f t="shared" si="58"/>
        <v>0.15153856002787675</v>
      </c>
    </row>
    <row r="118" spans="1:15" s="236" customFormat="1" x14ac:dyDescent="0.2">
      <c r="A118" s="237" t="str">
        <f>name!E$11</f>
        <v>Process, plant and machine operatives</v>
      </c>
      <c r="B118" s="302">
        <v>4.6986427567627852E-2</v>
      </c>
      <c r="C118" s="302">
        <v>4.1648323077923335E-3</v>
      </c>
      <c r="D118" s="302">
        <v>4.3386259973189987E-3</v>
      </c>
      <c r="E118" s="302">
        <f t="shared" si="56"/>
        <v>5.5489885872739182E-2</v>
      </c>
      <c r="F118" s="303"/>
      <c r="G118" s="302">
        <v>4.0298983667376095E-2</v>
      </c>
      <c r="H118" s="302">
        <v>1.1715289027712751E-3</v>
      </c>
      <c r="I118" s="302">
        <v>0</v>
      </c>
      <c r="J118" s="302">
        <f t="shared" si="59"/>
        <v>4.1470512570147368E-2</v>
      </c>
      <c r="K118" s="303"/>
      <c r="L118" s="302">
        <v>3.6528209283024589E-2</v>
      </c>
      <c r="M118" s="302">
        <v>1.1725140809813849E-3</v>
      </c>
      <c r="N118" s="302">
        <v>0</v>
      </c>
      <c r="O118" s="302">
        <f t="shared" si="58"/>
        <v>3.7700723364005977E-2</v>
      </c>
    </row>
    <row r="119" spans="1:15" s="236" customFormat="1" x14ac:dyDescent="0.2">
      <c r="A119" s="237" t="str">
        <f>name!E$12</f>
        <v>Elementary occupations</v>
      </c>
      <c r="B119" s="302">
        <v>8.9593876079276102E-3</v>
      </c>
      <c r="C119" s="302">
        <v>8.7136159603276187E-3</v>
      </c>
      <c r="D119" s="302">
        <v>4.0498722898438966E-3</v>
      </c>
      <c r="E119" s="302">
        <f t="shared" si="56"/>
        <v>2.1722875858099122E-2</v>
      </c>
      <c r="F119" s="303"/>
      <c r="G119" s="302">
        <v>7.8375512604913471E-3</v>
      </c>
      <c r="H119" s="302">
        <v>5.5029298634221057E-3</v>
      </c>
      <c r="I119" s="302">
        <v>0</v>
      </c>
      <c r="J119" s="302">
        <f t="shared" si="59"/>
        <v>1.3340481123913454E-2</v>
      </c>
      <c r="K119" s="303"/>
      <c r="L119" s="302">
        <v>4.9652072831971247E-3</v>
      </c>
      <c r="M119" s="302">
        <v>4.7312738334273872E-3</v>
      </c>
      <c r="N119" s="302">
        <v>0</v>
      </c>
      <c r="O119" s="302">
        <f t="shared" si="58"/>
        <v>9.696481116624512E-3</v>
      </c>
    </row>
    <row r="120" spans="1:15" s="236" customFormat="1" x14ac:dyDescent="0.2">
      <c r="A120" s="237"/>
      <c r="B120" s="302"/>
      <c r="C120" s="302"/>
      <c r="D120" s="302"/>
      <c r="E120" s="302"/>
      <c r="F120" s="303"/>
      <c r="G120" s="302"/>
      <c r="H120" s="302"/>
      <c r="I120" s="302"/>
      <c r="J120" s="302"/>
      <c r="K120" s="303"/>
      <c r="L120" s="302"/>
      <c r="M120" s="302"/>
      <c r="N120" s="302"/>
      <c r="O120" s="302"/>
    </row>
    <row r="121" spans="1:15" s="236" customFormat="1" x14ac:dyDescent="0.2">
      <c r="A121" s="244" t="s">
        <v>33</v>
      </c>
      <c r="B121" s="311">
        <f>SUM(B111:B119)</f>
        <v>1.1079447286393507</v>
      </c>
      <c r="C121" s="311">
        <f t="shared" ref="C121:E121" si="60">SUM(C111:C119)</f>
        <v>0.13818804022015468</v>
      </c>
      <c r="D121" s="311">
        <f t="shared" si="60"/>
        <v>5.0867231140496218E-2</v>
      </c>
      <c r="E121" s="311">
        <f t="shared" si="60"/>
        <v>1.2970000000000015</v>
      </c>
      <c r="F121" s="311"/>
      <c r="G121" s="311">
        <f t="shared" ref="G121:J121" si="61">SUM(G111:G119)</f>
        <v>1.2270313055828936</v>
      </c>
      <c r="H121" s="311">
        <f t="shared" si="61"/>
        <v>9.196869441710756E-2</v>
      </c>
      <c r="I121" s="311">
        <f t="shared" si="61"/>
        <v>0</v>
      </c>
      <c r="J121" s="311">
        <f t="shared" si="61"/>
        <v>1.3190000000000013</v>
      </c>
      <c r="K121" s="311"/>
      <c r="L121" s="311">
        <f t="shared" ref="L121:O121" si="62">SUM(L111:L119)</f>
        <v>1.1767463258771642</v>
      </c>
      <c r="M121" s="311">
        <f t="shared" si="62"/>
        <v>8.9253674122834234E-2</v>
      </c>
      <c r="N121" s="311">
        <f t="shared" si="62"/>
        <v>0</v>
      </c>
      <c r="O121" s="311">
        <f t="shared" si="62"/>
        <v>1.2659999999999982</v>
      </c>
    </row>
    <row r="122" spans="1:15" s="236" customFormat="1" x14ac:dyDescent="0.2">
      <c r="A122" s="237"/>
      <c r="B122" s="237"/>
      <c r="C122" s="237"/>
      <c r="D122" s="237"/>
      <c r="E122" s="237"/>
      <c r="F122" s="237"/>
      <c r="G122" s="237"/>
      <c r="H122" s="237"/>
      <c r="I122" s="237"/>
      <c r="J122" s="237"/>
      <c r="K122" s="237"/>
      <c r="L122" s="237"/>
      <c r="M122" s="237"/>
      <c r="N122" s="240"/>
    </row>
    <row r="123" spans="1:15" s="236" customFormat="1" x14ac:dyDescent="0.2">
      <c r="A123" s="237"/>
      <c r="B123" s="237"/>
      <c r="C123" s="237"/>
      <c r="D123" s="237"/>
      <c r="E123" s="237"/>
      <c r="F123" s="237"/>
      <c r="G123" s="237"/>
      <c r="H123" s="237"/>
      <c r="I123" s="237"/>
      <c r="J123" s="237"/>
      <c r="K123" s="237"/>
      <c r="L123" s="237"/>
      <c r="M123" s="237"/>
      <c r="N123" s="240"/>
      <c r="O123" s="251" t="s">
        <v>36</v>
      </c>
    </row>
    <row r="124" spans="1:15" s="236" customFormat="1" x14ac:dyDescent="0.2">
      <c r="A124" s="242"/>
      <c r="B124" s="242"/>
      <c r="C124" s="242"/>
      <c r="D124" s="242"/>
      <c r="E124" s="242"/>
      <c r="F124" s="242"/>
      <c r="G124" s="242"/>
      <c r="H124" s="242"/>
      <c r="I124" s="242"/>
      <c r="J124" s="242"/>
      <c r="K124" s="242"/>
      <c r="L124" s="242"/>
      <c r="M124" s="242"/>
      <c r="N124" s="242"/>
      <c r="O124" s="242"/>
    </row>
    <row r="125" spans="1:15" s="236" customFormat="1" x14ac:dyDescent="0.2">
      <c r="A125" s="241" t="str">
        <f>name!B10</f>
        <v>Water and sewerage</v>
      </c>
      <c r="B125" s="377">
        <f>$B$6</f>
        <v>2015</v>
      </c>
      <c r="C125" s="377"/>
      <c r="D125" s="377"/>
      <c r="E125" s="377"/>
      <c r="F125" s="263"/>
      <c r="G125" s="377">
        <f>$G$6</f>
        <v>2020</v>
      </c>
      <c r="H125" s="377"/>
      <c r="I125" s="377"/>
      <c r="J125" s="377"/>
      <c r="K125" s="263"/>
      <c r="L125" s="377">
        <f>$L$6</f>
        <v>2035</v>
      </c>
      <c r="M125" s="377"/>
      <c r="N125" s="377"/>
      <c r="O125" s="377"/>
    </row>
    <row r="126" spans="1:15" s="236" customFormat="1" x14ac:dyDescent="0.2">
      <c r="A126" s="254"/>
      <c r="B126" s="268" t="str">
        <f>$B$7</f>
        <v>FT</v>
      </c>
      <c r="C126" s="268" t="str">
        <f>$C$7</f>
        <v>PT</v>
      </c>
      <c r="D126" s="268" t="str">
        <f>$D$7</f>
        <v>SE</v>
      </c>
      <c r="E126" s="268" t="str">
        <f>$E$7</f>
        <v>Total</v>
      </c>
      <c r="F126" s="268"/>
      <c r="G126" s="268" t="str">
        <f>$G$7</f>
        <v>FT</v>
      </c>
      <c r="H126" s="268" t="str">
        <f>$H$7</f>
        <v>PT</v>
      </c>
      <c r="I126" s="268" t="str">
        <f>$I$7</f>
        <v>SE</v>
      </c>
      <c r="J126" s="268" t="str">
        <f>$J$7</f>
        <v>Total</v>
      </c>
      <c r="K126" s="268"/>
      <c r="L126" s="268" t="str">
        <f>$L$7</f>
        <v>FT</v>
      </c>
      <c r="M126" s="268" t="str">
        <f>$M$7</f>
        <v>PT</v>
      </c>
      <c r="N126" s="268" t="str">
        <f>$N$7</f>
        <v>SE</v>
      </c>
      <c r="O126" s="268" t="str">
        <f>$O$7</f>
        <v>Total</v>
      </c>
    </row>
    <row r="127" spans="1:15" s="236" customFormat="1" x14ac:dyDescent="0.2">
      <c r="A127" s="258"/>
      <c r="B127" s="239"/>
      <c r="C127" s="239"/>
      <c r="D127" s="239"/>
      <c r="E127" s="239"/>
      <c r="F127" s="239"/>
      <c r="G127" s="239"/>
      <c r="H127" s="239"/>
      <c r="I127" s="239"/>
      <c r="J127" s="239"/>
      <c r="K127" s="239"/>
      <c r="L127" s="239"/>
      <c r="M127" s="239"/>
      <c r="N127" s="239"/>
      <c r="O127" s="239"/>
    </row>
    <row r="128" spans="1:15" s="236" customFormat="1" x14ac:dyDescent="0.2">
      <c r="A128" s="237" t="str">
        <f>name!E$4</f>
        <v>Managers, directors and senior officials</v>
      </c>
      <c r="B128" s="302">
        <v>0.48260641096136409</v>
      </c>
      <c r="C128" s="302">
        <v>2.1178421225804975E-2</v>
      </c>
      <c r="D128" s="302">
        <v>5.3578650049336415E-2</v>
      </c>
      <c r="E128" s="302">
        <f>SUM(B128:D128)</f>
        <v>0.55736348223650545</v>
      </c>
      <c r="F128" s="303"/>
      <c r="G128" s="302">
        <v>0.53532887512361571</v>
      </c>
      <c r="H128" s="302">
        <v>2.6279994905202934E-2</v>
      </c>
      <c r="I128" s="302">
        <v>3.005027479232428E-3</v>
      </c>
      <c r="J128" s="302">
        <f>SUM(G128:I128)</f>
        <v>0.56461389750805113</v>
      </c>
      <c r="K128" s="303"/>
      <c r="L128" s="302">
        <v>0.56061844579519016</v>
      </c>
      <c r="M128" s="302">
        <v>2.35510862092706E-2</v>
      </c>
      <c r="N128" s="302">
        <v>2.3682589383067134E-3</v>
      </c>
      <c r="O128" s="302">
        <f>SUM(L128:N128)</f>
        <v>0.58653779094276748</v>
      </c>
    </row>
    <row r="129" spans="1:15" s="236" customFormat="1" x14ac:dyDescent="0.2">
      <c r="A129" s="237" t="str">
        <f>name!E$5</f>
        <v>Professional occupations</v>
      </c>
      <c r="B129" s="302">
        <v>0.45112882921112724</v>
      </c>
      <c r="C129" s="302">
        <v>3.4936619352957124E-2</v>
      </c>
      <c r="D129" s="302">
        <v>1.8330206003866919E-2</v>
      </c>
      <c r="E129" s="302">
        <f t="shared" ref="E129:E136" si="63">SUM(B129:D129)</f>
        <v>0.50439565456795121</v>
      </c>
      <c r="F129" s="303"/>
      <c r="G129" s="302">
        <v>0.57500597749693227</v>
      </c>
      <c r="H129" s="302">
        <v>3.4987708536599896E-2</v>
      </c>
      <c r="I129" s="302">
        <v>4.1099264956013168E-3</v>
      </c>
      <c r="J129" s="302">
        <f t="shared" ref="J129:J131" si="64">SUM(G129:I129)</f>
        <v>0.61410361252913348</v>
      </c>
      <c r="K129" s="303"/>
      <c r="L129" s="302">
        <v>0.76404360828344264</v>
      </c>
      <c r="M129" s="302">
        <v>3.3125062177169415E-2</v>
      </c>
      <c r="N129" s="302">
        <v>3.268022967517323E-3</v>
      </c>
      <c r="O129" s="302">
        <f t="shared" ref="O129:O136" si="65">SUM(L129:N129)</f>
        <v>0.80043669342812929</v>
      </c>
    </row>
    <row r="130" spans="1:15" s="236" customFormat="1" x14ac:dyDescent="0.2">
      <c r="A130" s="237" t="str">
        <f>name!E$6</f>
        <v>Associate professional occupations</v>
      </c>
      <c r="B130" s="302">
        <v>0.44935517748869674</v>
      </c>
      <c r="C130" s="302">
        <v>4.1470037301688953E-2</v>
      </c>
      <c r="D130" s="302">
        <v>1.0629643154912102E-2</v>
      </c>
      <c r="E130" s="302">
        <f t="shared" si="63"/>
        <v>0.50145485794529776</v>
      </c>
      <c r="F130" s="303"/>
      <c r="G130" s="302">
        <v>0.53873465615302307</v>
      </c>
      <c r="H130" s="302">
        <v>3.3777668811475904E-2</v>
      </c>
      <c r="I130" s="302">
        <v>4.4962366602720894E-3</v>
      </c>
      <c r="J130" s="302">
        <f t="shared" si="64"/>
        <v>0.5770085616247711</v>
      </c>
      <c r="K130" s="303"/>
      <c r="L130" s="302">
        <v>0.64533164828361833</v>
      </c>
      <c r="M130" s="302">
        <v>2.7212536299112494E-2</v>
      </c>
      <c r="N130" s="302">
        <v>4.6089157041462386E-3</v>
      </c>
      <c r="O130" s="302">
        <f t="shared" si="65"/>
        <v>0.67715310028687703</v>
      </c>
    </row>
    <row r="131" spans="1:15" s="236" customFormat="1" x14ac:dyDescent="0.2">
      <c r="A131" s="237" t="str">
        <f>name!E$7</f>
        <v>Administrative and secretarial occupations</v>
      </c>
      <c r="B131" s="302">
        <v>0.31018382918740861</v>
      </c>
      <c r="C131" s="302">
        <v>0.11404660908447821</v>
      </c>
      <c r="D131" s="302">
        <v>2.834433991871191E-3</v>
      </c>
      <c r="E131" s="302">
        <f t="shared" si="63"/>
        <v>0.427064872263758</v>
      </c>
      <c r="F131" s="303"/>
      <c r="G131" s="302">
        <v>0.30712672321884221</v>
      </c>
      <c r="H131" s="302">
        <v>8.3213142733398623E-2</v>
      </c>
      <c r="I131" s="302">
        <v>1.3810728777213983E-3</v>
      </c>
      <c r="J131" s="302">
        <f t="shared" si="64"/>
        <v>0.39172093882996223</v>
      </c>
      <c r="K131" s="303"/>
      <c r="L131" s="302">
        <v>0.33006924650701658</v>
      </c>
      <c r="M131" s="302">
        <v>0.10778789955309583</v>
      </c>
      <c r="N131" s="302">
        <v>2.6218679281505737E-3</v>
      </c>
      <c r="O131" s="302">
        <f t="shared" si="65"/>
        <v>0.44047901398826295</v>
      </c>
    </row>
    <row r="132" spans="1:15" s="236" customFormat="1" x14ac:dyDescent="0.2">
      <c r="A132" s="237" t="str">
        <f>name!E$8</f>
        <v>Skilled trades occupations</v>
      </c>
      <c r="B132" s="302">
        <v>0.42343027823004659</v>
      </c>
      <c r="C132" s="302">
        <v>2.9129021923904926E-2</v>
      </c>
      <c r="D132" s="302">
        <v>8.4542997680156939E-2</v>
      </c>
      <c r="E132" s="302">
        <f t="shared" si="63"/>
        <v>0.53710229783410846</v>
      </c>
      <c r="F132" s="303"/>
      <c r="G132" s="302">
        <v>0.35834338987003833</v>
      </c>
      <c r="H132" s="302">
        <v>1.6497195291248847E-2</v>
      </c>
      <c r="I132" s="302">
        <v>6.9716840699863367E-3</v>
      </c>
      <c r="J132" s="302">
        <f>SUM(G132:I132)</f>
        <v>0.38181226923127348</v>
      </c>
      <c r="K132" s="303"/>
      <c r="L132" s="302">
        <v>0.31192266434392668</v>
      </c>
      <c r="M132" s="302">
        <v>9.4565621433059383E-3</v>
      </c>
      <c r="N132" s="302">
        <v>6.305305849648799E-3</v>
      </c>
      <c r="O132" s="302">
        <f t="shared" si="65"/>
        <v>0.32768453233688138</v>
      </c>
    </row>
    <row r="133" spans="1:15" s="236" customFormat="1" x14ac:dyDescent="0.2">
      <c r="A133" s="237" t="str">
        <f>name!E$9</f>
        <v>Caring, leisure and other service occupations</v>
      </c>
      <c r="B133" s="302">
        <v>0.11050799516117883</v>
      </c>
      <c r="C133" s="302">
        <v>2.463638793127134E-2</v>
      </c>
      <c r="D133" s="302">
        <v>1.4284284133048194E-3</v>
      </c>
      <c r="E133" s="302">
        <f t="shared" si="63"/>
        <v>0.13657281150575498</v>
      </c>
      <c r="F133" s="303"/>
      <c r="G133" s="302">
        <v>0.1117575034280541</v>
      </c>
      <c r="H133" s="302">
        <v>1.6585604628388793E-2</v>
      </c>
      <c r="I133" s="302">
        <v>2.3659551416558731E-3</v>
      </c>
      <c r="J133" s="302">
        <f t="shared" ref="J133:J136" si="66">SUM(G133:I133)</f>
        <v>0.13070906319809877</v>
      </c>
      <c r="K133" s="303"/>
      <c r="L133" s="302">
        <v>0.14825464383239956</v>
      </c>
      <c r="M133" s="302">
        <v>1.4695181309029349E-2</v>
      </c>
      <c r="N133" s="302">
        <v>2.356583965166175E-3</v>
      </c>
      <c r="O133" s="302">
        <f t="shared" si="65"/>
        <v>0.16530640910659508</v>
      </c>
    </row>
    <row r="134" spans="1:15" s="236" customFormat="1" x14ac:dyDescent="0.2">
      <c r="A134" s="237" t="str">
        <f>name!E$10</f>
        <v>Sales and customer service occupations</v>
      </c>
      <c r="B134" s="302">
        <v>0.12357108840904152</v>
      </c>
      <c r="C134" s="302">
        <v>4.7626836573233321E-2</v>
      </c>
      <c r="D134" s="302">
        <v>1.169530704506368E-2</v>
      </c>
      <c r="E134" s="302">
        <f t="shared" si="63"/>
        <v>0.18289323202733854</v>
      </c>
      <c r="F134" s="303"/>
      <c r="G134" s="302">
        <v>0.12303321663748185</v>
      </c>
      <c r="H134" s="302">
        <v>3.9816324726229743E-2</v>
      </c>
      <c r="I134" s="302">
        <v>7.0123813000449596E-4</v>
      </c>
      <c r="J134" s="302">
        <f t="shared" si="66"/>
        <v>0.1635507794937161</v>
      </c>
      <c r="K134" s="303"/>
      <c r="L134" s="302">
        <v>0.16015564406430599</v>
      </c>
      <c r="M134" s="302">
        <v>4.4176613930985084E-2</v>
      </c>
      <c r="N134" s="302">
        <v>3.840144549920169E-4</v>
      </c>
      <c r="O134" s="302">
        <f t="shared" si="65"/>
        <v>0.20471627245028309</v>
      </c>
    </row>
    <row r="135" spans="1:15" s="236" customFormat="1" x14ac:dyDescent="0.2">
      <c r="A135" s="237" t="str">
        <f>name!E$11</f>
        <v>Process, plant and machine operatives</v>
      </c>
      <c r="B135" s="302">
        <v>1.4005009828138264</v>
      </c>
      <c r="C135" s="302">
        <v>5.0759412019676729E-2</v>
      </c>
      <c r="D135" s="302">
        <v>1.8441843384415391E-2</v>
      </c>
      <c r="E135" s="302">
        <f t="shared" si="63"/>
        <v>1.4697022382179186</v>
      </c>
      <c r="F135" s="303"/>
      <c r="G135" s="302">
        <v>1.1631069571842365</v>
      </c>
      <c r="H135" s="302">
        <v>3.8425051895438087E-2</v>
      </c>
      <c r="I135" s="302">
        <v>1.3559011258088294E-3</v>
      </c>
      <c r="J135" s="302">
        <f t="shared" si="66"/>
        <v>1.2028879102054835</v>
      </c>
      <c r="K135" s="303"/>
      <c r="L135" s="302">
        <v>1.2675472520514421</v>
      </c>
      <c r="M135" s="302">
        <v>3.2780792975301627E-2</v>
      </c>
      <c r="N135" s="302">
        <v>6.1905024830174982E-4</v>
      </c>
      <c r="O135" s="302">
        <f t="shared" si="65"/>
        <v>1.3009470952750455</v>
      </c>
    </row>
    <row r="136" spans="1:15" s="236" customFormat="1" x14ac:dyDescent="0.2">
      <c r="A136" s="237" t="str">
        <f>name!E$12</f>
        <v>Elementary occupations</v>
      </c>
      <c r="B136" s="302">
        <v>0.83726438812270565</v>
      </c>
      <c r="C136" s="302">
        <v>7.322131931682288E-2</v>
      </c>
      <c r="D136" s="302">
        <v>1.396484596184106E-2</v>
      </c>
      <c r="E136" s="302">
        <f t="shared" si="63"/>
        <v>0.92445055340136961</v>
      </c>
      <c r="F136" s="303"/>
      <c r="G136" s="302">
        <v>0.71391912673077595</v>
      </c>
      <c r="H136" s="302">
        <v>4.2994574132334706E-2</v>
      </c>
      <c r="I136" s="302">
        <v>2.6792665164046135E-3</v>
      </c>
      <c r="J136" s="302">
        <f t="shared" si="66"/>
        <v>0.7595929673795152</v>
      </c>
      <c r="K136" s="303"/>
      <c r="L136" s="302">
        <v>0.71120018491878156</v>
      </c>
      <c r="M136" s="302">
        <v>8.3226177872898904E-2</v>
      </c>
      <c r="N136" s="302">
        <v>6.3127293934759493E-3</v>
      </c>
      <c r="O136" s="302">
        <f t="shared" si="65"/>
        <v>0.80073909218515638</v>
      </c>
    </row>
    <row r="137" spans="1:15" s="236" customFormat="1" x14ac:dyDescent="0.2">
      <c r="A137" s="237"/>
      <c r="B137" s="302"/>
      <c r="C137" s="302"/>
      <c r="D137" s="302"/>
      <c r="E137" s="302"/>
      <c r="F137" s="303"/>
      <c r="G137" s="302"/>
      <c r="H137" s="302"/>
      <c r="I137" s="302"/>
      <c r="J137" s="302"/>
      <c r="K137" s="303"/>
      <c r="L137" s="302"/>
      <c r="M137" s="302"/>
      <c r="N137" s="302"/>
      <c r="O137" s="302"/>
    </row>
    <row r="138" spans="1:15" s="236" customFormat="1" x14ac:dyDescent="0.2">
      <c r="A138" s="244" t="s">
        <v>33</v>
      </c>
      <c r="B138" s="311">
        <f>SUM(B128:B136)</f>
        <v>4.5885489795853953</v>
      </c>
      <c r="C138" s="311">
        <f t="shared" ref="C138:E138" si="67">SUM(C128:C136)</f>
        <v>0.43700466472983845</v>
      </c>
      <c r="D138" s="311">
        <f t="shared" si="67"/>
        <v>0.21544635568476853</v>
      </c>
      <c r="E138" s="311">
        <f t="shared" si="67"/>
        <v>5.2410000000000032</v>
      </c>
      <c r="F138" s="311"/>
      <c r="G138" s="311">
        <f t="shared" ref="G138:J138" si="68">SUM(G128:G136)</f>
        <v>4.4263564258429993</v>
      </c>
      <c r="H138" s="311">
        <f t="shared" si="68"/>
        <v>0.33257726566031753</v>
      </c>
      <c r="I138" s="311">
        <f t="shared" si="68"/>
        <v>2.7066308496687383E-2</v>
      </c>
      <c r="J138" s="311">
        <f t="shared" si="68"/>
        <v>4.7860000000000049</v>
      </c>
      <c r="K138" s="311"/>
      <c r="L138" s="311">
        <f t="shared" ref="L138:O138" si="69">SUM(L128:L136)</f>
        <v>4.8991433380801235</v>
      </c>
      <c r="M138" s="311">
        <f t="shared" si="69"/>
        <v>0.3760119124701693</v>
      </c>
      <c r="N138" s="311">
        <f t="shared" si="69"/>
        <v>2.884474944970554E-2</v>
      </c>
      <c r="O138" s="311">
        <f t="shared" si="69"/>
        <v>5.3039999999999976</v>
      </c>
    </row>
    <row r="139" spans="1:15" s="236" customFormat="1" x14ac:dyDescent="0.2">
      <c r="A139" s="237"/>
      <c r="B139" s="237"/>
      <c r="C139" s="237"/>
      <c r="D139" s="237"/>
      <c r="E139" s="237"/>
      <c r="F139" s="237"/>
      <c r="G139" s="237"/>
      <c r="H139" s="237"/>
      <c r="I139" s="237"/>
      <c r="J139" s="237"/>
      <c r="K139" s="237"/>
      <c r="L139" s="237"/>
      <c r="M139" s="237"/>
      <c r="N139" s="240"/>
    </row>
    <row r="140" spans="1:15" s="236" customFormat="1" x14ac:dyDescent="0.2">
      <c r="A140" s="237"/>
      <c r="B140" s="237"/>
      <c r="C140" s="237"/>
      <c r="D140" s="237"/>
      <c r="E140" s="237"/>
      <c r="F140" s="237"/>
      <c r="G140" s="237"/>
      <c r="H140" s="237"/>
      <c r="I140" s="237"/>
      <c r="J140" s="237"/>
      <c r="K140" s="237"/>
      <c r="L140" s="237"/>
      <c r="M140" s="237"/>
      <c r="N140" s="240"/>
      <c r="O140" s="251" t="s">
        <v>36</v>
      </c>
    </row>
    <row r="141" spans="1:15" s="236" customFormat="1" x14ac:dyDescent="0.2">
      <c r="A141" s="242"/>
      <c r="B141" s="242"/>
      <c r="C141" s="242"/>
      <c r="D141" s="242"/>
      <c r="E141" s="242"/>
      <c r="F141" s="242"/>
      <c r="G141" s="242"/>
      <c r="H141" s="242"/>
      <c r="I141" s="242"/>
      <c r="J141" s="242"/>
      <c r="K141" s="242"/>
      <c r="L141" s="242"/>
      <c r="M141" s="242"/>
      <c r="N141" s="242"/>
      <c r="O141" s="242"/>
    </row>
    <row r="142" spans="1:15" s="236" customFormat="1" x14ac:dyDescent="0.2">
      <c r="A142" s="241" t="str">
        <f>name!B11</f>
        <v>Construction</v>
      </c>
      <c r="B142" s="377">
        <f>$B$6</f>
        <v>2015</v>
      </c>
      <c r="C142" s="377"/>
      <c r="D142" s="377"/>
      <c r="E142" s="377"/>
      <c r="F142" s="263"/>
      <c r="G142" s="377">
        <f>$G$6</f>
        <v>2020</v>
      </c>
      <c r="H142" s="377"/>
      <c r="I142" s="377"/>
      <c r="J142" s="377"/>
      <c r="K142" s="263"/>
      <c r="L142" s="377">
        <f>$L$6</f>
        <v>2035</v>
      </c>
      <c r="M142" s="377"/>
      <c r="N142" s="377"/>
      <c r="O142" s="377"/>
    </row>
    <row r="143" spans="1:15" s="236" customFormat="1" x14ac:dyDescent="0.2">
      <c r="A143" s="254"/>
      <c r="B143" s="268" t="str">
        <f>$B$7</f>
        <v>FT</v>
      </c>
      <c r="C143" s="268" t="str">
        <f>$C$7</f>
        <v>PT</v>
      </c>
      <c r="D143" s="268" t="str">
        <f>$D$7</f>
        <v>SE</v>
      </c>
      <c r="E143" s="268" t="str">
        <f>$E$7</f>
        <v>Total</v>
      </c>
      <c r="F143" s="268"/>
      <c r="G143" s="268" t="str">
        <f>$G$7</f>
        <v>FT</v>
      </c>
      <c r="H143" s="268" t="str">
        <f>$H$7</f>
        <v>PT</v>
      </c>
      <c r="I143" s="268" t="str">
        <f>$I$7</f>
        <v>SE</v>
      </c>
      <c r="J143" s="268" t="str">
        <f>$J$7</f>
        <v>Total</v>
      </c>
      <c r="K143" s="268"/>
      <c r="L143" s="268" t="str">
        <f>$L$7</f>
        <v>FT</v>
      </c>
      <c r="M143" s="268" t="str">
        <f>$M$7</f>
        <v>PT</v>
      </c>
      <c r="N143" s="268" t="str">
        <f>$N$7</f>
        <v>SE</v>
      </c>
      <c r="O143" s="268" t="str">
        <f>$O$7</f>
        <v>Total</v>
      </c>
    </row>
    <row r="144" spans="1:15" s="236" customFormat="1" x14ac:dyDescent="0.2">
      <c r="A144" s="258"/>
      <c r="B144" s="239"/>
      <c r="C144" s="239"/>
      <c r="D144" s="239"/>
      <c r="E144" s="239"/>
      <c r="F144" s="239"/>
      <c r="G144" s="239"/>
      <c r="H144" s="239"/>
      <c r="I144" s="239"/>
      <c r="J144" s="239"/>
      <c r="K144" s="239"/>
      <c r="L144" s="239"/>
      <c r="M144" s="239"/>
      <c r="N144" s="239"/>
      <c r="O144" s="239"/>
    </row>
    <row r="145" spans="1:15" s="236" customFormat="1" x14ac:dyDescent="0.2">
      <c r="A145" s="237" t="str">
        <f>name!E$4</f>
        <v>Managers, directors and senior officials</v>
      </c>
      <c r="B145" s="302">
        <v>2.4060342696544037</v>
      </c>
      <c r="C145" s="302">
        <v>0.27959657076099415</v>
      </c>
      <c r="D145" s="302">
        <v>0.62701116871870977</v>
      </c>
      <c r="E145" s="302">
        <f>SUM(B145:D145)</f>
        <v>3.3126420091341076</v>
      </c>
      <c r="F145" s="303"/>
      <c r="G145" s="302">
        <v>2.6424842484221851</v>
      </c>
      <c r="H145" s="302">
        <v>0.41576431452326978</v>
      </c>
      <c r="I145" s="302">
        <v>1.0305963966038367</v>
      </c>
      <c r="J145" s="302">
        <f>SUM(G145:I145)</f>
        <v>4.0888449595492915</v>
      </c>
      <c r="K145" s="303"/>
      <c r="L145" s="302">
        <v>2.4677401946311543</v>
      </c>
      <c r="M145" s="302">
        <v>0.4532056538643795</v>
      </c>
      <c r="N145" s="302">
        <v>1.1281376420434857</v>
      </c>
      <c r="O145" s="302">
        <f>SUM(L145:N145)</f>
        <v>4.0490834905390196</v>
      </c>
    </row>
    <row r="146" spans="1:15" s="236" customFormat="1" x14ac:dyDescent="0.2">
      <c r="A146" s="237" t="str">
        <f>name!E$5</f>
        <v>Professional occupations</v>
      </c>
      <c r="B146" s="302">
        <v>4.2879091806431129</v>
      </c>
      <c r="C146" s="302">
        <v>0.21251072505323476</v>
      </c>
      <c r="D146" s="302">
        <v>0.52260597169957934</v>
      </c>
      <c r="E146" s="302">
        <f t="shared" ref="E146:E153" si="70">SUM(B146:D146)</f>
        <v>5.0230258773959262</v>
      </c>
      <c r="F146" s="303"/>
      <c r="G146" s="302">
        <v>5.2402082663208089</v>
      </c>
      <c r="H146" s="302">
        <v>0.28552815206618287</v>
      </c>
      <c r="I146" s="302">
        <v>0.70354299545060917</v>
      </c>
      <c r="J146" s="302">
        <f t="shared" ref="J146:J148" si="71">SUM(G146:I146)</f>
        <v>6.2292794138376006</v>
      </c>
      <c r="K146" s="303"/>
      <c r="L146" s="302">
        <v>7.1586595733802181</v>
      </c>
      <c r="M146" s="302">
        <v>0.32744217735150444</v>
      </c>
      <c r="N146" s="302">
        <v>0.5864224634827756</v>
      </c>
      <c r="O146" s="302">
        <f t="shared" ref="O146:O153" si="72">SUM(L146:N146)</f>
        <v>8.0725242142144982</v>
      </c>
    </row>
    <row r="147" spans="1:15" s="236" customFormat="1" x14ac:dyDescent="0.2">
      <c r="A147" s="237" t="str">
        <f>name!E$6</f>
        <v>Associate professional occupations</v>
      </c>
      <c r="B147" s="302">
        <v>2.046855493916758</v>
      </c>
      <c r="C147" s="302">
        <v>0.28108382593504455</v>
      </c>
      <c r="D147" s="302">
        <v>0.14981946178564026</v>
      </c>
      <c r="E147" s="302">
        <f t="shared" si="70"/>
        <v>2.4777587816374429</v>
      </c>
      <c r="F147" s="303"/>
      <c r="G147" s="302">
        <v>2.3736050240691866</v>
      </c>
      <c r="H147" s="302">
        <v>0.32107081168065726</v>
      </c>
      <c r="I147" s="302">
        <v>0.19765179787690335</v>
      </c>
      <c r="J147" s="302">
        <f t="shared" si="71"/>
        <v>2.8923276336267469</v>
      </c>
      <c r="K147" s="303"/>
      <c r="L147" s="302">
        <v>2.5854816562586507</v>
      </c>
      <c r="M147" s="302">
        <v>0.30833116670166527</v>
      </c>
      <c r="N147" s="302">
        <v>0.21614362785428917</v>
      </c>
      <c r="O147" s="302">
        <f t="shared" si="72"/>
        <v>3.1099564508146051</v>
      </c>
    </row>
    <row r="148" spans="1:15" s="236" customFormat="1" x14ac:dyDescent="0.2">
      <c r="A148" s="237" t="str">
        <f>name!E$7</f>
        <v>Administrative and secretarial occupations</v>
      </c>
      <c r="B148" s="302">
        <v>1.7661841516860455</v>
      </c>
      <c r="C148" s="302">
        <v>1.5284950676773683</v>
      </c>
      <c r="D148" s="302">
        <v>0.15353864518323984</v>
      </c>
      <c r="E148" s="302">
        <f t="shared" si="70"/>
        <v>3.4482178645466539</v>
      </c>
      <c r="F148" s="303"/>
      <c r="G148" s="302">
        <v>1.6873602546036812</v>
      </c>
      <c r="H148" s="302">
        <v>1.2803994934731426</v>
      </c>
      <c r="I148" s="302">
        <v>0.22535551574247553</v>
      </c>
      <c r="J148" s="302">
        <f t="shared" si="71"/>
        <v>3.193115263819299</v>
      </c>
      <c r="K148" s="303"/>
      <c r="L148" s="302">
        <v>1.6653388501098503</v>
      </c>
      <c r="M148" s="302">
        <v>1.3397539348985428</v>
      </c>
      <c r="N148" s="302">
        <v>0.1714814701338076</v>
      </c>
      <c r="O148" s="302">
        <f t="shared" si="72"/>
        <v>3.1765742551422003</v>
      </c>
    </row>
    <row r="149" spans="1:15" s="236" customFormat="1" x14ac:dyDescent="0.2">
      <c r="A149" s="237" t="str">
        <f>name!E$8</f>
        <v>Skilled trades occupations</v>
      </c>
      <c r="B149" s="302">
        <v>4.6301396373605028</v>
      </c>
      <c r="C149" s="302">
        <v>0.35365228176763575</v>
      </c>
      <c r="D149" s="302">
        <v>8.6685520815968697</v>
      </c>
      <c r="E149" s="302">
        <f t="shared" si="70"/>
        <v>13.652344000725009</v>
      </c>
      <c r="F149" s="303"/>
      <c r="G149" s="302">
        <v>3.5515877891866734</v>
      </c>
      <c r="H149" s="302">
        <v>0.23838236236445279</v>
      </c>
      <c r="I149" s="302">
        <v>7.5164925319084848</v>
      </c>
      <c r="J149" s="302">
        <f>SUM(G149:I149)</f>
        <v>11.30646268345961</v>
      </c>
      <c r="K149" s="303"/>
      <c r="L149" s="302">
        <v>2.1856427391807611</v>
      </c>
      <c r="M149" s="302">
        <v>0.37167365139689135</v>
      </c>
      <c r="N149" s="302">
        <v>7.9323732141998411</v>
      </c>
      <c r="O149" s="302">
        <f t="shared" si="72"/>
        <v>10.489689604777494</v>
      </c>
    </row>
    <row r="150" spans="1:15" s="236" customFormat="1" x14ac:dyDescent="0.2">
      <c r="A150" s="237" t="str">
        <f>name!E$9</f>
        <v>Caring, leisure and other service occupations</v>
      </c>
      <c r="B150" s="302">
        <v>7.6447770698875372E-2</v>
      </c>
      <c r="C150" s="302">
        <v>2.1520521487945709E-2</v>
      </c>
      <c r="D150" s="302">
        <v>8.5572230228549671E-3</v>
      </c>
      <c r="E150" s="302">
        <f t="shared" si="70"/>
        <v>0.10652551520967606</v>
      </c>
      <c r="F150" s="303"/>
      <c r="G150" s="302">
        <v>7.8933520826440992E-2</v>
      </c>
      <c r="H150" s="302">
        <v>2.2020194282426117E-2</v>
      </c>
      <c r="I150" s="302">
        <v>1.5031623196944736E-2</v>
      </c>
      <c r="J150" s="302">
        <f t="shared" ref="J150:J153" si="73">SUM(G150:I150)</f>
        <v>0.11598533830581184</v>
      </c>
      <c r="K150" s="303"/>
      <c r="L150" s="302">
        <v>6.9499083732635206E-2</v>
      </c>
      <c r="M150" s="302">
        <v>1.772348547760293E-2</v>
      </c>
      <c r="N150" s="302">
        <v>2.0566102561082312E-2</v>
      </c>
      <c r="O150" s="302">
        <f t="shared" si="72"/>
        <v>0.10778867177132044</v>
      </c>
    </row>
    <row r="151" spans="1:15" s="236" customFormat="1" x14ac:dyDescent="0.2">
      <c r="A151" s="237" t="str">
        <f>name!E$10</f>
        <v>Sales and customer service occupations</v>
      </c>
      <c r="B151" s="302">
        <v>0.52673775789094268</v>
      </c>
      <c r="C151" s="302">
        <v>0.25188284261539817</v>
      </c>
      <c r="D151" s="302">
        <v>7.8195930518128093E-2</v>
      </c>
      <c r="E151" s="302">
        <f t="shared" si="70"/>
        <v>0.85681653102446897</v>
      </c>
      <c r="F151" s="303"/>
      <c r="G151" s="302">
        <v>0.49082494771593738</v>
      </c>
      <c r="H151" s="302">
        <v>0.2503513291437478</v>
      </c>
      <c r="I151" s="302">
        <v>8.6860738702314227E-2</v>
      </c>
      <c r="J151" s="302">
        <f t="shared" si="73"/>
        <v>0.82803701556199949</v>
      </c>
      <c r="K151" s="303"/>
      <c r="L151" s="302">
        <v>0.52661148000095914</v>
      </c>
      <c r="M151" s="302">
        <v>0.26240983626937575</v>
      </c>
      <c r="N151" s="302">
        <v>9.480997968291055E-2</v>
      </c>
      <c r="O151" s="302">
        <f t="shared" si="72"/>
        <v>0.8838312959532455</v>
      </c>
    </row>
    <row r="152" spans="1:15" s="236" customFormat="1" x14ac:dyDescent="0.2">
      <c r="A152" s="237" t="str">
        <f>name!E$11</f>
        <v>Process, plant and machine operatives</v>
      </c>
      <c r="B152" s="302">
        <v>3.1777652964301222</v>
      </c>
      <c r="C152" s="302">
        <v>9.2147220875673702E-2</v>
      </c>
      <c r="D152" s="302">
        <v>0.64265959470220246</v>
      </c>
      <c r="E152" s="302">
        <f t="shared" si="70"/>
        <v>3.9125721120079984</v>
      </c>
      <c r="F152" s="303"/>
      <c r="G152" s="302">
        <v>2.4328692907982306</v>
      </c>
      <c r="H152" s="302">
        <v>0.10932337599643352</v>
      </c>
      <c r="I152" s="302">
        <v>0.78264850710932976</v>
      </c>
      <c r="J152" s="302">
        <f t="shared" si="73"/>
        <v>3.3248411739039936</v>
      </c>
      <c r="K152" s="303"/>
      <c r="L152" s="302">
        <v>2.0658688405549395</v>
      </c>
      <c r="M152" s="302">
        <v>0.10452755956443609</v>
      </c>
      <c r="N152" s="302">
        <v>1.1283923482141018</v>
      </c>
      <c r="O152" s="302">
        <f t="shared" si="72"/>
        <v>3.2987887483334775</v>
      </c>
    </row>
    <row r="153" spans="1:15" s="236" customFormat="1" x14ac:dyDescent="0.2">
      <c r="A153" s="237" t="str">
        <f>name!E$12</f>
        <v>Elementary occupations</v>
      </c>
      <c r="B153" s="302">
        <v>1.3664728725874193</v>
      </c>
      <c r="C153" s="302">
        <v>0.38861491295064138</v>
      </c>
      <c r="D153" s="302">
        <v>0.7060095227807186</v>
      </c>
      <c r="E153" s="302">
        <f t="shared" si="70"/>
        <v>2.461097308318779</v>
      </c>
      <c r="F153" s="303"/>
      <c r="G153" s="302">
        <v>1.0176176356282591</v>
      </c>
      <c r="H153" s="302">
        <v>0.30819694921461221</v>
      </c>
      <c r="I153" s="302">
        <v>0.71629193309276185</v>
      </c>
      <c r="J153" s="302">
        <f t="shared" si="73"/>
        <v>2.042106517935633</v>
      </c>
      <c r="K153" s="303"/>
      <c r="L153" s="302">
        <v>1.0885860819189324</v>
      </c>
      <c r="M153" s="302">
        <v>0.36310193603869834</v>
      </c>
      <c r="N153" s="302">
        <v>0.98707525049654776</v>
      </c>
      <c r="O153" s="302">
        <f t="shared" si="72"/>
        <v>2.4387632684541787</v>
      </c>
    </row>
    <row r="154" spans="1:15" s="236" customFormat="1" x14ac:dyDescent="0.2">
      <c r="A154" s="237"/>
      <c r="B154" s="302"/>
      <c r="C154" s="302"/>
      <c r="D154" s="302"/>
      <c r="E154" s="302"/>
      <c r="F154" s="303"/>
      <c r="G154" s="302"/>
      <c r="H154" s="302"/>
      <c r="I154" s="302"/>
      <c r="J154" s="302"/>
      <c r="K154" s="303"/>
      <c r="L154" s="302"/>
      <c r="M154" s="302"/>
      <c r="N154" s="302"/>
      <c r="O154" s="302"/>
    </row>
    <row r="155" spans="1:15" s="236" customFormat="1" x14ac:dyDescent="0.2">
      <c r="A155" s="244" t="s">
        <v>33</v>
      </c>
      <c r="B155" s="311">
        <f>SUM(B145:B153)</f>
        <v>20.284546430868186</v>
      </c>
      <c r="C155" s="311">
        <f t="shared" ref="C155:E155" si="74">SUM(C145:C153)</f>
        <v>3.4095039691239362</v>
      </c>
      <c r="D155" s="311">
        <f t="shared" si="74"/>
        <v>11.556949600007941</v>
      </c>
      <c r="E155" s="311">
        <f t="shared" si="74"/>
        <v>35.251000000000055</v>
      </c>
      <c r="F155" s="311"/>
      <c r="G155" s="311">
        <f t="shared" ref="G155:J155" si="75">SUM(G145:G153)</f>
        <v>19.515490977571403</v>
      </c>
      <c r="H155" s="311">
        <f t="shared" si="75"/>
        <v>3.2310369827449255</v>
      </c>
      <c r="I155" s="311">
        <f t="shared" si="75"/>
        <v>11.274472039683662</v>
      </c>
      <c r="J155" s="311">
        <f t="shared" si="75"/>
        <v>34.020999999999987</v>
      </c>
      <c r="K155" s="311"/>
      <c r="L155" s="311">
        <f t="shared" ref="L155:O155" si="76">SUM(L145:L153)</f>
        <v>19.813428499768101</v>
      </c>
      <c r="M155" s="311">
        <f t="shared" si="76"/>
        <v>3.5481694015630967</v>
      </c>
      <c r="N155" s="311">
        <f t="shared" si="76"/>
        <v>12.265402098668838</v>
      </c>
      <c r="O155" s="311">
        <f t="shared" si="76"/>
        <v>35.627000000000045</v>
      </c>
    </row>
    <row r="156" spans="1:15" s="236" customFormat="1" x14ac:dyDescent="0.2">
      <c r="A156" s="237"/>
      <c r="B156" s="237"/>
      <c r="C156" s="237"/>
      <c r="D156" s="237"/>
      <c r="E156" s="237"/>
      <c r="F156" s="237"/>
      <c r="G156" s="237"/>
      <c r="H156" s="237"/>
      <c r="I156" s="237"/>
      <c r="J156" s="237"/>
      <c r="K156" s="237"/>
      <c r="L156" s="237"/>
      <c r="M156" s="237"/>
      <c r="N156" s="240"/>
    </row>
    <row r="157" spans="1:15" s="236" customFormat="1" x14ac:dyDescent="0.2">
      <c r="A157" s="237"/>
      <c r="B157" s="237"/>
      <c r="C157" s="237"/>
      <c r="D157" s="237"/>
      <c r="E157" s="237"/>
      <c r="F157" s="237"/>
      <c r="G157" s="237"/>
      <c r="H157" s="237"/>
      <c r="I157" s="237"/>
      <c r="J157" s="237"/>
      <c r="K157" s="237"/>
      <c r="L157" s="237"/>
      <c r="M157" s="237"/>
      <c r="N157" s="240"/>
      <c r="O157" s="251" t="s">
        <v>36</v>
      </c>
    </row>
    <row r="158" spans="1:15" s="236" customFormat="1" x14ac:dyDescent="0.2">
      <c r="A158" s="242"/>
      <c r="B158" s="242"/>
      <c r="C158" s="242"/>
      <c r="D158" s="242"/>
      <c r="E158" s="242"/>
      <c r="F158" s="242"/>
      <c r="G158" s="242"/>
      <c r="H158" s="242"/>
      <c r="I158" s="242"/>
      <c r="J158" s="242"/>
      <c r="K158" s="242"/>
      <c r="L158" s="242"/>
      <c r="M158" s="242"/>
      <c r="N158" s="242"/>
      <c r="O158" s="242"/>
    </row>
    <row r="159" spans="1:15" s="236" customFormat="1" x14ac:dyDescent="0.2">
      <c r="A159" s="241" t="str">
        <f>name!B12</f>
        <v>Wholesale and retail trade</v>
      </c>
      <c r="B159" s="377">
        <f>$B$6</f>
        <v>2015</v>
      </c>
      <c r="C159" s="377"/>
      <c r="D159" s="377"/>
      <c r="E159" s="377"/>
      <c r="F159" s="263"/>
      <c r="G159" s="377">
        <f>$G$6</f>
        <v>2020</v>
      </c>
      <c r="H159" s="377"/>
      <c r="I159" s="377"/>
      <c r="J159" s="377"/>
      <c r="K159" s="263"/>
      <c r="L159" s="377">
        <f>$L$6</f>
        <v>2035</v>
      </c>
      <c r="M159" s="377"/>
      <c r="N159" s="377"/>
      <c r="O159" s="377"/>
    </row>
    <row r="160" spans="1:15" s="236" customFormat="1" x14ac:dyDescent="0.2">
      <c r="A160" s="254"/>
      <c r="B160" s="268" t="str">
        <f>$B$7</f>
        <v>FT</v>
      </c>
      <c r="C160" s="268" t="str">
        <f>$C$7</f>
        <v>PT</v>
      </c>
      <c r="D160" s="268" t="str">
        <f>$D$7</f>
        <v>SE</v>
      </c>
      <c r="E160" s="268" t="str">
        <f>$E$7</f>
        <v>Total</v>
      </c>
      <c r="F160" s="268"/>
      <c r="G160" s="268" t="str">
        <f>$G$7</f>
        <v>FT</v>
      </c>
      <c r="H160" s="268" t="str">
        <f>$H$7</f>
        <v>PT</v>
      </c>
      <c r="I160" s="268" t="str">
        <f>$I$7</f>
        <v>SE</v>
      </c>
      <c r="J160" s="268" t="str">
        <f>$J$7</f>
        <v>Total</v>
      </c>
      <c r="K160" s="268"/>
      <c r="L160" s="268" t="str">
        <f>$L$7</f>
        <v>FT</v>
      </c>
      <c r="M160" s="268" t="str">
        <f>$M$7</f>
        <v>PT</v>
      </c>
      <c r="N160" s="268" t="str">
        <f>$N$7</f>
        <v>SE</v>
      </c>
      <c r="O160" s="268" t="str">
        <f>$O$7</f>
        <v>Total</v>
      </c>
    </row>
    <row r="161" spans="1:15" s="236" customFormat="1" x14ac:dyDescent="0.2">
      <c r="A161" s="258"/>
      <c r="B161" s="239"/>
      <c r="C161" s="239"/>
      <c r="D161" s="239"/>
      <c r="E161" s="239"/>
      <c r="F161" s="239"/>
      <c r="G161" s="239"/>
      <c r="H161" s="239"/>
      <c r="I161" s="239"/>
      <c r="J161" s="239"/>
      <c r="K161" s="239"/>
      <c r="L161" s="239"/>
      <c r="M161" s="239"/>
      <c r="N161" s="239"/>
      <c r="O161" s="239"/>
    </row>
    <row r="162" spans="1:15" s="236" customFormat="1" x14ac:dyDescent="0.2">
      <c r="A162" s="237" t="str">
        <f>name!E$4</f>
        <v>Managers, directors and senior officials</v>
      </c>
      <c r="B162" s="302">
        <v>7.0707381830433409</v>
      </c>
      <c r="C162" s="302">
        <v>0.48573171433689499</v>
      </c>
      <c r="D162" s="302">
        <v>1.7912410256888296</v>
      </c>
      <c r="E162" s="302">
        <f>SUM(B162:D162)</f>
        <v>9.3477109230690658</v>
      </c>
      <c r="F162" s="303"/>
      <c r="G162" s="302">
        <v>8.0729290196600925</v>
      </c>
      <c r="H162" s="302">
        <v>0.80573169431397818</v>
      </c>
      <c r="I162" s="302">
        <v>2.6219799214203898</v>
      </c>
      <c r="J162" s="302">
        <f>SUM(G162:I162)</f>
        <v>11.500640635394461</v>
      </c>
      <c r="K162" s="303"/>
      <c r="L162" s="302">
        <v>8.3832784057490368</v>
      </c>
      <c r="M162" s="302">
        <v>0.78737168079744624</v>
      </c>
      <c r="N162" s="302">
        <v>2.9760079478543382</v>
      </c>
      <c r="O162" s="302">
        <f>SUM(L162:N162)</f>
        <v>12.146658034400822</v>
      </c>
    </row>
    <row r="163" spans="1:15" s="236" customFormat="1" x14ac:dyDescent="0.2">
      <c r="A163" s="237" t="str">
        <f>name!E$5</f>
        <v>Professional occupations</v>
      </c>
      <c r="B163" s="302">
        <v>4.5003124098794762</v>
      </c>
      <c r="C163" s="302">
        <v>0.60115475835874754</v>
      </c>
      <c r="D163" s="302">
        <v>0.45144598425110161</v>
      </c>
      <c r="E163" s="302">
        <f t="shared" ref="E163:E170" si="77">SUM(B163:D163)</f>
        <v>5.5529131524893254</v>
      </c>
      <c r="F163" s="303"/>
      <c r="G163" s="302">
        <v>5.8118832661351183</v>
      </c>
      <c r="H163" s="302">
        <v>0.89577168636115201</v>
      </c>
      <c r="I163" s="302">
        <v>0.63261270250898427</v>
      </c>
      <c r="J163" s="302">
        <f t="shared" ref="J163:J165" si="78">SUM(G163:I163)</f>
        <v>7.3402676550052544</v>
      </c>
      <c r="K163" s="303"/>
      <c r="L163" s="302">
        <v>7.935604228440801</v>
      </c>
      <c r="M163" s="302">
        <v>0.9627690017215742</v>
      </c>
      <c r="N163" s="302">
        <v>0.53398157562328485</v>
      </c>
      <c r="O163" s="302">
        <f t="shared" ref="O163:O170" si="79">SUM(L163:N163)</f>
        <v>9.4323548057856605</v>
      </c>
    </row>
    <row r="164" spans="1:15" s="236" customFormat="1" x14ac:dyDescent="0.2">
      <c r="A164" s="237" t="str">
        <f>name!E$6</f>
        <v>Associate professional occupations</v>
      </c>
      <c r="B164" s="302">
        <v>4.5985166322090558</v>
      </c>
      <c r="C164" s="302">
        <v>1.1291391863836127</v>
      </c>
      <c r="D164" s="302">
        <v>0.37651533033178314</v>
      </c>
      <c r="E164" s="302">
        <f t="shared" si="77"/>
        <v>6.1041711489244515</v>
      </c>
      <c r="F164" s="303"/>
      <c r="G164" s="302">
        <v>5.4763782143102819</v>
      </c>
      <c r="H164" s="302">
        <v>1.3780228273416226</v>
      </c>
      <c r="I164" s="302">
        <v>0.43692683358559919</v>
      </c>
      <c r="J164" s="302">
        <f t="shared" si="78"/>
        <v>7.2913278752375037</v>
      </c>
      <c r="K164" s="303"/>
      <c r="L164" s="302">
        <v>6.2233094379731018</v>
      </c>
      <c r="M164" s="302">
        <v>1.1779832201976501</v>
      </c>
      <c r="N164" s="302">
        <v>0.44455234558038598</v>
      </c>
      <c r="O164" s="302">
        <f t="shared" si="79"/>
        <v>7.8458450037511378</v>
      </c>
    </row>
    <row r="165" spans="1:15" s="236" customFormat="1" x14ac:dyDescent="0.2">
      <c r="A165" s="237" t="str">
        <f>name!E$7</f>
        <v>Administrative and secretarial occupations</v>
      </c>
      <c r="B165" s="302">
        <v>5.3497232762071043</v>
      </c>
      <c r="C165" s="302">
        <v>2.0624234198041274</v>
      </c>
      <c r="D165" s="302">
        <v>0.19106863157790333</v>
      </c>
      <c r="E165" s="302">
        <f t="shared" si="77"/>
        <v>7.603215327589135</v>
      </c>
      <c r="F165" s="303"/>
      <c r="G165" s="302">
        <v>5.6486068719462175</v>
      </c>
      <c r="H165" s="302">
        <v>2.2551270686407956</v>
      </c>
      <c r="I165" s="302">
        <v>0.18338203005815065</v>
      </c>
      <c r="J165" s="302">
        <f t="shared" si="78"/>
        <v>8.087115970645165</v>
      </c>
      <c r="K165" s="303"/>
      <c r="L165" s="302">
        <v>6.8319808661734349</v>
      </c>
      <c r="M165" s="302">
        <v>2.0400219013581755</v>
      </c>
      <c r="N165" s="302">
        <v>0.1950348254611366</v>
      </c>
      <c r="O165" s="302">
        <f t="shared" si="79"/>
        <v>9.0670375929927474</v>
      </c>
    </row>
    <row r="166" spans="1:15" s="236" customFormat="1" x14ac:dyDescent="0.2">
      <c r="A166" s="237" t="str">
        <f>name!E$8</f>
        <v>Skilled trades occupations</v>
      </c>
      <c r="B166" s="302">
        <v>5.9100541776597453</v>
      </c>
      <c r="C166" s="302">
        <v>0.79435227245514672</v>
      </c>
      <c r="D166" s="302">
        <v>1.2287271788857224</v>
      </c>
      <c r="E166" s="302">
        <f t="shared" si="77"/>
        <v>7.933133629000614</v>
      </c>
      <c r="F166" s="303"/>
      <c r="G166" s="302">
        <v>4.7450823477781556</v>
      </c>
      <c r="H166" s="302">
        <v>0.53285843548489376</v>
      </c>
      <c r="I166" s="302">
        <v>1.5831205936315482</v>
      </c>
      <c r="J166" s="302">
        <f>SUM(G166:I166)</f>
        <v>6.8610613768945976</v>
      </c>
      <c r="K166" s="303"/>
      <c r="L166" s="302">
        <v>4.5397654388639594</v>
      </c>
      <c r="M166" s="302">
        <v>0.55692964345778684</v>
      </c>
      <c r="N166" s="302">
        <v>1.933836813521872</v>
      </c>
      <c r="O166" s="302">
        <f t="shared" si="79"/>
        <v>7.0305318958436178</v>
      </c>
    </row>
    <row r="167" spans="1:15" s="236" customFormat="1" x14ac:dyDescent="0.2">
      <c r="A167" s="237" t="str">
        <f>name!E$9</f>
        <v>Caring, leisure and other service occupations</v>
      </c>
      <c r="B167" s="302">
        <v>0.32327162450135438</v>
      </c>
      <c r="C167" s="302">
        <v>0.13286884490606016</v>
      </c>
      <c r="D167" s="302">
        <v>7.3221070983719522E-2</v>
      </c>
      <c r="E167" s="302">
        <f t="shared" si="77"/>
        <v>0.52936154039113403</v>
      </c>
      <c r="F167" s="303"/>
      <c r="G167" s="302">
        <v>0.29327644176540113</v>
      </c>
      <c r="H167" s="302">
        <v>0.11694812419985938</v>
      </c>
      <c r="I167" s="302">
        <v>8.6479268634110429E-2</v>
      </c>
      <c r="J167" s="302">
        <f t="shared" ref="J167:J170" si="80">SUM(G167:I167)</f>
        <v>0.49670383459937095</v>
      </c>
      <c r="K167" s="303"/>
      <c r="L167" s="302">
        <v>0.36258320586461851</v>
      </c>
      <c r="M167" s="302">
        <v>8.2947794823733864E-2</v>
      </c>
      <c r="N167" s="302">
        <v>0.15190353981624025</v>
      </c>
      <c r="O167" s="302">
        <f t="shared" si="79"/>
        <v>0.59743454050459266</v>
      </c>
    </row>
    <row r="168" spans="1:15" s="236" customFormat="1" x14ac:dyDescent="0.2">
      <c r="A168" s="237" t="str">
        <f>name!E$10</f>
        <v>Sales and customer service occupations</v>
      </c>
      <c r="B168" s="302">
        <v>8.9025715435537407</v>
      </c>
      <c r="C168" s="302">
        <v>20.382445877674137</v>
      </c>
      <c r="D168" s="302">
        <v>1.2054683350259643</v>
      </c>
      <c r="E168" s="302">
        <f t="shared" si="77"/>
        <v>30.490485756253843</v>
      </c>
      <c r="F168" s="303"/>
      <c r="G168" s="302">
        <v>7.0847472126576072</v>
      </c>
      <c r="H168" s="302">
        <v>18.73308727934101</v>
      </c>
      <c r="I168" s="302">
        <v>0.96707253717678243</v>
      </c>
      <c r="J168" s="302">
        <f t="shared" si="80"/>
        <v>26.7849070291754</v>
      </c>
      <c r="K168" s="303"/>
      <c r="L168" s="302">
        <v>5.9590741512870178</v>
      </c>
      <c r="M168" s="302">
        <v>17.094904288728181</v>
      </c>
      <c r="N168" s="302">
        <v>0.70420361623756067</v>
      </c>
      <c r="O168" s="302">
        <f t="shared" si="79"/>
        <v>23.75818205625276</v>
      </c>
    </row>
    <row r="169" spans="1:15" s="236" customFormat="1" x14ac:dyDescent="0.2">
      <c r="A169" s="237" t="str">
        <f>name!E$11</f>
        <v>Process, plant and machine operatives</v>
      </c>
      <c r="B169" s="302">
        <v>5.5366538778083285</v>
      </c>
      <c r="C169" s="302">
        <v>1.0719949088909095</v>
      </c>
      <c r="D169" s="302">
        <v>0.21334437009074464</v>
      </c>
      <c r="E169" s="302">
        <f t="shared" si="77"/>
        <v>6.8219931567899827</v>
      </c>
      <c r="F169" s="303"/>
      <c r="G169" s="302">
        <v>4.9447124448040798</v>
      </c>
      <c r="H169" s="302">
        <v>1.0761024103814134</v>
      </c>
      <c r="I169" s="302">
        <v>0.27819445532506654</v>
      </c>
      <c r="J169" s="302">
        <f t="shared" si="80"/>
        <v>6.2990093105105602</v>
      </c>
      <c r="K169" s="303"/>
      <c r="L169" s="302">
        <v>4.9189966896063968</v>
      </c>
      <c r="M169" s="302">
        <v>1.3217347144824378</v>
      </c>
      <c r="N169" s="302">
        <v>0.35055335013421551</v>
      </c>
      <c r="O169" s="302">
        <f t="shared" si="79"/>
        <v>6.5912847542230502</v>
      </c>
    </row>
    <row r="170" spans="1:15" s="236" customFormat="1" x14ac:dyDescent="0.2">
      <c r="A170" s="237" t="str">
        <f>name!E$12</f>
        <v>Elementary occupations</v>
      </c>
      <c r="B170" s="302">
        <v>4.4729044901471253</v>
      </c>
      <c r="C170" s="302">
        <v>3.832901498012796</v>
      </c>
      <c r="D170" s="302">
        <v>8.5209377332457314E-2</v>
      </c>
      <c r="E170" s="302">
        <f t="shared" si="77"/>
        <v>8.3910153654923789</v>
      </c>
      <c r="F170" s="303"/>
      <c r="G170" s="302">
        <v>3.5631569406152539</v>
      </c>
      <c r="H170" s="302">
        <v>3.1743336308483698</v>
      </c>
      <c r="I170" s="302">
        <v>9.1475741074004482E-2</v>
      </c>
      <c r="J170" s="302">
        <f t="shared" si="80"/>
        <v>6.828966312537629</v>
      </c>
      <c r="K170" s="303"/>
      <c r="L170" s="302">
        <v>4.0709485446678002</v>
      </c>
      <c r="M170" s="302">
        <v>3.4079392485067381</v>
      </c>
      <c r="N170" s="302">
        <v>8.3783523071183655E-2</v>
      </c>
      <c r="O170" s="302">
        <f t="shared" si="79"/>
        <v>7.562671316245722</v>
      </c>
    </row>
    <row r="171" spans="1:15" s="236" customFormat="1" x14ac:dyDescent="0.2">
      <c r="A171" s="237"/>
      <c r="B171" s="302"/>
      <c r="C171" s="302"/>
      <c r="D171" s="302"/>
      <c r="E171" s="302"/>
      <c r="F171" s="303"/>
      <c r="G171" s="302"/>
      <c r="H171" s="302"/>
      <c r="I171" s="302"/>
      <c r="J171" s="302"/>
      <c r="K171" s="303"/>
      <c r="L171" s="302"/>
      <c r="M171" s="302"/>
      <c r="N171" s="302"/>
      <c r="O171" s="302"/>
    </row>
    <row r="172" spans="1:15" s="236" customFormat="1" x14ac:dyDescent="0.2">
      <c r="A172" s="244" t="s">
        <v>33</v>
      </c>
      <c r="B172" s="311">
        <f>SUM(B162:B170)</f>
        <v>46.664746215009266</v>
      </c>
      <c r="C172" s="311">
        <f t="shared" ref="C172:E172" si="81">SUM(C162:C170)</f>
        <v>30.493012480822433</v>
      </c>
      <c r="D172" s="311">
        <f t="shared" si="81"/>
        <v>5.6162413041682262</v>
      </c>
      <c r="E172" s="311">
        <f t="shared" si="81"/>
        <v>82.77399999999993</v>
      </c>
      <c r="F172" s="311"/>
      <c r="G172" s="311">
        <f t="shared" ref="G172:J172" si="82">SUM(G162:G170)</f>
        <v>45.64077275967221</v>
      </c>
      <c r="H172" s="311">
        <f t="shared" si="82"/>
        <v>28.967983156913093</v>
      </c>
      <c r="I172" s="311">
        <f t="shared" si="82"/>
        <v>6.8812440834146358</v>
      </c>
      <c r="J172" s="311">
        <f t="shared" si="82"/>
        <v>81.489999999999938</v>
      </c>
      <c r="K172" s="311"/>
      <c r="L172" s="311">
        <f t="shared" ref="L172:O172" si="83">SUM(L162:L170)</f>
        <v>49.22554096862617</v>
      </c>
      <c r="M172" s="311">
        <f t="shared" si="83"/>
        <v>27.432601494073726</v>
      </c>
      <c r="N172" s="311">
        <f t="shared" si="83"/>
        <v>7.3738575373002178</v>
      </c>
      <c r="O172" s="311">
        <f t="shared" si="83"/>
        <v>84.03200000000011</v>
      </c>
    </row>
    <row r="173" spans="1:15" s="236" customFormat="1" x14ac:dyDescent="0.2">
      <c r="A173" s="237"/>
      <c r="B173" s="237"/>
      <c r="C173" s="237"/>
      <c r="D173" s="237"/>
      <c r="E173" s="237"/>
      <c r="F173" s="237"/>
      <c r="G173" s="237"/>
      <c r="H173" s="237"/>
      <c r="I173" s="237"/>
      <c r="J173" s="237"/>
      <c r="K173" s="237"/>
      <c r="L173" s="237"/>
      <c r="M173" s="237"/>
      <c r="N173" s="240"/>
    </row>
    <row r="174" spans="1:15" s="236" customFormat="1" x14ac:dyDescent="0.2">
      <c r="A174" s="237"/>
      <c r="B174" s="237"/>
      <c r="C174" s="237"/>
      <c r="D174" s="237"/>
      <c r="E174" s="237"/>
      <c r="F174" s="237"/>
      <c r="G174" s="237"/>
      <c r="H174" s="237"/>
      <c r="I174" s="237"/>
      <c r="J174" s="237"/>
      <c r="K174" s="237"/>
      <c r="L174" s="237"/>
      <c r="M174" s="237"/>
      <c r="N174" s="240"/>
      <c r="O174" s="251" t="s">
        <v>36</v>
      </c>
    </row>
    <row r="175" spans="1:15" s="236" customFormat="1" x14ac:dyDescent="0.2">
      <c r="A175" s="242"/>
      <c r="B175" s="242"/>
      <c r="C175" s="242"/>
      <c r="D175" s="242"/>
      <c r="E175" s="242"/>
      <c r="F175" s="242"/>
      <c r="G175" s="242"/>
      <c r="H175" s="242"/>
      <c r="I175" s="242"/>
      <c r="J175" s="242"/>
      <c r="K175" s="242"/>
      <c r="L175" s="242"/>
      <c r="M175" s="242"/>
      <c r="N175" s="242"/>
      <c r="O175" s="242"/>
    </row>
    <row r="176" spans="1:15" s="236" customFormat="1" x14ac:dyDescent="0.2">
      <c r="A176" s="241" t="str">
        <f>name!B13</f>
        <v>Transport and storage</v>
      </c>
      <c r="B176" s="377">
        <f>$B$6</f>
        <v>2015</v>
      </c>
      <c r="C176" s="377"/>
      <c r="D176" s="377"/>
      <c r="E176" s="377"/>
      <c r="F176" s="263"/>
      <c r="G176" s="377">
        <f>$G$6</f>
        <v>2020</v>
      </c>
      <c r="H176" s="377"/>
      <c r="I176" s="377"/>
      <c r="J176" s="377"/>
      <c r="K176" s="263"/>
      <c r="L176" s="377">
        <f>$L$6</f>
        <v>2035</v>
      </c>
      <c r="M176" s="377"/>
      <c r="N176" s="377"/>
      <c r="O176" s="377"/>
    </row>
    <row r="177" spans="1:15" s="236" customFormat="1" x14ac:dyDescent="0.2">
      <c r="A177" s="254"/>
      <c r="B177" s="268" t="str">
        <f>$B$7</f>
        <v>FT</v>
      </c>
      <c r="C177" s="268" t="str">
        <f>$C$7</f>
        <v>PT</v>
      </c>
      <c r="D177" s="268" t="str">
        <f>$D$7</f>
        <v>SE</v>
      </c>
      <c r="E177" s="268" t="str">
        <f>$E$7</f>
        <v>Total</v>
      </c>
      <c r="F177" s="268"/>
      <c r="G177" s="268" t="str">
        <f>$G$7</f>
        <v>FT</v>
      </c>
      <c r="H177" s="268" t="str">
        <f>$H$7</f>
        <v>PT</v>
      </c>
      <c r="I177" s="268" t="str">
        <f>$I$7</f>
        <v>SE</v>
      </c>
      <c r="J177" s="268" t="str">
        <f>$J$7</f>
        <v>Total</v>
      </c>
      <c r="K177" s="268"/>
      <c r="L177" s="268" t="str">
        <f>$L$7</f>
        <v>FT</v>
      </c>
      <c r="M177" s="268" t="str">
        <f>$M$7</f>
        <v>PT</v>
      </c>
      <c r="N177" s="268" t="str">
        <f>$N$7</f>
        <v>SE</v>
      </c>
      <c r="O177" s="268" t="str">
        <f>$O$7</f>
        <v>Total</v>
      </c>
    </row>
    <row r="178" spans="1:15" s="236" customFormat="1" x14ac:dyDescent="0.2">
      <c r="A178" s="258"/>
      <c r="B178" s="239"/>
      <c r="C178" s="239"/>
      <c r="D178" s="239"/>
      <c r="E178" s="239"/>
      <c r="F178" s="239"/>
      <c r="G178" s="239"/>
      <c r="H178" s="239"/>
      <c r="I178" s="239"/>
      <c r="J178" s="239"/>
      <c r="K178" s="239"/>
      <c r="L178" s="239"/>
      <c r="M178" s="239"/>
      <c r="N178" s="239"/>
      <c r="O178" s="239"/>
    </row>
    <row r="179" spans="1:15" s="236" customFormat="1" x14ac:dyDescent="0.2">
      <c r="A179" s="237" t="str">
        <f>name!E$4</f>
        <v>Managers, directors and senior officials</v>
      </c>
      <c r="B179" s="302">
        <v>1.6576408017566444</v>
      </c>
      <c r="C179" s="302">
        <v>8.7238495557121737E-2</v>
      </c>
      <c r="D179" s="302">
        <v>0.26152902153945207</v>
      </c>
      <c r="E179" s="302">
        <f>SUM(B179:D179)</f>
        <v>2.006408318853218</v>
      </c>
      <c r="F179" s="303"/>
      <c r="G179" s="302">
        <v>2.0777562402686955</v>
      </c>
      <c r="H179" s="302">
        <v>0.18017953365459674</v>
      </c>
      <c r="I179" s="302">
        <v>0.41114524591652057</v>
      </c>
      <c r="J179" s="302">
        <f>SUM(G179:I179)</f>
        <v>2.6690810198398127</v>
      </c>
      <c r="K179" s="303"/>
      <c r="L179" s="302">
        <v>2.156465879503036</v>
      </c>
      <c r="M179" s="302">
        <v>0.19934583246130486</v>
      </c>
      <c r="N179" s="302">
        <v>0.43435752475399869</v>
      </c>
      <c r="O179" s="302">
        <f>SUM(L179:N179)</f>
        <v>2.7901692367183397</v>
      </c>
    </row>
    <row r="180" spans="1:15" s="236" customFormat="1" x14ac:dyDescent="0.2">
      <c r="A180" s="237" t="str">
        <f>name!E$5</f>
        <v>Professional occupations</v>
      </c>
      <c r="B180" s="302">
        <v>1.2083238387078143</v>
      </c>
      <c r="C180" s="302">
        <v>6.5835932126109095E-2</v>
      </c>
      <c r="D180" s="302">
        <v>8.8642349101617474E-2</v>
      </c>
      <c r="E180" s="302">
        <f t="shared" ref="E180:E187" si="84">SUM(B180:D180)</f>
        <v>1.3628021199355409</v>
      </c>
      <c r="F180" s="303"/>
      <c r="G180" s="302">
        <v>1.7129851550587514</v>
      </c>
      <c r="H180" s="302">
        <v>0.13586107976195214</v>
      </c>
      <c r="I180" s="302">
        <v>0.11897089582222542</v>
      </c>
      <c r="J180" s="302">
        <f t="shared" ref="J180:J182" si="85">SUM(G180:I180)</f>
        <v>1.9678171306429291</v>
      </c>
      <c r="K180" s="303"/>
      <c r="L180" s="302">
        <v>2.3212124879022085</v>
      </c>
      <c r="M180" s="302">
        <v>0.20733767554979882</v>
      </c>
      <c r="N180" s="302">
        <v>0.11024544982695815</v>
      </c>
      <c r="O180" s="302">
        <f t="shared" ref="O180:O187" si="86">SUM(L180:N180)</f>
        <v>2.6387956132789654</v>
      </c>
    </row>
    <row r="181" spans="1:15" s="236" customFormat="1" x14ac:dyDescent="0.2">
      <c r="A181" s="237" t="str">
        <f>name!E$6</f>
        <v>Associate professional occupations</v>
      </c>
      <c r="B181" s="302">
        <v>1.2328411386391263</v>
      </c>
      <c r="C181" s="302">
        <v>0.12116877044764995</v>
      </c>
      <c r="D181" s="302">
        <v>5.0160716222364884E-2</v>
      </c>
      <c r="E181" s="302">
        <f t="shared" si="84"/>
        <v>1.4041706253091411</v>
      </c>
      <c r="F181" s="303"/>
      <c r="G181" s="302">
        <v>1.5516513251092547</v>
      </c>
      <c r="H181" s="302">
        <v>0.19537898949784047</v>
      </c>
      <c r="I181" s="302">
        <v>7.7646568703453545E-2</v>
      </c>
      <c r="J181" s="302">
        <f t="shared" si="85"/>
        <v>1.8246768833105487</v>
      </c>
      <c r="K181" s="303"/>
      <c r="L181" s="302">
        <v>1.6412902128818081</v>
      </c>
      <c r="M181" s="302">
        <v>0.24092470320258666</v>
      </c>
      <c r="N181" s="302">
        <v>8.3904935136201647E-2</v>
      </c>
      <c r="O181" s="302">
        <f t="shared" si="86"/>
        <v>1.9661198512205964</v>
      </c>
    </row>
    <row r="182" spans="1:15" s="236" customFormat="1" x14ac:dyDescent="0.2">
      <c r="A182" s="237" t="str">
        <f>name!E$7</f>
        <v>Administrative and secretarial occupations</v>
      </c>
      <c r="B182" s="302">
        <v>2.1531911745972243</v>
      </c>
      <c r="C182" s="302">
        <v>0.79834726474436357</v>
      </c>
      <c r="D182" s="302">
        <v>3.5861748034194812E-2</v>
      </c>
      <c r="E182" s="302">
        <f t="shared" si="84"/>
        <v>2.9874001873757825</v>
      </c>
      <c r="F182" s="303"/>
      <c r="G182" s="302">
        <v>2.505013696667818</v>
      </c>
      <c r="H182" s="302">
        <v>0.98766129012732529</v>
      </c>
      <c r="I182" s="302">
        <v>9.7344608563160281E-2</v>
      </c>
      <c r="J182" s="302">
        <f t="shared" si="85"/>
        <v>3.5900195953583038</v>
      </c>
      <c r="K182" s="303"/>
      <c r="L182" s="302">
        <v>3.0247559653496396</v>
      </c>
      <c r="M182" s="302">
        <v>1.0063455357762618</v>
      </c>
      <c r="N182" s="302">
        <v>7.0609721348106086E-2</v>
      </c>
      <c r="O182" s="302">
        <f t="shared" si="86"/>
        <v>4.1017112224740071</v>
      </c>
    </row>
    <row r="183" spans="1:15" s="236" customFormat="1" x14ac:dyDescent="0.2">
      <c r="A183" s="237" t="str">
        <f>name!E$8</f>
        <v>Skilled trades occupations</v>
      </c>
      <c r="B183" s="302">
        <v>1.0582928132286604</v>
      </c>
      <c r="C183" s="302">
        <v>0.18395324877790931</v>
      </c>
      <c r="D183" s="302">
        <v>0.32693282129866541</v>
      </c>
      <c r="E183" s="302">
        <f t="shared" si="84"/>
        <v>1.5691788833052351</v>
      </c>
      <c r="F183" s="303"/>
      <c r="G183" s="302">
        <v>0.89982821013565872</v>
      </c>
      <c r="H183" s="302">
        <v>0.2471708636768655</v>
      </c>
      <c r="I183" s="302">
        <v>0.26515047503829792</v>
      </c>
      <c r="J183" s="302">
        <f>SUM(G183:I183)</f>
        <v>1.412149548850822</v>
      </c>
      <c r="K183" s="303"/>
      <c r="L183" s="302">
        <v>0.7080413893234524</v>
      </c>
      <c r="M183" s="302">
        <v>0.39840962111524264</v>
      </c>
      <c r="N183" s="302">
        <v>0.27763274044352693</v>
      </c>
      <c r="O183" s="302">
        <f t="shared" si="86"/>
        <v>1.3840837508822221</v>
      </c>
    </row>
    <row r="184" spans="1:15" s="236" customFormat="1" x14ac:dyDescent="0.2">
      <c r="A184" s="237" t="str">
        <f>name!E$9</f>
        <v>Caring, leisure and other service occupations</v>
      </c>
      <c r="B184" s="302">
        <v>0.66043864551387998</v>
      </c>
      <c r="C184" s="302">
        <v>0.34727065014321051</v>
      </c>
      <c r="D184" s="302">
        <v>5.9442387740381276E-2</v>
      </c>
      <c r="E184" s="302">
        <f t="shared" si="84"/>
        <v>1.0671516833974719</v>
      </c>
      <c r="F184" s="303"/>
      <c r="G184" s="302">
        <v>0.68507887382441457</v>
      </c>
      <c r="H184" s="302">
        <v>0.37794009827370928</v>
      </c>
      <c r="I184" s="302">
        <v>9.5302757238773489E-2</v>
      </c>
      <c r="J184" s="302">
        <f t="shared" ref="J184:J187" si="87">SUM(G184:I184)</f>
        <v>1.1583217293368973</v>
      </c>
      <c r="K184" s="303"/>
      <c r="L184" s="302">
        <v>0.57161170321538557</v>
      </c>
      <c r="M184" s="302">
        <v>0.34794027935942368</v>
      </c>
      <c r="N184" s="302">
        <v>0.10593936637359505</v>
      </c>
      <c r="O184" s="302">
        <f t="shared" si="86"/>
        <v>1.0254913489484043</v>
      </c>
    </row>
    <row r="185" spans="1:15" s="236" customFormat="1" x14ac:dyDescent="0.2">
      <c r="A185" s="237" t="str">
        <f>name!E$10</f>
        <v>Sales and customer service occupations</v>
      </c>
      <c r="B185" s="302">
        <v>0.70969315552437118</v>
      </c>
      <c r="C185" s="302">
        <v>0.57141295223457222</v>
      </c>
      <c r="D185" s="302">
        <v>0.11934906987072201</v>
      </c>
      <c r="E185" s="302">
        <f t="shared" si="84"/>
        <v>1.4004551776296654</v>
      </c>
      <c r="F185" s="303"/>
      <c r="G185" s="302">
        <v>0.79480285463741329</v>
      </c>
      <c r="H185" s="302">
        <v>0.76509285096155577</v>
      </c>
      <c r="I185" s="302">
        <v>0.14506047821781004</v>
      </c>
      <c r="J185" s="302">
        <f t="shared" si="87"/>
        <v>1.704956183816779</v>
      </c>
      <c r="K185" s="303"/>
      <c r="L185" s="302">
        <v>0.87580637189734978</v>
      </c>
      <c r="M185" s="302">
        <v>0.92947538170660959</v>
      </c>
      <c r="N185" s="302">
        <v>0.13226938952442696</v>
      </c>
      <c r="O185" s="302">
        <f t="shared" si="86"/>
        <v>1.9375511431283863</v>
      </c>
    </row>
    <row r="186" spans="1:15" s="236" customFormat="1" x14ac:dyDescent="0.2">
      <c r="A186" s="237" t="str">
        <f>name!E$11</f>
        <v>Process, plant and machine operatives</v>
      </c>
      <c r="B186" s="302">
        <v>7.1671496791814082</v>
      </c>
      <c r="C186" s="302">
        <v>0.65795519032316552</v>
      </c>
      <c r="D186" s="302">
        <v>2.1395805606882567</v>
      </c>
      <c r="E186" s="302">
        <f t="shared" si="84"/>
        <v>9.96468543019283</v>
      </c>
      <c r="F186" s="303"/>
      <c r="G186" s="302">
        <v>6.5334872863024973</v>
      </c>
      <c r="H186" s="302">
        <v>1.0141160034777075</v>
      </c>
      <c r="I186" s="302">
        <v>2.7005229901293837</v>
      </c>
      <c r="J186" s="302">
        <f t="shared" si="87"/>
        <v>10.248126279909588</v>
      </c>
      <c r="K186" s="303"/>
      <c r="L186" s="302">
        <v>5.953326975532641</v>
      </c>
      <c r="M186" s="302">
        <v>1.177666352196455</v>
      </c>
      <c r="N186" s="302">
        <v>2.8156851747678182</v>
      </c>
      <c r="O186" s="302">
        <f t="shared" si="86"/>
        <v>9.9466785024969138</v>
      </c>
    </row>
    <row r="187" spans="1:15" s="236" customFormat="1" x14ac:dyDescent="0.2">
      <c r="A187" s="237" t="str">
        <f>name!E$12</f>
        <v>Elementary occupations</v>
      </c>
      <c r="B187" s="302">
        <v>3.6118557743804667</v>
      </c>
      <c r="C187" s="302">
        <v>0.63389362347608946</v>
      </c>
      <c r="D187" s="302">
        <v>7.7998176144549639E-2</v>
      </c>
      <c r="E187" s="302">
        <f t="shared" si="84"/>
        <v>4.3237475740011062</v>
      </c>
      <c r="F187" s="303"/>
      <c r="G187" s="302">
        <v>3.1702527619012493</v>
      </c>
      <c r="H187" s="302">
        <v>0.73327628280897372</v>
      </c>
      <c r="I187" s="302">
        <v>0.10632258422410405</v>
      </c>
      <c r="J187" s="302">
        <f t="shared" si="87"/>
        <v>4.0098516289343271</v>
      </c>
      <c r="K187" s="303"/>
      <c r="L187" s="302">
        <v>3.3589160973083234</v>
      </c>
      <c r="M187" s="302">
        <v>0.72443196011867483</v>
      </c>
      <c r="N187" s="302">
        <v>0.11005127342521598</v>
      </c>
      <c r="O187" s="302">
        <f t="shared" si="86"/>
        <v>4.1933993308522144</v>
      </c>
    </row>
    <row r="188" spans="1:15" s="236" customFormat="1" x14ac:dyDescent="0.2">
      <c r="A188" s="237"/>
      <c r="B188" s="302"/>
      <c r="C188" s="302"/>
      <c r="D188" s="302"/>
      <c r="E188" s="302"/>
      <c r="F188" s="303"/>
      <c r="G188" s="302"/>
      <c r="H188" s="302"/>
      <c r="I188" s="302"/>
      <c r="J188" s="302"/>
      <c r="K188" s="303"/>
      <c r="L188" s="302"/>
      <c r="M188" s="302"/>
      <c r="N188" s="302"/>
      <c r="O188" s="302"/>
    </row>
    <row r="189" spans="1:15" s="236" customFormat="1" x14ac:dyDescent="0.2">
      <c r="A189" s="244" t="s">
        <v>33</v>
      </c>
      <c r="B189" s="311">
        <f>SUM(B179:B187)</f>
        <v>19.459427021529596</v>
      </c>
      <c r="C189" s="311">
        <f t="shared" ref="C189:E189" si="88">SUM(C179:C187)</f>
        <v>3.4670761278301914</v>
      </c>
      <c r="D189" s="311">
        <f t="shared" si="88"/>
        <v>3.1594968506402044</v>
      </c>
      <c r="E189" s="311">
        <f t="shared" si="88"/>
        <v>26.085999999999995</v>
      </c>
      <c r="F189" s="311"/>
      <c r="G189" s="311">
        <f t="shared" ref="G189:J189" si="89">SUM(G179:G187)</f>
        <v>19.930856403905754</v>
      </c>
      <c r="H189" s="311">
        <f t="shared" si="89"/>
        <v>4.6366769922405258</v>
      </c>
      <c r="I189" s="311">
        <f t="shared" si="89"/>
        <v>4.0174666038537294</v>
      </c>
      <c r="J189" s="311">
        <f t="shared" si="89"/>
        <v>28.585000000000008</v>
      </c>
      <c r="K189" s="311"/>
      <c r="L189" s="311">
        <f t="shared" ref="L189:O189" si="90">SUM(L179:L187)</f>
        <v>20.611427082913846</v>
      </c>
      <c r="M189" s="311">
        <f t="shared" si="90"/>
        <v>5.2318773414863582</v>
      </c>
      <c r="N189" s="311">
        <f t="shared" si="90"/>
        <v>4.1406955755998478</v>
      </c>
      <c r="O189" s="311">
        <f t="shared" si="90"/>
        <v>29.984000000000052</v>
      </c>
    </row>
    <row r="190" spans="1:15" s="236" customFormat="1" x14ac:dyDescent="0.2">
      <c r="A190" s="237"/>
      <c r="B190" s="237"/>
      <c r="C190" s="237"/>
      <c r="D190" s="237"/>
      <c r="E190" s="237"/>
      <c r="F190" s="237"/>
      <c r="G190" s="237"/>
      <c r="H190" s="237"/>
      <c r="I190" s="237"/>
      <c r="J190" s="237"/>
      <c r="K190" s="237"/>
      <c r="L190" s="237"/>
      <c r="M190" s="237"/>
      <c r="N190" s="240"/>
    </row>
    <row r="191" spans="1:15" s="236" customFormat="1" x14ac:dyDescent="0.2">
      <c r="A191" s="237"/>
      <c r="B191" s="237"/>
      <c r="C191" s="237"/>
      <c r="D191" s="237"/>
      <c r="E191" s="237"/>
      <c r="F191" s="237"/>
      <c r="G191" s="237"/>
      <c r="H191" s="237"/>
      <c r="I191" s="237"/>
      <c r="J191" s="237"/>
      <c r="K191" s="237"/>
      <c r="L191" s="237"/>
      <c r="M191" s="237"/>
      <c r="N191" s="240"/>
      <c r="O191" s="251" t="s">
        <v>36</v>
      </c>
    </row>
    <row r="192" spans="1:15" s="236" customFormat="1" x14ac:dyDescent="0.2">
      <c r="A192" s="242"/>
      <c r="B192" s="242"/>
      <c r="C192" s="242"/>
      <c r="D192" s="242"/>
      <c r="E192" s="242"/>
      <c r="F192" s="242"/>
      <c r="G192" s="242"/>
      <c r="H192" s="242"/>
      <c r="I192" s="242"/>
      <c r="J192" s="242"/>
      <c r="K192" s="242"/>
      <c r="L192" s="242"/>
      <c r="M192" s="242"/>
      <c r="N192" s="242"/>
      <c r="O192" s="242"/>
    </row>
    <row r="193" spans="1:15" s="236" customFormat="1" x14ac:dyDescent="0.2">
      <c r="A193" s="241" t="str">
        <f>name!B14</f>
        <v>Accommodation and food</v>
      </c>
      <c r="B193" s="377">
        <f>$B$6</f>
        <v>2015</v>
      </c>
      <c r="C193" s="377"/>
      <c r="D193" s="377"/>
      <c r="E193" s="377"/>
      <c r="F193" s="263"/>
      <c r="G193" s="377">
        <f>$G$6</f>
        <v>2020</v>
      </c>
      <c r="H193" s="377"/>
      <c r="I193" s="377"/>
      <c r="J193" s="377"/>
      <c r="K193" s="263"/>
      <c r="L193" s="377">
        <f>$L$6</f>
        <v>2035</v>
      </c>
      <c r="M193" s="377"/>
      <c r="N193" s="377"/>
      <c r="O193" s="377"/>
    </row>
    <row r="194" spans="1:15" s="236" customFormat="1" x14ac:dyDescent="0.2">
      <c r="A194" s="254"/>
      <c r="B194" s="268" t="str">
        <f>$B$7</f>
        <v>FT</v>
      </c>
      <c r="C194" s="268" t="str">
        <f>$C$7</f>
        <v>PT</v>
      </c>
      <c r="D194" s="268" t="str">
        <f>$D$7</f>
        <v>SE</v>
      </c>
      <c r="E194" s="268" t="str">
        <f>$E$7</f>
        <v>Total</v>
      </c>
      <c r="F194" s="268"/>
      <c r="G194" s="268" t="str">
        <f>$G$7</f>
        <v>FT</v>
      </c>
      <c r="H194" s="268" t="str">
        <f>$H$7</f>
        <v>PT</v>
      </c>
      <c r="I194" s="268" t="str">
        <f>$I$7</f>
        <v>SE</v>
      </c>
      <c r="J194" s="268" t="str">
        <f>$J$7</f>
        <v>Total</v>
      </c>
      <c r="K194" s="268"/>
      <c r="L194" s="268" t="str">
        <f>$L$7</f>
        <v>FT</v>
      </c>
      <c r="M194" s="268" t="str">
        <f>$M$7</f>
        <v>PT</v>
      </c>
      <c r="N194" s="268" t="str">
        <f>$N$7</f>
        <v>SE</v>
      </c>
      <c r="O194" s="268" t="str">
        <f>$O$7</f>
        <v>Total</v>
      </c>
    </row>
    <row r="195" spans="1:15" s="236" customFormat="1" x14ac:dyDescent="0.2">
      <c r="A195" s="258"/>
      <c r="B195" s="239"/>
      <c r="C195" s="239"/>
      <c r="D195" s="239"/>
      <c r="E195" s="239"/>
      <c r="F195" s="239"/>
      <c r="G195" s="239"/>
      <c r="H195" s="239"/>
      <c r="I195" s="239"/>
      <c r="J195" s="239"/>
      <c r="K195" s="239"/>
      <c r="L195" s="239"/>
      <c r="M195" s="239"/>
      <c r="N195" s="239"/>
      <c r="O195" s="239"/>
    </row>
    <row r="196" spans="1:15" s="236" customFormat="1" x14ac:dyDescent="0.2">
      <c r="A196" s="237" t="str">
        <f>name!E$4</f>
        <v>Managers, directors and senior officials</v>
      </c>
      <c r="B196" s="302">
        <v>1.9744899500535849</v>
      </c>
      <c r="C196" s="302">
        <v>0.99513730081255192</v>
      </c>
      <c r="D196" s="302">
        <v>1.2138239653241139</v>
      </c>
      <c r="E196" s="302">
        <f>SUM(B196:D196)</f>
        <v>4.1834512161902504</v>
      </c>
      <c r="F196" s="303"/>
      <c r="G196" s="302">
        <v>2.5220005176970282</v>
      </c>
      <c r="H196" s="302">
        <v>1.4640187238332005</v>
      </c>
      <c r="I196" s="302">
        <v>0.66115625688307489</v>
      </c>
      <c r="J196" s="302">
        <f>SUM(G196:I196)</f>
        <v>4.6471754984133034</v>
      </c>
      <c r="K196" s="303"/>
      <c r="L196" s="302">
        <v>2.3678765128386714</v>
      </c>
      <c r="M196" s="302">
        <v>2.050220462578606</v>
      </c>
      <c r="N196" s="302">
        <v>0.71378127917518486</v>
      </c>
      <c r="O196" s="302">
        <f>SUM(L196:N196)</f>
        <v>5.1318782545924631</v>
      </c>
    </row>
    <row r="197" spans="1:15" s="236" customFormat="1" x14ac:dyDescent="0.2">
      <c r="A197" s="237" t="str">
        <f>name!E$5</f>
        <v>Professional occupations</v>
      </c>
      <c r="B197" s="302">
        <v>0.58039194498858315</v>
      </c>
      <c r="C197" s="302">
        <v>0.24516925782532012</v>
      </c>
      <c r="D197" s="302">
        <v>8.5615686852410222E-2</v>
      </c>
      <c r="E197" s="302">
        <f t="shared" ref="E197:E204" si="91">SUM(B197:D197)</f>
        <v>0.91117688966631349</v>
      </c>
      <c r="F197" s="303"/>
      <c r="G197" s="302">
        <v>0.92020233446792921</v>
      </c>
      <c r="H197" s="302">
        <v>0.42833358234752938</v>
      </c>
      <c r="I197" s="302">
        <v>4.3623380260501887E-2</v>
      </c>
      <c r="J197" s="302">
        <f t="shared" ref="J197:J199" si="92">SUM(G197:I197)</f>
        <v>1.3921592970759606</v>
      </c>
      <c r="K197" s="303"/>
      <c r="L197" s="302">
        <v>1.0005339614160436</v>
      </c>
      <c r="M197" s="302">
        <v>0.71608651658684519</v>
      </c>
      <c r="N197" s="302">
        <v>2.9378276308016944E-2</v>
      </c>
      <c r="O197" s="302">
        <f t="shared" ref="O197:O204" si="93">SUM(L197:N197)</f>
        <v>1.7459987543109057</v>
      </c>
    </row>
    <row r="198" spans="1:15" s="236" customFormat="1" x14ac:dyDescent="0.2">
      <c r="A198" s="237" t="str">
        <f>name!E$6</f>
        <v>Associate professional occupations</v>
      </c>
      <c r="B198" s="302">
        <v>0.44874577055816417</v>
      </c>
      <c r="C198" s="302">
        <v>0.50584834690566383</v>
      </c>
      <c r="D198" s="302">
        <v>5.906111067148103E-2</v>
      </c>
      <c r="E198" s="302">
        <f t="shared" si="91"/>
        <v>1.0136552281353091</v>
      </c>
      <c r="F198" s="303"/>
      <c r="G198" s="302">
        <v>0.64368377691529499</v>
      </c>
      <c r="H198" s="302">
        <v>0.67142617335459409</v>
      </c>
      <c r="I198" s="302">
        <v>2.4937694107830803E-2</v>
      </c>
      <c r="J198" s="302">
        <f t="shared" si="92"/>
        <v>1.3400476443777198</v>
      </c>
      <c r="K198" s="303"/>
      <c r="L198" s="302">
        <v>0.72715865836022997</v>
      </c>
      <c r="M198" s="302">
        <v>0.89926604042902014</v>
      </c>
      <c r="N198" s="302">
        <v>2.5899101969765553E-2</v>
      </c>
      <c r="O198" s="302">
        <f t="shared" si="93"/>
        <v>1.6523238007590157</v>
      </c>
    </row>
    <row r="199" spans="1:15" s="236" customFormat="1" x14ac:dyDescent="0.2">
      <c r="A199" s="237" t="str">
        <f>name!E$7</f>
        <v>Administrative and secretarial occupations</v>
      </c>
      <c r="B199" s="302">
        <v>0.9434556010000329</v>
      </c>
      <c r="C199" s="302">
        <v>0.74109927119976393</v>
      </c>
      <c r="D199" s="302">
        <v>3.4755678407582619E-2</v>
      </c>
      <c r="E199" s="302">
        <f t="shared" si="91"/>
        <v>1.7193105506073794</v>
      </c>
      <c r="F199" s="303"/>
      <c r="G199" s="302">
        <v>1.1752082739602467</v>
      </c>
      <c r="H199" s="302">
        <v>0.9003188085938697</v>
      </c>
      <c r="I199" s="302">
        <v>1.4472594247016711E-2</v>
      </c>
      <c r="J199" s="302">
        <f t="shared" si="92"/>
        <v>2.0899996768011331</v>
      </c>
      <c r="K199" s="303"/>
      <c r="L199" s="302">
        <v>1.4609316310012859</v>
      </c>
      <c r="M199" s="302">
        <v>1.3509257136117676</v>
      </c>
      <c r="N199" s="302">
        <v>1.5244427237954329E-2</v>
      </c>
      <c r="O199" s="302">
        <f t="shared" si="93"/>
        <v>2.8271017718510079</v>
      </c>
    </row>
    <row r="200" spans="1:15" s="236" customFormat="1" x14ac:dyDescent="0.2">
      <c r="A200" s="237" t="str">
        <f>name!E$8</f>
        <v>Skilled trades occupations</v>
      </c>
      <c r="B200" s="302">
        <v>1.1930524899674357</v>
      </c>
      <c r="C200" s="302">
        <v>2.1654112255137057</v>
      </c>
      <c r="D200" s="302">
        <v>0.37758704779650282</v>
      </c>
      <c r="E200" s="302">
        <f t="shared" si="91"/>
        <v>3.7360507632776443</v>
      </c>
      <c r="F200" s="303"/>
      <c r="G200" s="302">
        <v>1.1497483551530308</v>
      </c>
      <c r="H200" s="302">
        <v>1.6818403730554234</v>
      </c>
      <c r="I200" s="302">
        <v>0.19784439452523755</v>
      </c>
      <c r="J200" s="302">
        <f>SUM(G200:I200)</f>
        <v>3.0294331227336921</v>
      </c>
      <c r="K200" s="303"/>
      <c r="L200" s="302">
        <v>0.85604545144572441</v>
      </c>
      <c r="M200" s="302">
        <v>1.8065518844456319</v>
      </c>
      <c r="N200" s="302">
        <v>0.26322324760741345</v>
      </c>
      <c r="O200" s="302">
        <f t="shared" si="93"/>
        <v>2.9258205834987701</v>
      </c>
    </row>
    <row r="201" spans="1:15" s="236" customFormat="1" x14ac:dyDescent="0.2">
      <c r="A201" s="237" t="str">
        <f>name!E$9</f>
        <v>Caring, leisure and other service occupations</v>
      </c>
      <c r="B201" s="302">
        <v>0.62547197396118304</v>
      </c>
      <c r="C201" s="302">
        <v>0.7401035342419896</v>
      </c>
      <c r="D201" s="302">
        <v>0.1093201541277882</v>
      </c>
      <c r="E201" s="302">
        <f t="shared" si="91"/>
        <v>1.4748956623309608</v>
      </c>
      <c r="F201" s="303"/>
      <c r="G201" s="302">
        <v>0.72447299821528399</v>
      </c>
      <c r="H201" s="302">
        <v>0.78799673994626063</v>
      </c>
      <c r="I201" s="302">
        <v>7.0870602734105961E-2</v>
      </c>
      <c r="J201" s="302">
        <f t="shared" ref="J201:J204" si="94">SUM(G201:I201)</f>
        <v>1.5833403408956506</v>
      </c>
      <c r="K201" s="303"/>
      <c r="L201" s="302">
        <v>0.69940287324993733</v>
      </c>
      <c r="M201" s="302">
        <v>0.88409765920746719</v>
      </c>
      <c r="N201" s="302">
        <v>0.13113644483817422</v>
      </c>
      <c r="O201" s="302">
        <f t="shared" si="93"/>
        <v>1.7146369772955787</v>
      </c>
    </row>
    <row r="202" spans="1:15" s="236" customFormat="1" x14ac:dyDescent="0.2">
      <c r="A202" s="237" t="str">
        <f>name!E$10</f>
        <v>Sales and customer service occupations</v>
      </c>
      <c r="B202" s="302">
        <v>0.63202559452626683</v>
      </c>
      <c r="C202" s="302">
        <v>2.2910565568924501</v>
      </c>
      <c r="D202" s="302">
        <v>0.51368864928175362</v>
      </c>
      <c r="E202" s="302">
        <f t="shared" si="91"/>
        <v>3.4367708007004705</v>
      </c>
      <c r="F202" s="303"/>
      <c r="G202" s="302">
        <v>0.71397034515759883</v>
      </c>
      <c r="H202" s="302">
        <v>2.5112499844775833</v>
      </c>
      <c r="I202" s="302">
        <v>0.17203324800250389</v>
      </c>
      <c r="J202" s="302">
        <f t="shared" si="94"/>
        <v>3.3972535776376858</v>
      </c>
      <c r="K202" s="303"/>
      <c r="L202" s="302">
        <v>0.87238867515367247</v>
      </c>
      <c r="M202" s="302">
        <v>4.4478874620487243</v>
      </c>
      <c r="N202" s="302">
        <v>0.12941303323560577</v>
      </c>
      <c r="O202" s="302">
        <f t="shared" si="93"/>
        <v>5.4496891704380026</v>
      </c>
    </row>
    <row r="203" spans="1:15" s="236" customFormat="1" x14ac:dyDescent="0.2">
      <c r="A203" s="237" t="str">
        <f>name!E$11</f>
        <v>Process, plant and machine operatives</v>
      </c>
      <c r="B203" s="302">
        <v>0.25712262000020381</v>
      </c>
      <c r="C203" s="302">
        <v>1.3431197899179379</v>
      </c>
      <c r="D203" s="302">
        <v>4.895117042821942E-2</v>
      </c>
      <c r="E203" s="302">
        <f t="shared" si="91"/>
        <v>1.6491935803463613</v>
      </c>
      <c r="F203" s="303"/>
      <c r="G203" s="302">
        <v>0.23339843973862873</v>
      </c>
      <c r="H203" s="302">
        <v>1.248161953230952</v>
      </c>
      <c r="I203" s="302">
        <v>1.7265535237106271E-2</v>
      </c>
      <c r="J203" s="302">
        <f t="shared" si="94"/>
        <v>1.4988259282066871</v>
      </c>
      <c r="K203" s="303"/>
      <c r="L203" s="302">
        <v>0.29470902093996709</v>
      </c>
      <c r="M203" s="302">
        <v>1.8474876469713486</v>
      </c>
      <c r="N203" s="302">
        <v>3.3933758963498525E-2</v>
      </c>
      <c r="O203" s="302">
        <f t="shared" si="93"/>
        <v>2.1761304268748143</v>
      </c>
    </row>
    <row r="204" spans="1:15" s="236" customFormat="1" x14ac:dyDescent="0.2">
      <c r="A204" s="237" t="str">
        <f>name!E$12</f>
        <v>Elementary occupations</v>
      </c>
      <c r="B204" s="302">
        <v>4.7178737058953013</v>
      </c>
      <c r="C204" s="302">
        <v>11.023352442976988</v>
      </c>
      <c r="D204" s="302">
        <v>0.28126915987299167</v>
      </c>
      <c r="E204" s="302">
        <f t="shared" si="91"/>
        <v>16.022495308745281</v>
      </c>
      <c r="F204" s="303"/>
      <c r="G204" s="302">
        <v>4.4175158496421547</v>
      </c>
      <c r="H204" s="302">
        <v>10.586517445817179</v>
      </c>
      <c r="I204" s="302">
        <v>8.0731618398868027E-2</v>
      </c>
      <c r="J204" s="302">
        <f t="shared" si="94"/>
        <v>15.084764913858201</v>
      </c>
      <c r="K204" s="303"/>
      <c r="L204" s="302">
        <v>5.5778474924112738</v>
      </c>
      <c r="M204" s="302">
        <v>8.0856647963161929</v>
      </c>
      <c r="N204" s="302">
        <v>0.15690797165192791</v>
      </c>
      <c r="O204" s="302">
        <f t="shared" si="93"/>
        <v>13.820420260379395</v>
      </c>
    </row>
    <row r="205" spans="1:15" s="236" customFormat="1" x14ac:dyDescent="0.2">
      <c r="A205" s="237"/>
      <c r="B205" s="302"/>
      <c r="C205" s="302"/>
      <c r="D205" s="302"/>
      <c r="E205" s="302"/>
      <c r="F205" s="303"/>
      <c r="G205" s="302"/>
      <c r="H205" s="302"/>
      <c r="I205" s="302"/>
      <c r="J205" s="302"/>
      <c r="K205" s="303"/>
      <c r="L205" s="302"/>
      <c r="M205" s="302"/>
      <c r="N205" s="302"/>
      <c r="O205" s="302"/>
    </row>
    <row r="206" spans="1:15" s="236" customFormat="1" x14ac:dyDescent="0.2">
      <c r="A206" s="244" t="s">
        <v>33</v>
      </c>
      <c r="B206" s="311">
        <f>SUM(B196:B204)</f>
        <v>11.372629650950756</v>
      </c>
      <c r="C206" s="311">
        <f t="shared" ref="C206:E206" si="95">SUM(C196:C204)</f>
        <v>20.050297726286374</v>
      </c>
      <c r="D206" s="311">
        <f t="shared" si="95"/>
        <v>2.7240726227628436</v>
      </c>
      <c r="E206" s="311">
        <f t="shared" si="95"/>
        <v>34.14699999999997</v>
      </c>
      <c r="F206" s="311"/>
      <c r="G206" s="311">
        <f t="shared" ref="G206:J206" si="96">SUM(G196:G204)</f>
        <v>12.500200890947198</v>
      </c>
      <c r="H206" s="311">
        <f t="shared" si="96"/>
        <v>20.279863784656591</v>
      </c>
      <c r="I206" s="311">
        <f t="shared" si="96"/>
        <v>1.282935324396246</v>
      </c>
      <c r="J206" s="311">
        <f t="shared" si="96"/>
        <v>34.063000000000031</v>
      </c>
      <c r="K206" s="311"/>
      <c r="L206" s="311">
        <f t="shared" ref="L206:O206" si="97">SUM(L196:L204)</f>
        <v>13.856894276816806</v>
      </c>
      <c r="M206" s="311">
        <f t="shared" si="97"/>
        <v>22.088188182195601</v>
      </c>
      <c r="N206" s="311">
        <f t="shared" si="97"/>
        <v>1.4989175409875415</v>
      </c>
      <c r="O206" s="311">
        <f t="shared" si="97"/>
        <v>37.443999999999946</v>
      </c>
    </row>
    <row r="207" spans="1:15" s="236" customFormat="1" x14ac:dyDescent="0.2">
      <c r="A207" s="237"/>
      <c r="B207" s="237"/>
      <c r="C207" s="237"/>
      <c r="D207" s="237"/>
      <c r="E207" s="237"/>
      <c r="F207" s="237"/>
      <c r="G207" s="237"/>
      <c r="H207" s="237"/>
      <c r="I207" s="237"/>
      <c r="J207" s="237"/>
      <c r="K207" s="237"/>
      <c r="L207" s="237"/>
      <c r="M207" s="237"/>
      <c r="N207" s="240"/>
    </row>
    <row r="208" spans="1:15" s="236" customFormat="1" x14ac:dyDescent="0.2">
      <c r="A208" s="237"/>
      <c r="B208" s="237"/>
      <c r="C208" s="237"/>
      <c r="D208" s="237"/>
      <c r="E208" s="237"/>
      <c r="F208" s="237"/>
      <c r="G208" s="237"/>
      <c r="H208" s="237"/>
      <c r="I208" s="237"/>
      <c r="J208" s="237"/>
      <c r="K208" s="237"/>
      <c r="L208" s="237"/>
      <c r="M208" s="237"/>
      <c r="N208" s="240"/>
      <c r="O208" s="251" t="s">
        <v>36</v>
      </c>
    </row>
    <row r="209" spans="1:15" s="236" customFormat="1" x14ac:dyDescent="0.2">
      <c r="A209" s="242"/>
      <c r="B209" s="242"/>
      <c r="C209" s="242"/>
      <c r="D209" s="242"/>
      <c r="E209" s="242"/>
      <c r="F209" s="242"/>
      <c r="G209" s="242"/>
      <c r="H209" s="242"/>
      <c r="I209" s="242"/>
      <c r="J209" s="242"/>
      <c r="K209" s="242"/>
      <c r="L209" s="242"/>
      <c r="M209" s="242"/>
      <c r="N209" s="242"/>
      <c r="O209" s="242"/>
    </row>
    <row r="210" spans="1:15" s="236" customFormat="1" x14ac:dyDescent="0.2">
      <c r="A210" s="241" t="str">
        <f>name!B15</f>
        <v>Media</v>
      </c>
      <c r="B210" s="377">
        <f>$B$6</f>
        <v>2015</v>
      </c>
      <c r="C210" s="377"/>
      <c r="D210" s="377"/>
      <c r="E210" s="377"/>
      <c r="F210" s="263"/>
      <c r="G210" s="377">
        <f>$G$6</f>
        <v>2020</v>
      </c>
      <c r="H210" s="377"/>
      <c r="I210" s="377"/>
      <c r="J210" s="377"/>
      <c r="K210" s="263"/>
      <c r="L210" s="377">
        <f>$L$6</f>
        <v>2035</v>
      </c>
      <c r="M210" s="377"/>
      <c r="N210" s="377"/>
      <c r="O210" s="377"/>
    </row>
    <row r="211" spans="1:15" s="236" customFormat="1" x14ac:dyDescent="0.2">
      <c r="A211" s="254"/>
      <c r="B211" s="268" t="str">
        <f>$B$7</f>
        <v>FT</v>
      </c>
      <c r="C211" s="268" t="str">
        <f>$C$7</f>
        <v>PT</v>
      </c>
      <c r="D211" s="268" t="str">
        <f>$D$7</f>
        <v>SE</v>
      </c>
      <c r="E211" s="268" t="str">
        <f>$E$7</f>
        <v>Total</v>
      </c>
      <c r="F211" s="268"/>
      <c r="G211" s="268" t="str">
        <f>$G$7</f>
        <v>FT</v>
      </c>
      <c r="H211" s="268" t="str">
        <f>$H$7</f>
        <v>PT</v>
      </c>
      <c r="I211" s="268" t="str">
        <f>$I$7</f>
        <v>SE</v>
      </c>
      <c r="J211" s="268" t="str">
        <f>$J$7</f>
        <v>Total</v>
      </c>
      <c r="K211" s="268"/>
      <c r="L211" s="268" t="str">
        <f>$L$7</f>
        <v>FT</v>
      </c>
      <c r="M211" s="268" t="str">
        <f>$M$7</f>
        <v>PT</v>
      </c>
      <c r="N211" s="268" t="str">
        <f>$N$7</f>
        <v>SE</v>
      </c>
      <c r="O211" s="268" t="str">
        <f>$O$7</f>
        <v>Total</v>
      </c>
    </row>
    <row r="212" spans="1:15" s="236" customFormat="1" x14ac:dyDescent="0.2">
      <c r="A212" s="258"/>
      <c r="B212" s="239"/>
      <c r="C212" s="239"/>
      <c r="D212" s="239"/>
      <c r="E212" s="239"/>
      <c r="F212" s="239"/>
      <c r="G212" s="239"/>
      <c r="H212" s="239"/>
      <c r="I212" s="239"/>
      <c r="J212" s="239"/>
      <c r="K212" s="239"/>
      <c r="L212" s="239"/>
      <c r="M212" s="239"/>
      <c r="N212" s="239"/>
      <c r="O212" s="239"/>
    </row>
    <row r="213" spans="1:15" s="236" customFormat="1" x14ac:dyDescent="0.2">
      <c r="A213" s="237" t="str">
        <f>name!E$4</f>
        <v>Managers, directors and senior officials</v>
      </c>
      <c r="B213" s="302">
        <v>0.12434643020384768</v>
      </c>
      <c r="C213" s="302">
        <v>2.366249092146426E-2</v>
      </c>
      <c r="D213" s="302">
        <v>0.15757867124618541</v>
      </c>
      <c r="E213" s="302">
        <f>SUM(B213:D213)</f>
        <v>0.30558759237149735</v>
      </c>
      <c r="F213" s="303"/>
      <c r="G213" s="302">
        <v>0.15149162381654402</v>
      </c>
      <c r="H213" s="302">
        <v>6.0871242915354937E-2</v>
      </c>
      <c r="I213" s="302">
        <v>8.9381020878953277E-2</v>
      </c>
      <c r="J213" s="302">
        <f>SUM(G213:I213)</f>
        <v>0.30174388761085225</v>
      </c>
      <c r="K213" s="303"/>
      <c r="L213" s="302">
        <v>0.13080186582845307</v>
      </c>
      <c r="M213" s="302">
        <v>7.4721161400284231E-2</v>
      </c>
      <c r="N213" s="302">
        <v>9.6148580407379822E-2</v>
      </c>
      <c r="O213" s="302">
        <f>SUM(L213:N213)</f>
        <v>0.30167160763611711</v>
      </c>
    </row>
    <row r="214" spans="1:15" s="236" customFormat="1" x14ac:dyDescent="0.2">
      <c r="A214" s="237" t="str">
        <f>name!E$5</f>
        <v>Professional occupations</v>
      </c>
      <c r="B214" s="302">
        <v>0.18696811854570056</v>
      </c>
      <c r="C214" s="302">
        <v>3.013762523262023E-2</v>
      </c>
      <c r="D214" s="302">
        <v>0.20096330113707073</v>
      </c>
      <c r="E214" s="302">
        <f t="shared" ref="E214:E221" si="98">SUM(B214:D214)</f>
        <v>0.41806904491539154</v>
      </c>
      <c r="F214" s="303"/>
      <c r="G214" s="302">
        <v>0.25543688420144239</v>
      </c>
      <c r="H214" s="302">
        <v>9.0828379814168789E-2</v>
      </c>
      <c r="I214" s="302">
        <v>9.9918822468097329E-2</v>
      </c>
      <c r="J214" s="302">
        <f t="shared" ref="J214:J216" si="99">SUM(G214:I214)</f>
        <v>0.44618408648370855</v>
      </c>
      <c r="K214" s="303"/>
      <c r="L214" s="302">
        <v>0.30126770646788875</v>
      </c>
      <c r="M214" s="302">
        <v>0.13769080819295754</v>
      </c>
      <c r="N214" s="302">
        <v>8.872549215327788E-2</v>
      </c>
      <c r="O214" s="302">
        <f t="shared" ref="O214:O221" si="100">SUM(L214:N214)</f>
        <v>0.5276840068141242</v>
      </c>
    </row>
    <row r="215" spans="1:15" s="236" customFormat="1" x14ac:dyDescent="0.2">
      <c r="A215" s="237" t="str">
        <f>name!E$6</f>
        <v>Associate professional occupations</v>
      </c>
      <c r="B215" s="302">
        <v>0.12018435129119436</v>
      </c>
      <c r="C215" s="302">
        <v>4.0900523263794369E-2</v>
      </c>
      <c r="D215" s="302">
        <v>0.28935571150752021</v>
      </c>
      <c r="E215" s="302">
        <f t="shared" si="98"/>
        <v>0.45044058606250892</v>
      </c>
      <c r="F215" s="303"/>
      <c r="G215" s="302">
        <v>0.14222738041625024</v>
      </c>
      <c r="H215" s="302">
        <v>9.6964645128146967E-2</v>
      </c>
      <c r="I215" s="302">
        <v>0.20482914250894438</v>
      </c>
      <c r="J215" s="302">
        <f t="shared" si="99"/>
        <v>0.44402116805334158</v>
      </c>
      <c r="K215" s="303"/>
      <c r="L215" s="302">
        <v>0.1300465682531281</v>
      </c>
      <c r="M215" s="302">
        <v>9.4551848335015856E-2</v>
      </c>
      <c r="N215" s="302">
        <v>0.19267136575867017</v>
      </c>
      <c r="O215" s="302">
        <f t="shared" si="100"/>
        <v>0.41726978234681411</v>
      </c>
    </row>
    <row r="216" spans="1:15" s="236" customFormat="1" x14ac:dyDescent="0.2">
      <c r="A216" s="237" t="str">
        <f>name!E$7</f>
        <v>Administrative and secretarial occupations</v>
      </c>
      <c r="B216" s="302">
        <v>0.10698962769744016</v>
      </c>
      <c r="C216" s="302">
        <v>9.26524521969989E-2</v>
      </c>
      <c r="D216" s="302">
        <v>3.2603114683865703E-2</v>
      </c>
      <c r="E216" s="302">
        <f t="shared" si="98"/>
        <v>0.23224519457830475</v>
      </c>
      <c r="F216" s="303"/>
      <c r="G216" s="302">
        <v>8.6536734782026337E-2</v>
      </c>
      <c r="H216" s="302">
        <v>0.20750560737401844</v>
      </c>
      <c r="I216" s="302">
        <v>2.3815625814372111E-2</v>
      </c>
      <c r="J216" s="302">
        <f t="shared" si="99"/>
        <v>0.31785796797041688</v>
      </c>
      <c r="K216" s="303"/>
      <c r="L216" s="302">
        <v>8.2863311477814006E-2</v>
      </c>
      <c r="M216" s="302">
        <v>0.20767770408958328</v>
      </c>
      <c r="N216" s="302">
        <v>2.1019052223123221E-2</v>
      </c>
      <c r="O216" s="302">
        <f t="shared" si="100"/>
        <v>0.31156006779052053</v>
      </c>
    </row>
    <row r="217" spans="1:15" s="236" customFormat="1" x14ac:dyDescent="0.2">
      <c r="A217" s="237" t="str">
        <f>name!E$8</f>
        <v>Skilled trades occupations</v>
      </c>
      <c r="B217" s="302">
        <v>5.9370361384151693E-2</v>
      </c>
      <c r="C217" s="302">
        <v>1.9575746992347865E-2</v>
      </c>
      <c r="D217" s="302">
        <v>0.10535780949920795</v>
      </c>
      <c r="E217" s="302">
        <f t="shared" si="98"/>
        <v>0.18430391787570749</v>
      </c>
      <c r="F217" s="303"/>
      <c r="G217" s="302">
        <v>5.3392143125959822E-2</v>
      </c>
      <c r="H217" s="302">
        <v>2.6801786242228856E-2</v>
      </c>
      <c r="I217" s="302">
        <v>4.9649453926856907E-2</v>
      </c>
      <c r="J217" s="302">
        <f>SUM(G217:I217)</f>
        <v>0.12984338329504558</v>
      </c>
      <c r="K217" s="303"/>
      <c r="L217" s="302">
        <v>2.9372548792812592E-2</v>
      </c>
      <c r="M217" s="302">
        <v>4.1317736134041806E-2</v>
      </c>
      <c r="N217" s="302">
        <v>5.5021011518097455E-2</v>
      </c>
      <c r="O217" s="302">
        <f t="shared" si="100"/>
        <v>0.12571129644495185</v>
      </c>
    </row>
    <row r="218" spans="1:15" s="236" customFormat="1" x14ac:dyDescent="0.2">
      <c r="A218" s="237" t="str">
        <f>name!E$9</f>
        <v>Caring, leisure and other service occupations</v>
      </c>
      <c r="B218" s="302">
        <v>3.6083376420133914E-2</v>
      </c>
      <c r="C218" s="302">
        <v>3.7776182981530522E-2</v>
      </c>
      <c r="D218" s="302">
        <v>1.8906266925239799E-2</v>
      </c>
      <c r="E218" s="302">
        <f t="shared" si="98"/>
        <v>9.2765826326904249E-2</v>
      </c>
      <c r="F218" s="303"/>
      <c r="G218" s="302">
        <v>1.9056225031057854E-2</v>
      </c>
      <c r="H218" s="302">
        <v>8.9651576872084471E-2</v>
      </c>
      <c r="I218" s="302">
        <v>1.6926133750816166E-2</v>
      </c>
      <c r="J218" s="302">
        <f t="shared" ref="J218:J221" si="101">SUM(G218:I218)</f>
        <v>0.1256339356539585</v>
      </c>
      <c r="K218" s="303"/>
      <c r="L218" s="302">
        <v>1.924087983487268E-2</v>
      </c>
      <c r="M218" s="302">
        <v>8.3143403712959627E-2</v>
      </c>
      <c r="N218" s="302">
        <v>1.6917940354877217E-2</v>
      </c>
      <c r="O218" s="302">
        <f t="shared" si="100"/>
        <v>0.11930222390270952</v>
      </c>
    </row>
    <row r="219" spans="1:15" s="236" customFormat="1" x14ac:dyDescent="0.2">
      <c r="A219" s="237" t="str">
        <f>name!E$10</f>
        <v>Sales and customer service occupations</v>
      </c>
      <c r="B219" s="302">
        <v>4.6889205996232822E-2</v>
      </c>
      <c r="C219" s="302">
        <v>3.0726247219346716E-2</v>
      </c>
      <c r="D219" s="302">
        <v>3.3266711997617389E-2</v>
      </c>
      <c r="E219" s="302">
        <f t="shared" si="98"/>
        <v>0.11088216521319694</v>
      </c>
      <c r="F219" s="303"/>
      <c r="G219" s="302">
        <v>4.1324417630392872E-2</v>
      </c>
      <c r="H219" s="302">
        <v>6.0699290609598659E-2</v>
      </c>
      <c r="I219" s="302">
        <v>1.5223979733456992E-2</v>
      </c>
      <c r="J219" s="302">
        <f t="shared" si="101"/>
        <v>0.11724768797344852</v>
      </c>
      <c r="K219" s="303"/>
      <c r="L219" s="302">
        <v>4.2440798174941674E-2</v>
      </c>
      <c r="M219" s="302">
        <v>6.0530043530406072E-2</v>
      </c>
      <c r="N219" s="302">
        <v>1.380773610787274E-2</v>
      </c>
      <c r="O219" s="302">
        <f t="shared" si="100"/>
        <v>0.11677857781322049</v>
      </c>
    </row>
    <row r="220" spans="1:15" s="236" customFormat="1" x14ac:dyDescent="0.2">
      <c r="A220" s="237" t="str">
        <f>name!E$11</f>
        <v>Process, plant and machine operatives</v>
      </c>
      <c r="B220" s="302">
        <v>2.6389163553597619E-2</v>
      </c>
      <c r="C220" s="302">
        <v>1.7971022307262302E-2</v>
      </c>
      <c r="D220" s="302">
        <v>1.9028341816863616E-2</v>
      </c>
      <c r="E220" s="302">
        <f t="shared" si="98"/>
        <v>6.3388527677723544E-2</v>
      </c>
      <c r="F220" s="303"/>
      <c r="G220" s="302">
        <v>2.4633317393691203E-2</v>
      </c>
      <c r="H220" s="302">
        <v>2.6265322584448299E-2</v>
      </c>
      <c r="I220" s="302">
        <v>1.0373237694531898E-2</v>
      </c>
      <c r="J220" s="302">
        <f t="shared" si="101"/>
        <v>6.12718776726714E-2</v>
      </c>
      <c r="K220" s="303"/>
      <c r="L220" s="302">
        <v>2.0869886962579309E-2</v>
      </c>
      <c r="M220" s="302">
        <v>2.7016521935115102E-2</v>
      </c>
      <c r="N220" s="302">
        <v>6.9582069815607587E-3</v>
      </c>
      <c r="O220" s="302">
        <f t="shared" si="100"/>
        <v>5.4844615879255168E-2</v>
      </c>
    </row>
    <row r="221" spans="1:15" s="236" customFormat="1" x14ac:dyDescent="0.2">
      <c r="A221" s="237" t="str">
        <f>name!E$12</f>
        <v>Elementary occupations</v>
      </c>
      <c r="B221" s="302">
        <v>8.5636195498970447E-2</v>
      </c>
      <c r="C221" s="302">
        <v>0.12014087828309594</v>
      </c>
      <c r="D221" s="302">
        <v>2.4540071196700052E-2</v>
      </c>
      <c r="E221" s="302">
        <f t="shared" si="98"/>
        <v>0.23031714497876643</v>
      </c>
      <c r="F221" s="303"/>
      <c r="G221" s="302">
        <v>6.3374884708977786E-2</v>
      </c>
      <c r="H221" s="302">
        <v>0.18425728736018984</v>
      </c>
      <c r="I221" s="302">
        <v>1.0563833217391847E-2</v>
      </c>
      <c r="J221" s="302">
        <f t="shared" si="101"/>
        <v>0.25819600528655945</v>
      </c>
      <c r="K221" s="303"/>
      <c r="L221" s="302">
        <v>6.5819493297452972E-2</v>
      </c>
      <c r="M221" s="302">
        <v>0.15049619561072725</v>
      </c>
      <c r="N221" s="302">
        <v>1.3862132464107941E-2</v>
      </c>
      <c r="O221" s="302">
        <f t="shared" si="100"/>
        <v>0.23017782137228815</v>
      </c>
    </row>
    <row r="222" spans="1:15" s="236" customFormat="1" x14ac:dyDescent="0.2">
      <c r="A222" s="237"/>
      <c r="B222" s="302"/>
      <c r="C222" s="302"/>
      <c r="D222" s="302"/>
      <c r="E222" s="302"/>
      <c r="F222" s="303"/>
      <c r="G222" s="302"/>
      <c r="H222" s="302"/>
      <c r="I222" s="302"/>
      <c r="J222" s="302"/>
      <c r="K222" s="303"/>
      <c r="L222" s="302"/>
      <c r="M222" s="302"/>
      <c r="N222" s="302"/>
      <c r="O222" s="302"/>
    </row>
    <row r="223" spans="1:15" s="236" customFormat="1" x14ac:dyDescent="0.2">
      <c r="A223" s="244" t="s">
        <v>33</v>
      </c>
      <c r="B223" s="311">
        <f>SUM(B213:B221)</f>
        <v>0.79285683059126932</v>
      </c>
      <c r="C223" s="311">
        <f t="shared" ref="C223:E223" si="102">SUM(C213:C221)</f>
        <v>0.41354316939846114</v>
      </c>
      <c r="D223" s="311">
        <f t="shared" si="102"/>
        <v>0.88160000001027095</v>
      </c>
      <c r="E223" s="311">
        <f t="shared" si="102"/>
        <v>2.088000000000001</v>
      </c>
      <c r="F223" s="311"/>
      <c r="G223" s="311">
        <f t="shared" ref="G223:J223" si="103">SUM(G213:G221)</f>
        <v>0.83747361110634255</v>
      </c>
      <c r="H223" s="311">
        <f t="shared" si="103"/>
        <v>0.84384513890023927</v>
      </c>
      <c r="I223" s="311">
        <f t="shared" si="103"/>
        <v>0.52068124999342091</v>
      </c>
      <c r="J223" s="311">
        <f t="shared" si="103"/>
        <v>2.2020000000000026</v>
      </c>
      <c r="K223" s="311"/>
      <c r="L223" s="311">
        <f t="shared" ref="L223:O223" si="104">SUM(L213:L221)</f>
        <v>0.82272305908994314</v>
      </c>
      <c r="M223" s="311">
        <f t="shared" si="104"/>
        <v>0.87714542294109055</v>
      </c>
      <c r="N223" s="311">
        <f t="shared" si="104"/>
        <v>0.50513151796896716</v>
      </c>
      <c r="O223" s="311">
        <f t="shared" si="104"/>
        <v>2.2050000000000014</v>
      </c>
    </row>
    <row r="224" spans="1:15" s="236" customFormat="1" x14ac:dyDescent="0.2">
      <c r="A224" s="237"/>
      <c r="B224" s="237"/>
      <c r="C224" s="237"/>
      <c r="D224" s="237"/>
      <c r="E224" s="237"/>
      <c r="F224" s="237"/>
      <c r="G224" s="237"/>
      <c r="H224" s="237"/>
      <c r="I224" s="237"/>
      <c r="J224" s="237"/>
      <c r="K224" s="237"/>
      <c r="L224" s="237"/>
      <c r="M224" s="237"/>
      <c r="N224" s="240"/>
    </row>
    <row r="225" spans="1:15" s="236" customFormat="1" x14ac:dyDescent="0.2">
      <c r="A225" s="237"/>
      <c r="B225" s="237"/>
      <c r="C225" s="237"/>
      <c r="D225" s="237"/>
      <c r="E225" s="237"/>
      <c r="F225" s="237"/>
      <c r="G225" s="237"/>
      <c r="H225" s="237"/>
      <c r="I225" s="237"/>
      <c r="J225" s="237"/>
      <c r="K225" s="237"/>
      <c r="L225" s="237"/>
      <c r="M225" s="237"/>
      <c r="N225" s="240"/>
      <c r="O225" s="251" t="s">
        <v>36</v>
      </c>
    </row>
    <row r="226" spans="1:15" s="236" customFormat="1" x14ac:dyDescent="0.2">
      <c r="A226" s="242"/>
      <c r="B226" s="242"/>
      <c r="C226" s="242"/>
      <c r="D226" s="242"/>
      <c r="E226" s="242"/>
      <c r="F226" s="242"/>
      <c r="G226" s="242"/>
      <c r="H226" s="242"/>
      <c r="I226" s="242"/>
      <c r="J226" s="242"/>
      <c r="K226" s="242"/>
      <c r="L226" s="242"/>
      <c r="M226" s="242"/>
      <c r="N226" s="242"/>
      <c r="O226" s="242"/>
    </row>
    <row r="227" spans="1:15" s="236" customFormat="1" x14ac:dyDescent="0.2">
      <c r="A227" s="241" t="str">
        <f>name!B16</f>
        <v>Information technology</v>
      </c>
      <c r="B227" s="377">
        <f>$B$6</f>
        <v>2015</v>
      </c>
      <c r="C227" s="377"/>
      <c r="D227" s="377"/>
      <c r="E227" s="377"/>
      <c r="F227" s="263"/>
      <c r="G227" s="377">
        <f>$G$6</f>
        <v>2020</v>
      </c>
      <c r="H227" s="377"/>
      <c r="I227" s="377"/>
      <c r="J227" s="377"/>
      <c r="K227" s="263"/>
      <c r="L227" s="377">
        <f>$L$6</f>
        <v>2035</v>
      </c>
      <c r="M227" s="377"/>
      <c r="N227" s="377"/>
      <c r="O227" s="377"/>
    </row>
    <row r="228" spans="1:15" s="236" customFormat="1" x14ac:dyDescent="0.2">
      <c r="A228" s="254"/>
      <c r="B228" s="268" t="str">
        <f>$B$7</f>
        <v>FT</v>
      </c>
      <c r="C228" s="268" t="str">
        <f>$C$7</f>
        <v>PT</v>
      </c>
      <c r="D228" s="268" t="str">
        <f>$D$7</f>
        <v>SE</v>
      </c>
      <c r="E228" s="268" t="str">
        <f>$E$7</f>
        <v>Total</v>
      </c>
      <c r="F228" s="268"/>
      <c r="G228" s="268" t="str">
        <f>$G$7</f>
        <v>FT</v>
      </c>
      <c r="H228" s="268" t="str">
        <f>$H$7</f>
        <v>PT</v>
      </c>
      <c r="I228" s="268" t="str">
        <f>$I$7</f>
        <v>SE</v>
      </c>
      <c r="J228" s="268" t="str">
        <f>$J$7</f>
        <v>Total</v>
      </c>
      <c r="K228" s="268"/>
      <c r="L228" s="268" t="str">
        <f>$L$7</f>
        <v>FT</v>
      </c>
      <c r="M228" s="268" t="str">
        <f>$M$7</f>
        <v>PT</v>
      </c>
      <c r="N228" s="268" t="str">
        <f>$N$7</f>
        <v>SE</v>
      </c>
      <c r="O228" s="268" t="str">
        <f>$O$7</f>
        <v>Total</v>
      </c>
    </row>
    <row r="229" spans="1:15" s="236" customFormat="1" x14ac:dyDescent="0.2">
      <c r="A229" s="258"/>
      <c r="B229" s="239"/>
      <c r="C229" s="239"/>
      <c r="D229" s="239"/>
      <c r="E229" s="239"/>
      <c r="F229" s="239"/>
      <c r="G229" s="239"/>
      <c r="H229" s="239"/>
      <c r="I229" s="239"/>
      <c r="J229" s="239"/>
      <c r="K229" s="239"/>
      <c r="L229" s="239"/>
      <c r="M229" s="239"/>
      <c r="N229" s="239"/>
      <c r="O229" s="239"/>
    </row>
    <row r="230" spans="1:15" s="236" customFormat="1" x14ac:dyDescent="0.2">
      <c r="A230" s="237" t="str">
        <f>name!E$4</f>
        <v>Managers, directors and senior officials</v>
      </c>
      <c r="B230" s="302">
        <v>0.69276049036652854</v>
      </c>
      <c r="C230" s="302">
        <v>6.0780259841788732E-2</v>
      </c>
      <c r="D230" s="302">
        <v>9.4391177081600122E-2</v>
      </c>
      <c r="E230" s="302">
        <f>SUM(B230:D230)</f>
        <v>0.8479319272899174</v>
      </c>
      <c r="F230" s="303"/>
      <c r="G230" s="302">
        <v>0.74724069532476023</v>
      </c>
      <c r="H230" s="302">
        <v>0.10117540130558673</v>
      </c>
      <c r="I230" s="302">
        <v>4.3480759774289189E-2</v>
      </c>
      <c r="J230" s="302">
        <f>SUM(G230:I230)</f>
        <v>0.89189685640463623</v>
      </c>
      <c r="K230" s="303"/>
      <c r="L230" s="302">
        <v>0.71879128517692781</v>
      </c>
      <c r="M230" s="302">
        <v>0.11869900270583046</v>
      </c>
      <c r="N230" s="302">
        <v>5.0276814167127572E-2</v>
      </c>
      <c r="O230" s="302">
        <f>SUM(L230:N230)</f>
        <v>0.88776710204988585</v>
      </c>
    </row>
    <row r="231" spans="1:15" s="236" customFormat="1" x14ac:dyDescent="0.2">
      <c r="A231" s="237" t="str">
        <f>name!E$5</f>
        <v>Professional occupations</v>
      </c>
      <c r="B231" s="302">
        <v>1.9889964649819516</v>
      </c>
      <c r="C231" s="302">
        <v>7.2322350992761186E-2</v>
      </c>
      <c r="D231" s="302">
        <v>0.22551608568167827</v>
      </c>
      <c r="E231" s="302">
        <f t="shared" ref="E231:E238" si="105">SUM(B231:D231)</f>
        <v>2.2868349016563911</v>
      </c>
      <c r="F231" s="303"/>
      <c r="G231" s="302">
        <v>2.3999580162592906</v>
      </c>
      <c r="H231" s="302">
        <v>0.11833639402935758</v>
      </c>
      <c r="I231" s="302">
        <v>9.3512446086121775E-2</v>
      </c>
      <c r="J231" s="302">
        <f t="shared" ref="J231:J233" si="106">SUM(G231:I231)</f>
        <v>2.6118068563747703</v>
      </c>
      <c r="K231" s="303"/>
      <c r="L231" s="302">
        <v>3.2017675154953746</v>
      </c>
      <c r="M231" s="302">
        <v>0.16437398138984441</v>
      </c>
      <c r="N231" s="302">
        <v>0.10382121383391371</v>
      </c>
      <c r="O231" s="302">
        <f t="shared" ref="O231:O238" si="107">SUM(L231:N231)</f>
        <v>3.4699627107191326</v>
      </c>
    </row>
    <row r="232" spans="1:15" s="236" customFormat="1" x14ac:dyDescent="0.2">
      <c r="A232" s="237" t="str">
        <f>name!E$6</f>
        <v>Associate professional occupations</v>
      </c>
      <c r="B232" s="302">
        <v>0.66154228096611045</v>
      </c>
      <c r="C232" s="302">
        <v>6.3205420446494992E-2</v>
      </c>
      <c r="D232" s="302">
        <v>0.11271006306826423</v>
      </c>
      <c r="E232" s="302">
        <f t="shared" si="105"/>
        <v>0.83745776448086973</v>
      </c>
      <c r="F232" s="303"/>
      <c r="G232" s="302">
        <v>0.71595284041267659</v>
      </c>
      <c r="H232" s="302">
        <v>8.1547793654535405E-2</v>
      </c>
      <c r="I232" s="302">
        <v>5.4657212891494333E-2</v>
      </c>
      <c r="J232" s="302">
        <f t="shared" si="106"/>
        <v>0.85215784695870633</v>
      </c>
      <c r="K232" s="303"/>
      <c r="L232" s="302">
        <v>0.72054817583802011</v>
      </c>
      <c r="M232" s="302">
        <v>8.2714238196952436E-2</v>
      </c>
      <c r="N232" s="302">
        <v>5.9369023037056379E-2</v>
      </c>
      <c r="O232" s="302">
        <f t="shared" si="107"/>
        <v>0.86263143707202894</v>
      </c>
    </row>
    <row r="233" spans="1:15" s="236" customFormat="1" x14ac:dyDescent="0.2">
      <c r="A233" s="237" t="str">
        <f>name!E$7</f>
        <v>Administrative and secretarial occupations</v>
      </c>
      <c r="B233" s="302">
        <v>0.26159503375752979</v>
      </c>
      <c r="C233" s="302">
        <v>0.12901871742919815</v>
      </c>
      <c r="D233" s="302">
        <v>2.0442774663602857E-2</v>
      </c>
      <c r="E233" s="302">
        <f t="shared" si="105"/>
        <v>0.41105652585033076</v>
      </c>
      <c r="F233" s="303"/>
      <c r="G233" s="302">
        <v>0.21003568714830073</v>
      </c>
      <c r="H233" s="302">
        <v>0.1411709387642319</v>
      </c>
      <c r="I233" s="302">
        <v>9.7160429002461531E-3</v>
      </c>
      <c r="J233" s="302">
        <f t="shared" si="106"/>
        <v>0.36092266881277874</v>
      </c>
      <c r="K233" s="303"/>
      <c r="L233" s="302">
        <v>0.20527196922596957</v>
      </c>
      <c r="M233" s="302">
        <v>0.12890027317372296</v>
      </c>
      <c r="N233" s="302">
        <v>5.5871487063366039E-3</v>
      </c>
      <c r="O233" s="302">
        <f t="shared" si="107"/>
        <v>0.33975939110602915</v>
      </c>
    </row>
    <row r="234" spans="1:15" s="236" customFormat="1" x14ac:dyDescent="0.2">
      <c r="A234" s="237" t="str">
        <f>name!E$8</f>
        <v>Skilled trades occupations</v>
      </c>
      <c r="B234" s="302">
        <v>0.26982265184887028</v>
      </c>
      <c r="C234" s="302">
        <v>2.4790317347932429E-2</v>
      </c>
      <c r="D234" s="302">
        <v>8.3010604014217684E-2</v>
      </c>
      <c r="E234" s="302">
        <f t="shared" si="105"/>
        <v>0.37762357321102036</v>
      </c>
      <c r="F234" s="303"/>
      <c r="G234" s="302">
        <v>0.23559478775620946</v>
      </c>
      <c r="H234" s="302">
        <v>1.8038820458819684E-2</v>
      </c>
      <c r="I234" s="302">
        <v>2.6620672013459568E-2</v>
      </c>
      <c r="J234" s="302">
        <f>SUM(G234:I234)</f>
        <v>0.28025428022848869</v>
      </c>
      <c r="K234" s="303"/>
      <c r="L234" s="302">
        <v>0.16695349842129653</v>
      </c>
      <c r="M234" s="302">
        <v>2.6654728639640399E-2</v>
      </c>
      <c r="N234" s="302">
        <v>4.6031238269750488E-2</v>
      </c>
      <c r="O234" s="302">
        <f t="shared" si="107"/>
        <v>0.23963946533068742</v>
      </c>
    </row>
    <row r="235" spans="1:15" s="236" customFormat="1" x14ac:dyDescent="0.2">
      <c r="A235" s="237" t="str">
        <f>name!E$9</f>
        <v>Caring, leisure and other service occupations</v>
      </c>
      <c r="B235" s="302">
        <v>0.10523322381199199</v>
      </c>
      <c r="C235" s="302">
        <v>2.297615223218501E-2</v>
      </c>
      <c r="D235" s="302">
        <v>1.3117609731254398E-2</v>
      </c>
      <c r="E235" s="302">
        <f t="shared" si="105"/>
        <v>0.1413269857754314</v>
      </c>
      <c r="F235" s="303"/>
      <c r="G235" s="302">
        <v>9.2526666792377088E-2</v>
      </c>
      <c r="H235" s="302">
        <v>2.555634809998272E-2</v>
      </c>
      <c r="I235" s="302">
        <v>7.9675691446249811E-3</v>
      </c>
      <c r="J235" s="302">
        <f t="shared" ref="J235:J238" si="108">SUM(G235:I235)</f>
        <v>0.1260505840369848</v>
      </c>
      <c r="K235" s="303"/>
      <c r="L235" s="302">
        <v>0.12415499103917639</v>
      </c>
      <c r="M235" s="302">
        <v>2.8698406911696835E-2</v>
      </c>
      <c r="N235" s="302">
        <v>1.2200738783670579E-2</v>
      </c>
      <c r="O235" s="302">
        <f t="shared" si="107"/>
        <v>0.1650541367345438</v>
      </c>
    </row>
    <row r="236" spans="1:15" s="236" customFormat="1" x14ac:dyDescent="0.2">
      <c r="A236" s="237" t="str">
        <f>name!E$10</f>
        <v>Sales and customer service occupations</v>
      </c>
      <c r="B236" s="302">
        <v>0.14114482027698064</v>
      </c>
      <c r="C236" s="302">
        <v>0.10902227278360774</v>
      </c>
      <c r="D236" s="302">
        <v>1.2584829100837205E-2</v>
      </c>
      <c r="E236" s="302">
        <f t="shared" si="105"/>
        <v>0.26275192216142557</v>
      </c>
      <c r="F236" s="303"/>
      <c r="G236" s="302">
        <v>0.11799921393646615</v>
      </c>
      <c r="H236" s="302">
        <v>7.2600327082462279E-2</v>
      </c>
      <c r="I236" s="302">
        <v>4.2044235341900703E-3</v>
      </c>
      <c r="J236" s="302">
        <f t="shared" si="108"/>
        <v>0.19480396455311849</v>
      </c>
      <c r="K236" s="303"/>
      <c r="L236" s="302">
        <v>0.14059760286230261</v>
      </c>
      <c r="M236" s="302">
        <v>8.3985663764117091E-2</v>
      </c>
      <c r="N236" s="302">
        <v>4.6106014074621376E-3</v>
      </c>
      <c r="O236" s="302">
        <f t="shared" si="107"/>
        <v>0.22919386803388184</v>
      </c>
    </row>
    <row r="237" spans="1:15" s="236" customFormat="1" x14ac:dyDescent="0.2">
      <c r="A237" s="237" t="str">
        <f>name!E$11</f>
        <v>Process, plant and machine operatives</v>
      </c>
      <c r="B237" s="302">
        <v>2.8052954896366281E-2</v>
      </c>
      <c r="C237" s="302">
        <v>1.9245695573327084E-2</v>
      </c>
      <c r="D237" s="302">
        <v>2.0777006175351928E-2</v>
      </c>
      <c r="E237" s="302">
        <f t="shared" si="105"/>
        <v>6.8075656645045293E-2</v>
      </c>
      <c r="F237" s="303"/>
      <c r="G237" s="302">
        <v>2.0968446633019854E-2</v>
      </c>
      <c r="H237" s="302">
        <v>2.0325816163279314E-2</v>
      </c>
      <c r="I237" s="302">
        <v>8.7492292891302951E-3</v>
      </c>
      <c r="J237" s="302">
        <f t="shared" si="108"/>
        <v>5.0043492085429457E-2</v>
      </c>
      <c r="K237" s="303"/>
      <c r="L237" s="302">
        <v>1.8709261375811199E-2</v>
      </c>
      <c r="M237" s="302">
        <v>2.4393935744189639E-2</v>
      </c>
      <c r="N237" s="302">
        <v>1.3219233593875505E-2</v>
      </c>
      <c r="O237" s="302">
        <f t="shared" si="107"/>
        <v>5.632243071387634E-2</v>
      </c>
    </row>
    <row r="238" spans="1:15" s="236" customFormat="1" x14ac:dyDescent="0.2">
      <c r="A238" s="237" t="str">
        <f>name!E$12</f>
        <v>Elementary occupations</v>
      </c>
      <c r="B238" s="302">
        <v>6.8783761902947979E-2</v>
      </c>
      <c r="C238" s="302">
        <v>3.9818207072071933E-2</v>
      </c>
      <c r="D238" s="302">
        <v>2.4338773954562257E-2</v>
      </c>
      <c r="E238" s="302">
        <f t="shared" si="105"/>
        <v>0.13294074292958219</v>
      </c>
      <c r="F238" s="303"/>
      <c r="G238" s="302">
        <v>5.6127943856275814E-2</v>
      </c>
      <c r="H238" s="302">
        <v>3.5834615348649235E-2</v>
      </c>
      <c r="I238" s="302">
        <v>9.1008913401605645E-3</v>
      </c>
      <c r="J238" s="302">
        <f t="shared" si="108"/>
        <v>0.10106345054508561</v>
      </c>
      <c r="K238" s="303"/>
      <c r="L238" s="302">
        <v>5.9243737771106676E-2</v>
      </c>
      <c r="M238" s="302">
        <v>3.9283532343971507E-2</v>
      </c>
      <c r="N238" s="302">
        <v>1.7142188124850813E-2</v>
      </c>
      <c r="O238" s="302">
        <f t="shared" si="107"/>
        <v>0.115669458239929</v>
      </c>
    </row>
    <row r="239" spans="1:15" s="236" customFormat="1" x14ac:dyDescent="0.2">
      <c r="A239" s="237"/>
      <c r="B239" s="302"/>
      <c r="C239" s="302"/>
      <c r="D239" s="302"/>
      <c r="E239" s="302"/>
      <c r="F239" s="303"/>
      <c r="G239" s="302"/>
      <c r="H239" s="302"/>
      <c r="I239" s="302"/>
      <c r="J239" s="302"/>
      <c r="K239" s="303"/>
      <c r="L239" s="302"/>
      <c r="M239" s="302"/>
      <c r="N239" s="302"/>
      <c r="O239" s="302"/>
    </row>
    <row r="240" spans="1:15" s="236" customFormat="1" x14ac:dyDescent="0.2">
      <c r="A240" s="244" t="s">
        <v>33</v>
      </c>
      <c r="B240" s="311">
        <f>SUM(B230:B238)</f>
        <v>4.2179316828092777</v>
      </c>
      <c r="C240" s="311">
        <f t="shared" ref="C240:E240" si="109">SUM(C230:C238)</f>
        <v>0.5411793937193673</v>
      </c>
      <c r="D240" s="311">
        <f t="shared" si="109"/>
        <v>0.60688892347136913</v>
      </c>
      <c r="E240" s="311">
        <f t="shared" si="109"/>
        <v>5.3660000000000139</v>
      </c>
      <c r="F240" s="311"/>
      <c r="G240" s="311">
        <f t="shared" ref="G240:J240" si="110">SUM(G230:G238)</f>
        <v>4.5964042981193769</v>
      </c>
      <c r="H240" s="311">
        <f t="shared" si="110"/>
        <v>0.61458645490690489</v>
      </c>
      <c r="I240" s="311">
        <f t="shared" si="110"/>
        <v>0.25800924697371697</v>
      </c>
      <c r="J240" s="311">
        <f t="shared" si="110"/>
        <v>5.4689999999999994</v>
      </c>
      <c r="K240" s="311"/>
      <c r="L240" s="311">
        <f t="shared" ref="L240:O240" si="111">SUM(L230:L238)</f>
        <v>5.3560380372059857</v>
      </c>
      <c r="M240" s="311">
        <f t="shared" si="111"/>
        <v>0.69770376286996572</v>
      </c>
      <c r="N240" s="311">
        <f t="shared" si="111"/>
        <v>0.31225819992404374</v>
      </c>
      <c r="O240" s="311">
        <f t="shared" si="111"/>
        <v>6.3659999999999952</v>
      </c>
    </row>
    <row r="241" spans="1:15" s="236" customFormat="1" x14ac:dyDescent="0.2">
      <c r="A241" s="237"/>
      <c r="B241" s="237"/>
      <c r="C241" s="237"/>
      <c r="D241" s="237"/>
      <c r="E241" s="237"/>
      <c r="F241" s="237"/>
      <c r="G241" s="237"/>
      <c r="H241" s="237"/>
      <c r="I241" s="237"/>
      <c r="J241" s="237"/>
      <c r="K241" s="237"/>
      <c r="L241" s="237"/>
      <c r="M241" s="237"/>
      <c r="N241" s="240"/>
    </row>
    <row r="242" spans="1:15" s="236" customFormat="1" x14ac:dyDescent="0.2">
      <c r="A242" s="237"/>
      <c r="B242" s="237"/>
      <c r="C242" s="237"/>
      <c r="D242" s="237"/>
      <c r="E242" s="237"/>
      <c r="F242" s="237"/>
      <c r="G242" s="237"/>
      <c r="H242" s="237"/>
      <c r="I242" s="237"/>
      <c r="J242" s="237"/>
      <c r="K242" s="237"/>
      <c r="L242" s="237"/>
      <c r="M242" s="237"/>
      <c r="N242" s="240"/>
      <c r="O242" s="251" t="s">
        <v>36</v>
      </c>
    </row>
    <row r="243" spans="1:15" s="236" customFormat="1" x14ac:dyDescent="0.2">
      <c r="A243" s="242"/>
      <c r="B243" s="242"/>
      <c r="C243" s="242"/>
      <c r="D243" s="242"/>
      <c r="E243" s="242"/>
      <c r="F243" s="242"/>
      <c r="G243" s="242"/>
      <c r="H243" s="242"/>
      <c r="I243" s="242"/>
      <c r="J243" s="242"/>
      <c r="K243" s="242"/>
      <c r="L243" s="242"/>
      <c r="M243" s="242"/>
      <c r="N243" s="242"/>
      <c r="O243" s="242"/>
    </row>
    <row r="244" spans="1:15" s="236" customFormat="1" x14ac:dyDescent="0.2">
      <c r="A244" s="241" t="str">
        <f>name!B17</f>
        <v>Finance and insurance</v>
      </c>
      <c r="B244" s="377">
        <f>$B$6</f>
        <v>2015</v>
      </c>
      <c r="C244" s="377"/>
      <c r="D244" s="377"/>
      <c r="E244" s="377"/>
      <c r="F244" s="263"/>
      <c r="G244" s="377">
        <f>$G$6</f>
        <v>2020</v>
      </c>
      <c r="H244" s="377"/>
      <c r="I244" s="377"/>
      <c r="J244" s="377"/>
      <c r="K244" s="263"/>
      <c r="L244" s="377">
        <f>$L$6</f>
        <v>2035</v>
      </c>
      <c r="M244" s="377"/>
      <c r="N244" s="377"/>
      <c r="O244" s="377"/>
    </row>
    <row r="245" spans="1:15" s="236" customFormat="1" x14ac:dyDescent="0.2">
      <c r="A245" s="254"/>
      <c r="B245" s="268" t="str">
        <f>$B$7</f>
        <v>FT</v>
      </c>
      <c r="C245" s="268" t="str">
        <f>$C$7</f>
        <v>PT</v>
      </c>
      <c r="D245" s="268" t="str">
        <f>$D$7</f>
        <v>SE</v>
      </c>
      <c r="E245" s="268" t="str">
        <f>$E$7</f>
        <v>Total</v>
      </c>
      <c r="F245" s="268"/>
      <c r="G245" s="268" t="str">
        <f>$G$7</f>
        <v>FT</v>
      </c>
      <c r="H245" s="268" t="str">
        <f>$H$7</f>
        <v>PT</v>
      </c>
      <c r="I245" s="268" t="str">
        <f>$I$7</f>
        <v>SE</v>
      </c>
      <c r="J245" s="268" t="str">
        <f>$J$7</f>
        <v>Total</v>
      </c>
      <c r="K245" s="268"/>
      <c r="L245" s="268" t="str">
        <f>$L$7</f>
        <v>FT</v>
      </c>
      <c r="M245" s="268" t="str">
        <f>$M$7</f>
        <v>PT</v>
      </c>
      <c r="N245" s="268" t="str">
        <f>$N$7</f>
        <v>SE</v>
      </c>
      <c r="O245" s="268" t="str">
        <f>$O$7</f>
        <v>Total</v>
      </c>
    </row>
    <row r="246" spans="1:15" s="236" customFormat="1" x14ac:dyDescent="0.2">
      <c r="A246" s="258"/>
      <c r="B246" s="239"/>
      <c r="C246" s="239"/>
      <c r="D246" s="239"/>
      <c r="E246" s="239"/>
      <c r="F246" s="239"/>
      <c r="G246" s="239"/>
      <c r="H246" s="239"/>
      <c r="I246" s="239"/>
      <c r="J246" s="239"/>
      <c r="K246" s="239"/>
      <c r="L246" s="239"/>
      <c r="M246" s="239"/>
      <c r="N246" s="239"/>
      <c r="O246" s="239"/>
    </row>
    <row r="247" spans="1:15" s="236" customFormat="1" x14ac:dyDescent="0.2">
      <c r="A247" s="237" t="str">
        <f>name!E$4</f>
        <v>Managers, directors and senior officials</v>
      </c>
      <c r="B247" s="302">
        <v>0.82202778549041233</v>
      </c>
      <c r="C247" s="302">
        <v>7.6388077742427604E-2</v>
      </c>
      <c r="D247" s="302">
        <v>0.19092074841577517</v>
      </c>
      <c r="E247" s="302">
        <f>SUM(B247:D247)</f>
        <v>1.0893366116486152</v>
      </c>
      <c r="F247" s="303"/>
      <c r="G247" s="302">
        <v>0.75162220305948002</v>
      </c>
      <c r="H247" s="302">
        <v>8.5075079282705274E-2</v>
      </c>
      <c r="I247" s="302">
        <v>8.8916558400379223E-2</v>
      </c>
      <c r="J247" s="302">
        <f>SUM(G247:I247)</f>
        <v>0.92561384074256459</v>
      </c>
      <c r="K247" s="303"/>
      <c r="L247" s="302">
        <v>0.61202523034129996</v>
      </c>
      <c r="M247" s="302">
        <v>9.7757796926217361E-2</v>
      </c>
      <c r="N247" s="302">
        <v>9.5430657129500815E-2</v>
      </c>
      <c r="O247" s="302">
        <f>SUM(L247:N247)</f>
        <v>0.80521368439701813</v>
      </c>
    </row>
    <row r="248" spans="1:15" s="236" customFormat="1" x14ac:dyDescent="0.2">
      <c r="A248" s="237" t="str">
        <f>name!E$5</f>
        <v>Professional occupations</v>
      </c>
      <c r="B248" s="302">
        <v>0.92806087108138879</v>
      </c>
      <c r="C248" s="302">
        <v>5.72795330340993E-2</v>
      </c>
      <c r="D248" s="302">
        <v>0.20480996069810031</v>
      </c>
      <c r="E248" s="302">
        <f t="shared" ref="E248:E255" si="112">SUM(B248:D248)</f>
        <v>1.1901503648135883</v>
      </c>
      <c r="F248" s="303"/>
      <c r="G248" s="302">
        <v>1.0103845331314554</v>
      </c>
      <c r="H248" s="302">
        <v>5.9959736494601901E-2</v>
      </c>
      <c r="I248" s="302">
        <v>9.4190881421233802E-2</v>
      </c>
      <c r="J248" s="302">
        <f t="shared" ref="J248:J250" si="113">SUM(G248:I248)</f>
        <v>1.164535151047291</v>
      </c>
      <c r="K248" s="303"/>
      <c r="L248" s="302">
        <v>1.1868353849697724</v>
      </c>
      <c r="M248" s="302">
        <v>6.3188823721087375E-2</v>
      </c>
      <c r="N248" s="302">
        <v>8.6631486404918884E-2</v>
      </c>
      <c r="O248" s="302">
        <f t="shared" ref="O248:O255" si="114">SUM(L248:N248)</f>
        <v>1.3366556950957786</v>
      </c>
    </row>
    <row r="249" spans="1:15" s="236" customFormat="1" x14ac:dyDescent="0.2">
      <c r="A249" s="237" t="str">
        <f>name!E$6</f>
        <v>Associate professional occupations</v>
      </c>
      <c r="B249" s="302">
        <v>0.95358242654267611</v>
      </c>
      <c r="C249" s="302">
        <v>0.13020421990945602</v>
      </c>
      <c r="D249" s="302">
        <v>0.26813382433511307</v>
      </c>
      <c r="E249" s="302">
        <f t="shared" si="112"/>
        <v>1.3519204707872452</v>
      </c>
      <c r="F249" s="303"/>
      <c r="G249" s="302">
        <v>0.90053530031679607</v>
      </c>
      <c r="H249" s="302">
        <v>0.10275984895432254</v>
      </c>
      <c r="I249" s="302">
        <v>0.13965732758228597</v>
      </c>
      <c r="J249" s="302">
        <f t="shared" si="113"/>
        <v>1.1429524768534045</v>
      </c>
      <c r="K249" s="303"/>
      <c r="L249" s="302">
        <v>0.79561052618561712</v>
      </c>
      <c r="M249" s="302">
        <v>9.9776878448715842E-2</v>
      </c>
      <c r="N249" s="302">
        <v>0.15186491307192976</v>
      </c>
      <c r="O249" s="302">
        <f t="shared" si="114"/>
        <v>1.0472523177062627</v>
      </c>
    </row>
    <row r="250" spans="1:15" s="236" customFormat="1" x14ac:dyDescent="0.2">
      <c r="A250" s="237" t="str">
        <f>name!E$7</f>
        <v>Administrative and secretarial occupations</v>
      </c>
      <c r="B250" s="302">
        <v>1.0101150238071157</v>
      </c>
      <c r="C250" s="302">
        <v>0.63449533078338405</v>
      </c>
      <c r="D250" s="302">
        <v>8.0846589612045425E-2</v>
      </c>
      <c r="E250" s="302">
        <f t="shared" si="112"/>
        <v>1.7254569442025451</v>
      </c>
      <c r="F250" s="303"/>
      <c r="G250" s="302">
        <v>0.76172704662054003</v>
      </c>
      <c r="H250" s="302">
        <v>0.39805513592191982</v>
      </c>
      <c r="I250" s="302">
        <v>3.4391532814620103E-2</v>
      </c>
      <c r="J250" s="302">
        <f t="shared" si="113"/>
        <v>1.1941737153570799</v>
      </c>
      <c r="K250" s="303"/>
      <c r="L250" s="302">
        <v>0.60721364304339709</v>
      </c>
      <c r="M250" s="302">
        <v>0.33165877910586278</v>
      </c>
      <c r="N250" s="302">
        <v>2.3477568315709206E-2</v>
      </c>
      <c r="O250" s="302">
        <f t="shared" si="114"/>
        <v>0.96234999046496916</v>
      </c>
    </row>
    <row r="251" spans="1:15" s="236" customFormat="1" x14ac:dyDescent="0.2">
      <c r="A251" s="237" t="str">
        <f>name!E$8</f>
        <v>Skilled trades occupations</v>
      </c>
      <c r="B251" s="302">
        <v>5.9279649252641314E-2</v>
      </c>
      <c r="C251" s="302">
        <v>1.2983286165434709E-2</v>
      </c>
      <c r="D251" s="302">
        <v>6.2160347976148403E-2</v>
      </c>
      <c r="E251" s="302">
        <f t="shared" si="112"/>
        <v>0.13442328339422444</v>
      </c>
      <c r="F251" s="303"/>
      <c r="G251" s="302">
        <v>4.0213662864260216E-2</v>
      </c>
      <c r="H251" s="302">
        <v>7.710506022807621E-3</v>
      </c>
      <c r="I251" s="302">
        <v>2.4653108424584593E-2</v>
      </c>
      <c r="J251" s="302">
        <f>SUM(G251:I251)</f>
        <v>7.2577277311652436E-2</v>
      </c>
      <c r="K251" s="303"/>
      <c r="L251" s="302">
        <v>3.306755232911112E-2</v>
      </c>
      <c r="M251" s="302">
        <v>8.2106713769187559E-3</v>
      </c>
      <c r="N251" s="302">
        <v>2.457780128512092E-2</v>
      </c>
      <c r="O251" s="302">
        <f t="shared" si="114"/>
        <v>6.5856024991150799E-2</v>
      </c>
    </row>
    <row r="252" spans="1:15" s="236" customFormat="1" x14ac:dyDescent="0.2">
      <c r="A252" s="237" t="str">
        <f>name!E$9</f>
        <v>Caring, leisure and other service occupations</v>
      </c>
      <c r="B252" s="302">
        <v>2.3007832240793499E-2</v>
      </c>
      <c r="C252" s="302">
        <v>4.1498248651496497E-3</v>
      </c>
      <c r="D252" s="302">
        <v>3.8515927179716122E-2</v>
      </c>
      <c r="E252" s="302">
        <f t="shared" si="112"/>
        <v>6.5673584285659267E-2</v>
      </c>
      <c r="F252" s="303"/>
      <c r="G252" s="302">
        <v>2.4946391984842414E-2</v>
      </c>
      <c r="H252" s="302">
        <v>3.1667677175676091E-3</v>
      </c>
      <c r="I252" s="302">
        <v>1.6392131977188952E-2</v>
      </c>
      <c r="J252" s="302">
        <f t="shared" ref="J252:J255" si="115">SUM(G252:I252)</f>
        <v>4.4505291679598977E-2</v>
      </c>
      <c r="K252" s="303"/>
      <c r="L252" s="302">
        <v>2.5516764858814951E-2</v>
      </c>
      <c r="M252" s="302">
        <v>2.3955681655749741E-3</v>
      </c>
      <c r="N252" s="302">
        <v>2.2120646816618517E-2</v>
      </c>
      <c r="O252" s="302">
        <f t="shared" si="114"/>
        <v>5.0032979841008442E-2</v>
      </c>
    </row>
    <row r="253" spans="1:15" s="236" customFormat="1" x14ac:dyDescent="0.2">
      <c r="A253" s="237" t="str">
        <f>name!E$10</f>
        <v>Sales and customer service occupations</v>
      </c>
      <c r="B253" s="302">
        <v>0.21825861583653158</v>
      </c>
      <c r="C253" s="302">
        <v>0.14140752295545053</v>
      </c>
      <c r="D253" s="302">
        <v>0.10467993596116661</v>
      </c>
      <c r="E253" s="302">
        <f t="shared" si="112"/>
        <v>0.46434607475314871</v>
      </c>
      <c r="F253" s="303"/>
      <c r="G253" s="302">
        <v>0.17211547045459227</v>
      </c>
      <c r="H253" s="302">
        <v>0.11308034846959301</v>
      </c>
      <c r="I253" s="302">
        <v>3.2690438033099067E-2</v>
      </c>
      <c r="J253" s="302">
        <f t="shared" si="115"/>
        <v>0.31788625695728434</v>
      </c>
      <c r="K253" s="303"/>
      <c r="L253" s="302">
        <v>0.14629436903826837</v>
      </c>
      <c r="M253" s="302">
        <v>0.10913455312938396</v>
      </c>
      <c r="N253" s="302">
        <v>2.3548301651153954E-2</v>
      </c>
      <c r="O253" s="302">
        <f t="shared" si="114"/>
        <v>0.2789772238188063</v>
      </c>
    </row>
    <row r="254" spans="1:15" s="236" customFormat="1" x14ac:dyDescent="0.2">
      <c r="A254" s="237" t="str">
        <f>name!E$11</f>
        <v>Process, plant and machine operatives</v>
      </c>
      <c r="B254" s="302">
        <v>2.0831005596154823E-2</v>
      </c>
      <c r="C254" s="302">
        <v>3.163480449156415E-3</v>
      </c>
      <c r="D254" s="302">
        <v>2.6496200623295069E-2</v>
      </c>
      <c r="E254" s="302">
        <f t="shared" si="112"/>
        <v>5.0490686668606302E-2</v>
      </c>
      <c r="F254" s="303"/>
      <c r="G254" s="302">
        <v>1.3927005454222154E-2</v>
      </c>
      <c r="H254" s="302">
        <v>2.9374571321779523E-3</v>
      </c>
      <c r="I254" s="302">
        <v>2.0980915821372889E-2</v>
      </c>
      <c r="J254" s="302">
        <f t="shared" si="115"/>
        <v>3.7845378407772995E-2</v>
      </c>
      <c r="K254" s="303"/>
      <c r="L254" s="302">
        <v>1.1710796227545882E-2</v>
      </c>
      <c r="M254" s="302">
        <v>3.8244814641965421E-3</v>
      </c>
      <c r="N254" s="302">
        <v>2.5358836124063366E-2</v>
      </c>
      <c r="O254" s="302">
        <f t="shared" si="114"/>
        <v>4.0894113815805794E-2</v>
      </c>
    </row>
    <row r="255" spans="1:15" s="236" customFormat="1" x14ac:dyDescent="0.2">
      <c r="A255" s="237" t="str">
        <f>name!E$12</f>
        <v>Elementary occupations</v>
      </c>
      <c r="B255" s="302">
        <v>4.4493019179053919E-2</v>
      </c>
      <c r="C255" s="302">
        <v>1.5380462107503759E-2</v>
      </c>
      <c r="D255" s="302">
        <v>3.8328498159808592E-2</v>
      </c>
      <c r="E255" s="302">
        <f t="shared" si="112"/>
        <v>9.8201979446366272E-2</v>
      </c>
      <c r="F255" s="303"/>
      <c r="G255" s="302">
        <v>3.0648695242552686E-2</v>
      </c>
      <c r="H255" s="302">
        <v>9.4591496836062775E-3</v>
      </c>
      <c r="I255" s="302">
        <v>1.2802766717186536E-2</v>
      </c>
      <c r="J255" s="302">
        <f t="shared" si="115"/>
        <v>5.2910611643345498E-2</v>
      </c>
      <c r="K255" s="303"/>
      <c r="L255" s="302">
        <v>2.6690332846475043E-2</v>
      </c>
      <c r="M255" s="302">
        <v>7.2090132003988479E-3</v>
      </c>
      <c r="N255" s="302">
        <v>1.4868623822319326E-2</v>
      </c>
      <c r="O255" s="302">
        <f t="shared" si="114"/>
        <v>4.8767969869193219E-2</v>
      </c>
    </row>
    <row r="256" spans="1:15" s="236" customFormat="1" x14ac:dyDescent="0.2">
      <c r="A256" s="237"/>
      <c r="B256" s="302"/>
      <c r="C256" s="302"/>
      <c r="D256" s="302"/>
      <c r="E256" s="302"/>
      <c r="F256" s="303"/>
      <c r="G256" s="302"/>
      <c r="H256" s="302"/>
      <c r="I256" s="302"/>
      <c r="J256" s="302"/>
      <c r="K256" s="303"/>
      <c r="L256" s="302"/>
      <c r="M256" s="302"/>
      <c r="N256" s="302"/>
      <c r="O256" s="302"/>
    </row>
    <row r="257" spans="1:15" s="236" customFormat="1" x14ac:dyDescent="0.2">
      <c r="A257" s="244" t="s">
        <v>33</v>
      </c>
      <c r="B257" s="311">
        <f>SUM(B247:B255)</f>
        <v>4.0796562290267682</v>
      </c>
      <c r="C257" s="311">
        <f t="shared" ref="C257:E257" si="116">SUM(C247:C255)</f>
        <v>1.0754517380120621</v>
      </c>
      <c r="D257" s="311">
        <f t="shared" si="116"/>
        <v>1.0148920329611688</v>
      </c>
      <c r="E257" s="311">
        <f t="shared" si="116"/>
        <v>6.1699999999999982</v>
      </c>
      <c r="F257" s="311"/>
      <c r="G257" s="311">
        <f t="shared" ref="G257:J257" si="117">SUM(G247:G255)</f>
        <v>3.7061203091287411</v>
      </c>
      <c r="H257" s="311">
        <f t="shared" si="117"/>
        <v>0.78220402967930214</v>
      </c>
      <c r="I257" s="311">
        <f t="shared" si="117"/>
        <v>0.46467566119195119</v>
      </c>
      <c r="J257" s="311">
        <f t="shared" si="117"/>
        <v>4.9529999999999941</v>
      </c>
      <c r="K257" s="311"/>
      <c r="L257" s="311">
        <f t="shared" ref="L257:O257" si="118">SUM(L247:L255)</f>
        <v>3.4449645998403025</v>
      </c>
      <c r="M257" s="311">
        <f t="shared" si="118"/>
        <v>0.72315656553835639</v>
      </c>
      <c r="N257" s="311">
        <f t="shared" si="118"/>
        <v>0.46787883462133478</v>
      </c>
      <c r="O257" s="311">
        <f t="shared" si="118"/>
        <v>4.635999999999993</v>
      </c>
    </row>
    <row r="258" spans="1:15" s="236" customFormat="1" x14ac:dyDescent="0.2">
      <c r="A258" s="237"/>
      <c r="B258" s="237"/>
      <c r="C258" s="237"/>
      <c r="D258" s="237"/>
      <c r="E258" s="237"/>
      <c r="F258" s="237"/>
      <c r="G258" s="237"/>
      <c r="H258" s="237"/>
      <c r="I258" s="237"/>
      <c r="J258" s="237"/>
      <c r="K258" s="237"/>
      <c r="L258" s="237"/>
      <c r="M258" s="237"/>
      <c r="N258" s="240"/>
    </row>
    <row r="259" spans="1:15" s="236" customFormat="1" x14ac:dyDescent="0.2">
      <c r="A259" s="237"/>
      <c r="B259" s="237"/>
      <c r="C259" s="237"/>
      <c r="D259" s="237"/>
      <c r="E259" s="237"/>
      <c r="F259" s="237"/>
      <c r="G259" s="237"/>
      <c r="H259" s="237"/>
      <c r="I259" s="237"/>
      <c r="J259" s="237"/>
      <c r="K259" s="237"/>
      <c r="L259" s="237"/>
      <c r="M259" s="237"/>
      <c r="N259" s="240"/>
      <c r="O259" s="251" t="s">
        <v>36</v>
      </c>
    </row>
    <row r="260" spans="1:15" s="236" customFormat="1" x14ac:dyDescent="0.2">
      <c r="A260" s="242"/>
      <c r="B260" s="242"/>
      <c r="C260" s="242"/>
      <c r="D260" s="242"/>
      <c r="E260" s="242"/>
      <c r="F260" s="242"/>
      <c r="G260" s="242"/>
      <c r="H260" s="242"/>
      <c r="I260" s="242"/>
      <c r="J260" s="242"/>
      <c r="K260" s="242"/>
      <c r="L260" s="242"/>
      <c r="M260" s="242"/>
      <c r="N260" s="242"/>
      <c r="O260" s="242"/>
    </row>
    <row r="261" spans="1:15" s="236" customFormat="1" x14ac:dyDescent="0.2">
      <c r="A261" s="241" t="str">
        <f>name!B18</f>
        <v>Real estate</v>
      </c>
      <c r="B261" s="377">
        <f>$B$6</f>
        <v>2015</v>
      </c>
      <c r="C261" s="377"/>
      <c r="D261" s="377"/>
      <c r="E261" s="377"/>
      <c r="F261" s="263"/>
      <c r="G261" s="377">
        <f>$G$6</f>
        <v>2020</v>
      </c>
      <c r="H261" s="377"/>
      <c r="I261" s="377"/>
      <c r="J261" s="377"/>
      <c r="K261" s="263"/>
      <c r="L261" s="377">
        <f>$L$6</f>
        <v>2035</v>
      </c>
      <c r="M261" s="377"/>
      <c r="N261" s="377"/>
      <c r="O261" s="377"/>
    </row>
    <row r="262" spans="1:15" s="236" customFormat="1" x14ac:dyDescent="0.2">
      <c r="A262" s="254"/>
      <c r="B262" s="268" t="str">
        <f>$B$7</f>
        <v>FT</v>
      </c>
      <c r="C262" s="268" t="str">
        <f>$C$7</f>
        <v>PT</v>
      </c>
      <c r="D262" s="268" t="str">
        <f>$D$7</f>
        <v>SE</v>
      </c>
      <c r="E262" s="268" t="str">
        <f>$E$7</f>
        <v>Total</v>
      </c>
      <c r="F262" s="268"/>
      <c r="G262" s="268" t="str">
        <f>$G$7</f>
        <v>FT</v>
      </c>
      <c r="H262" s="268" t="str">
        <f>$H$7</f>
        <v>PT</v>
      </c>
      <c r="I262" s="268" t="str">
        <f>$I$7</f>
        <v>SE</v>
      </c>
      <c r="J262" s="268" t="str">
        <f>$J$7</f>
        <v>Total</v>
      </c>
      <c r="K262" s="268"/>
      <c r="L262" s="268" t="str">
        <f>$L$7</f>
        <v>FT</v>
      </c>
      <c r="M262" s="268" t="str">
        <f>$M$7</f>
        <v>PT</v>
      </c>
      <c r="N262" s="268" t="str">
        <f>$N$7</f>
        <v>SE</v>
      </c>
      <c r="O262" s="268" t="str">
        <f>$O$7</f>
        <v>Total</v>
      </c>
    </row>
    <row r="263" spans="1:15" s="236" customFormat="1" x14ac:dyDescent="0.2">
      <c r="A263" s="258"/>
      <c r="B263" s="239"/>
      <c r="C263" s="239"/>
      <c r="D263" s="239"/>
      <c r="E263" s="239"/>
      <c r="F263" s="239"/>
      <c r="G263" s="239"/>
      <c r="H263" s="239"/>
      <c r="I263" s="239"/>
      <c r="J263" s="239"/>
      <c r="K263" s="239"/>
      <c r="L263" s="239"/>
      <c r="M263" s="239"/>
      <c r="N263" s="239"/>
      <c r="O263" s="239"/>
    </row>
    <row r="264" spans="1:15" s="236" customFormat="1" x14ac:dyDescent="0.2">
      <c r="A264" s="237" t="str">
        <f>name!E$4</f>
        <v>Managers, directors and senior officials</v>
      </c>
      <c r="B264" s="302">
        <v>0.73338290839668885</v>
      </c>
      <c r="C264" s="302">
        <v>0.11734069808796768</v>
      </c>
      <c r="D264" s="302">
        <v>0.34140437879390534</v>
      </c>
      <c r="E264" s="302">
        <f>SUM(B264:D264)</f>
        <v>1.1921279852785618</v>
      </c>
      <c r="F264" s="303"/>
      <c r="G264" s="302">
        <v>1.0724641669004236</v>
      </c>
      <c r="H264" s="302">
        <v>0.18452455083423178</v>
      </c>
      <c r="I264" s="302">
        <v>0.6797407403753839</v>
      </c>
      <c r="J264" s="302">
        <f>SUM(G264:I264)</f>
        <v>1.9367294581100392</v>
      </c>
      <c r="K264" s="303"/>
      <c r="L264" s="302">
        <v>1.0370951076823445</v>
      </c>
      <c r="M264" s="302">
        <v>0.17080497404256106</v>
      </c>
      <c r="N264" s="302">
        <v>0.84224699299725003</v>
      </c>
      <c r="O264" s="302">
        <f>SUM(L264:N264)</f>
        <v>2.0501470747221555</v>
      </c>
    </row>
    <row r="265" spans="1:15" s="236" customFormat="1" x14ac:dyDescent="0.2">
      <c r="A265" s="237" t="str">
        <f>name!E$5</f>
        <v>Professional occupations</v>
      </c>
      <c r="B265" s="302">
        <v>0.69298674540859018</v>
      </c>
      <c r="C265" s="302">
        <v>0.13058518980950581</v>
      </c>
      <c r="D265" s="302">
        <v>5.4376815599041207E-2</v>
      </c>
      <c r="E265" s="302">
        <f t="shared" ref="E265:E272" si="119">SUM(B265:D265)</f>
        <v>0.87794875081713719</v>
      </c>
      <c r="F265" s="303"/>
      <c r="G265" s="302">
        <v>1.1758210713392732</v>
      </c>
      <c r="H265" s="302">
        <v>0.16994999602914612</v>
      </c>
      <c r="I265" s="302">
        <v>0.10380082630673333</v>
      </c>
      <c r="J265" s="302">
        <f t="shared" ref="J265:J267" si="120">SUM(G265:I265)</f>
        <v>1.4495718936751527</v>
      </c>
      <c r="K265" s="303"/>
      <c r="L265" s="302">
        <v>1.3326420126607805</v>
      </c>
      <c r="M265" s="302">
        <v>0.18567510963808598</v>
      </c>
      <c r="N265" s="302">
        <v>5.7088351890241612E-2</v>
      </c>
      <c r="O265" s="302">
        <f t="shared" ref="O265:O272" si="121">SUM(L265:N265)</f>
        <v>1.5754054741891081</v>
      </c>
    </row>
    <row r="266" spans="1:15" s="236" customFormat="1" x14ac:dyDescent="0.2">
      <c r="A266" s="237" t="str">
        <f>name!E$6</f>
        <v>Associate professional occupations</v>
      </c>
      <c r="B266" s="302">
        <v>0.58015584242287255</v>
      </c>
      <c r="C266" s="302">
        <v>0.15917219008854325</v>
      </c>
      <c r="D266" s="302">
        <v>5.4030901261423188E-2</v>
      </c>
      <c r="E266" s="302">
        <f t="shared" si="119"/>
        <v>0.79335893377283895</v>
      </c>
      <c r="F266" s="303"/>
      <c r="G266" s="302">
        <v>0.89351574454848737</v>
      </c>
      <c r="H266" s="302">
        <v>0.19567297894246014</v>
      </c>
      <c r="I266" s="302">
        <v>8.9826985998033709E-2</v>
      </c>
      <c r="J266" s="302">
        <f t="shared" si="120"/>
        <v>1.179015709488981</v>
      </c>
      <c r="K266" s="303"/>
      <c r="L266" s="302">
        <v>1.020966401718246</v>
      </c>
      <c r="M266" s="302">
        <v>0.21503273241009277</v>
      </c>
      <c r="N266" s="302">
        <v>8.6346114579772273E-2</v>
      </c>
      <c r="O266" s="302">
        <f t="shared" si="121"/>
        <v>1.3223452487081111</v>
      </c>
    </row>
    <row r="267" spans="1:15" s="236" customFormat="1" x14ac:dyDescent="0.2">
      <c r="A267" s="237" t="str">
        <f>name!E$7</f>
        <v>Administrative and secretarial occupations</v>
      </c>
      <c r="B267" s="302">
        <v>0.552269475374074</v>
      </c>
      <c r="C267" s="302">
        <v>0.74594390329690596</v>
      </c>
      <c r="D267" s="302">
        <v>4.0060530995013915E-2</v>
      </c>
      <c r="E267" s="302">
        <f t="shared" si="119"/>
        <v>1.3382739096659939</v>
      </c>
      <c r="F267" s="303"/>
      <c r="G267" s="302">
        <v>0.74489769441685227</v>
      </c>
      <c r="H267" s="302">
        <v>0.55496152006212474</v>
      </c>
      <c r="I267" s="302">
        <v>2.4795552455327087E-2</v>
      </c>
      <c r="J267" s="302">
        <f t="shared" si="120"/>
        <v>1.3246547669343041</v>
      </c>
      <c r="K267" s="303"/>
      <c r="L267" s="302">
        <v>0.6496510905717009</v>
      </c>
      <c r="M267" s="302">
        <v>0.43180365302030949</v>
      </c>
      <c r="N267" s="302">
        <v>2.3179178182605453E-2</v>
      </c>
      <c r="O267" s="302">
        <f t="shared" si="121"/>
        <v>1.1046339217746157</v>
      </c>
    </row>
    <row r="268" spans="1:15" s="236" customFormat="1" x14ac:dyDescent="0.2">
      <c r="A268" s="237" t="str">
        <f>name!E$8</f>
        <v>Skilled trades occupations</v>
      </c>
      <c r="B268" s="302">
        <v>0.30176868888420472</v>
      </c>
      <c r="C268" s="302">
        <v>3.2585494307272887E-2</v>
      </c>
      <c r="D268" s="302">
        <v>0.12116006104389035</v>
      </c>
      <c r="E268" s="302">
        <f t="shared" si="119"/>
        <v>0.4555142442353679</v>
      </c>
      <c r="F268" s="303"/>
      <c r="G268" s="302">
        <v>0.32092842055991322</v>
      </c>
      <c r="H268" s="302">
        <v>3.5635598383916264E-2</v>
      </c>
      <c r="I268" s="302">
        <v>0.19073623483840463</v>
      </c>
      <c r="J268" s="302">
        <f>SUM(G268:I268)</f>
        <v>0.54730025378223413</v>
      </c>
      <c r="K268" s="303"/>
      <c r="L268" s="302">
        <v>0.33123103045560748</v>
      </c>
      <c r="M268" s="302">
        <v>5.0325000391703296E-2</v>
      </c>
      <c r="N268" s="302">
        <v>0.19902408292610976</v>
      </c>
      <c r="O268" s="302">
        <f t="shared" si="121"/>
        <v>0.58058011377342056</v>
      </c>
    </row>
    <row r="269" spans="1:15" s="236" customFormat="1" x14ac:dyDescent="0.2">
      <c r="A269" s="237" t="str">
        <f>name!E$9</f>
        <v>Caring, leisure and other service occupations</v>
      </c>
      <c r="B269" s="302">
        <v>0.11879196030142572</v>
      </c>
      <c r="C269" s="302">
        <v>7.1138364533015974E-2</v>
      </c>
      <c r="D269" s="302">
        <v>2.1715959772288299E-2</v>
      </c>
      <c r="E269" s="302">
        <f t="shared" si="119"/>
        <v>0.21164628460672999</v>
      </c>
      <c r="F269" s="303"/>
      <c r="G269" s="302">
        <v>0.15888750902596077</v>
      </c>
      <c r="H269" s="302">
        <v>5.9339094824934664E-2</v>
      </c>
      <c r="I269" s="302">
        <v>3.6309322481155135E-2</v>
      </c>
      <c r="J269" s="302">
        <f t="shared" ref="J269:J272" si="122">SUM(G269:I269)</f>
        <v>0.25453592633205058</v>
      </c>
      <c r="K269" s="303"/>
      <c r="L269" s="302">
        <v>0.16317836234200417</v>
      </c>
      <c r="M269" s="302">
        <v>4.8019350215624562E-2</v>
      </c>
      <c r="N269" s="302">
        <v>6.0961762662959218E-2</v>
      </c>
      <c r="O269" s="302">
        <f t="shared" si="121"/>
        <v>0.27215947522058792</v>
      </c>
    </row>
    <row r="270" spans="1:15" s="236" customFormat="1" x14ac:dyDescent="0.2">
      <c r="A270" s="237" t="str">
        <f>name!E$10</f>
        <v>Sales and customer service occupations</v>
      </c>
      <c r="B270" s="302">
        <v>0.33414641022529984</v>
      </c>
      <c r="C270" s="302">
        <v>0.14158471786419208</v>
      </c>
      <c r="D270" s="302">
        <v>8.9258778800472019E-2</v>
      </c>
      <c r="E270" s="302">
        <f t="shared" si="119"/>
        <v>0.56498990688996398</v>
      </c>
      <c r="F270" s="303"/>
      <c r="G270" s="302">
        <v>0.40863571243687874</v>
      </c>
      <c r="H270" s="302">
        <v>0.13648926346220086</v>
      </c>
      <c r="I270" s="302">
        <v>0.1378754861414267</v>
      </c>
      <c r="J270" s="302">
        <f t="shared" si="122"/>
        <v>0.68300046204050635</v>
      </c>
      <c r="K270" s="303"/>
      <c r="L270" s="302">
        <v>0.39908385929004875</v>
      </c>
      <c r="M270" s="302">
        <v>0.1216816504557031</v>
      </c>
      <c r="N270" s="302">
        <v>0.12506162584914013</v>
      </c>
      <c r="O270" s="302">
        <f t="shared" si="121"/>
        <v>0.64582713559489202</v>
      </c>
    </row>
    <row r="271" spans="1:15" s="236" customFormat="1" x14ac:dyDescent="0.2">
      <c r="A271" s="237" t="str">
        <f>name!E$11</f>
        <v>Process, plant and machine operatives</v>
      </c>
      <c r="B271" s="302">
        <v>9.1261822184208433E-2</v>
      </c>
      <c r="C271" s="302">
        <v>5.5271310074897313E-3</v>
      </c>
      <c r="D271" s="302">
        <v>3.1749881368264409E-3</v>
      </c>
      <c r="E271" s="302">
        <f t="shared" si="119"/>
        <v>9.9963941328524611E-2</v>
      </c>
      <c r="F271" s="303"/>
      <c r="G271" s="302">
        <v>9.098859545038579E-2</v>
      </c>
      <c r="H271" s="302">
        <v>8.1802137661157633E-3</v>
      </c>
      <c r="I271" s="302">
        <v>8.8760189836148244E-3</v>
      </c>
      <c r="J271" s="302">
        <f t="shared" si="122"/>
        <v>0.10804482820011638</v>
      </c>
      <c r="K271" s="303"/>
      <c r="L271" s="302">
        <v>6.3311302143037124E-2</v>
      </c>
      <c r="M271" s="302">
        <v>6.7022708571293655E-3</v>
      </c>
      <c r="N271" s="302">
        <v>7.924611809433546E-3</v>
      </c>
      <c r="O271" s="302">
        <f t="shared" si="121"/>
        <v>7.7938184809600033E-2</v>
      </c>
    </row>
    <row r="272" spans="1:15" s="236" customFormat="1" x14ac:dyDescent="0.2">
      <c r="A272" s="237" t="str">
        <f>name!E$12</f>
        <v>Elementary occupations</v>
      </c>
      <c r="B272" s="302">
        <v>0.10665365396845626</v>
      </c>
      <c r="C272" s="302">
        <v>9.626660903254261E-2</v>
      </c>
      <c r="D272" s="302">
        <v>1.525578040388754E-2</v>
      </c>
      <c r="E272" s="302">
        <f t="shared" si="119"/>
        <v>0.21817604340488639</v>
      </c>
      <c r="F272" s="303"/>
      <c r="G272" s="302">
        <v>0.11688880648943532</v>
      </c>
      <c r="H272" s="302">
        <v>6.2461410180859919E-2</v>
      </c>
      <c r="I272" s="302">
        <v>1.0796484766316092E-2</v>
      </c>
      <c r="J272" s="302">
        <f t="shared" si="122"/>
        <v>0.19014670143661133</v>
      </c>
      <c r="K272" s="303"/>
      <c r="L272" s="302">
        <v>0.11051669658279709</v>
      </c>
      <c r="M272" s="302">
        <v>1.7530288727662841E-2</v>
      </c>
      <c r="N272" s="302">
        <v>1.0916385897051942E-2</v>
      </c>
      <c r="O272" s="302">
        <f t="shared" si="121"/>
        <v>0.13896337120751187</v>
      </c>
    </row>
    <row r="273" spans="1:15" s="236" customFormat="1" x14ac:dyDescent="0.2">
      <c r="A273" s="237"/>
      <c r="B273" s="302"/>
      <c r="C273" s="302"/>
      <c r="D273" s="302"/>
      <c r="E273" s="302"/>
      <c r="F273" s="303"/>
      <c r="G273" s="302"/>
      <c r="H273" s="302"/>
      <c r="I273" s="302"/>
      <c r="J273" s="302"/>
      <c r="K273" s="303"/>
      <c r="L273" s="302"/>
      <c r="M273" s="302"/>
      <c r="N273" s="302"/>
      <c r="O273" s="302"/>
    </row>
    <row r="274" spans="1:15" s="236" customFormat="1" x14ac:dyDescent="0.2">
      <c r="A274" s="244" t="s">
        <v>33</v>
      </c>
      <c r="B274" s="311">
        <f>SUM(B264:B272)</f>
        <v>3.5114175071658216</v>
      </c>
      <c r="C274" s="311">
        <f t="shared" ref="C274:E274" si="123">SUM(C264:C272)</f>
        <v>1.500144298027436</v>
      </c>
      <c r="D274" s="311">
        <f t="shared" si="123"/>
        <v>0.74043819480674844</v>
      </c>
      <c r="E274" s="311">
        <f t="shared" si="123"/>
        <v>5.7520000000000042</v>
      </c>
      <c r="F274" s="311"/>
      <c r="G274" s="311">
        <f t="shared" ref="G274:J274" si="124">SUM(G264:G272)</f>
        <v>4.9830277211676108</v>
      </c>
      <c r="H274" s="311">
        <f t="shared" si="124"/>
        <v>1.4072146264859902</v>
      </c>
      <c r="I274" s="311">
        <f t="shared" si="124"/>
        <v>1.282757652346395</v>
      </c>
      <c r="J274" s="311">
        <f t="shared" si="124"/>
        <v>7.6729999999999956</v>
      </c>
      <c r="K274" s="311"/>
      <c r="L274" s="311">
        <f t="shared" ref="L274:O274" si="125">SUM(L264:L272)</f>
        <v>5.1076758634465671</v>
      </c>
      <c r="M274" s="311">
        <f t="shared" si="125"/>
        <v>1.2475750297588724</v>
      </c>
      <c r="N274" s="311">
        <f t="shared" si="125"/>
        <v>1.4127491067945643</v>
      </c>
      <c r="O274" s="311">
        <f t="shared" si="125"/>
        <v>7.7680000000000033</v>
      </c>
    </row>
    <row r="275" spans="1:15" s="236" customFormat="1" x14ac:dyDescent="0.2">
      <c r="A275" s="237"/>
      <c r="B275" s="237"/>
      <c r="C275" s="237"/>
      <c r="D275" s="237"/>
      <c r="E275" s="237"/>
      <c r="F275" s="237"/>
      <c r="G275" s="237"/>
      <c r="H275" s="237"/>
      <c r="I275" s="237"/>
      <c r="J275" s="237"/>
      <c r="K275" s="237"/>
      <c r="L275" s="237"/>
      <c r="M275" s="237"/>
      <c r="N275" s="240"/>
    </row>
    <row r="276" spans="1:15" s="236" customFormat="1" x14ac:dyDescent="0.2">
      <c r="A276" s="237"/>
      <c r="B276" s="237"/>
      <c r="C276" s="237"/>
      <c r="D276" s="237"/>
      <c r="E276" s="237"/>
      <c r="F276" s="237"/>
      <c r="G276" s="237"/>
      <c r="H276" s="237"/>
      <c r="I276" s="237"/>
      <c r="J276" s="237"/>
      <c r="K276" s="237"/>
      <c r="L276" s="237"/>
      <c r="M276" s="237"/>
      <c r="N276" s="240"/>
      <c r="O276" s="251" t="s">
        <v>36</v>
      </c>
    </row>
    <row r="277" spans="1:15" s="236" customFormat="1" x14ac:dyDescent="0.2">
      <c r="A277" s="242"/>
      <c r="B277" s="242"/>
      <c r="C277" s="242"/>
      <c r="D277" s="242"/>
      <c r="E277" s="242"/>
      <c r="F277" s="242"/>
      <c r="G277" s="242"/>
      <c r="H277" s="242"/>
      <c r="I277" s="242"/>
      <c r="J277" s="242"/>
      <c r="K277" s="242"/>
      <c r="L277" s="242"/>
      <c r="M277" s="242"/>
      <c r="N277" s="242"/>
      <c r="O277" s="242"/>
    </row>
    <row r="278" spans="1:15" s="236" customFormat="1" x14ac:dyDescent="0.2">
      <c r="A278" s="241" t="str">
        <f>name!B19</f>
        <v>Professional services</v>
      </c>
      <c r="B278" s="377">
        <f>$B$6</f>
        <v>2015</v>
      </c>
      <c r="C278" s="377"/>
      <c r="D278" s="377"/>
      <c r="E278" s="377"/>
      <c r="F278" s="263"/>
      <c r="G278" s="377">
        <f>$G$6</f>
        <v>2020</v>
      </c>
      <c r="H278" s="377"/>
      <c r="I278" s="377"/>
      <c r="J278" s="377"/>
      <c r="K278" s="263"/>
      <c r="L278" s="377">
        <f>$L$6</f>
        <v>2035</v>
      </c>
      <c r="M278" s="377"/>
      <c r="N278" s="377"/>
      <c r="O278" s="377"/>
    </row>
    <row r="279" spans="1:15" s="236" customFormat="1" x14ac:dyDescent="0.2">
      <c r="A279" s="254"/>
      <c r="B279" s="268" t="str">
        <f>$B$7</f>
        <v>FT</v>
      </c>
      <c r="C279" s="268" t="str">
        <f>$C$7</f>
        <v>PT</v>
      </c>
      <c r="D279" s="268" t="str">
        <f>$D$7</f>
        <v>SE</v>
      </c>
      <c r="E279" s="268" t="str">
        <f>$E$7</f>
        <v>Total</v>
      </c>
      <c r="F279" s="268"/>
      <c r="G279" s="268" t="str">
        <f>$G$7</f>
        <v>FT</v>
      </c>
      <c r="H279" s="268" t="str">
        <f>$H$7</f>
        <v>PT</v>
      </c>
      <c r="I279" s="268" t="str">
        <f>$I$7</f>
        <v>SE</v>
      </c>
      <c r="J279" s="268" t="str">
        <f>$J$7</f>
        <v>Total</v>
      </c>
      <c r="K279" s="268"/>
      <c r="L279" s="268" t="str">
        <f>$L$7</f>
        <v>FT</v>
      </c>
      <c r="M279" s="268" t="str">
        <f>$M$7</f>
        <v>PT</v>
      </c>
      <c r="N279" s="268" t="str">
        <f>$N$7</f>
        <v>SE</v>
      </c>
      <c r="O279" s="268" t="str">
        <f>$O$7</f>
        <v>Total</v>
      </c>
    </row>
    <row r="280" spans="1:15" s="236" customFormat="1" x14ac:dyDescent="0.2">
      <c r="A280" s="258"/>
      <c r="B280" s="239"/>
      <c r="C280" s="239"/>
      <c r="D280" s="239"/>
      <c r="E280" s="239"/>
      <c r="F280" s="239"/>
      <c r="G280" s="239"/>
      <c r="H280" s="239"/>
      <c r="I280" s="239"/>
      <c r="J280" s="239"/>
      <c r="K280" s="239"/>
      <c r="L280" s="239"/>
      <c r="M280" s="239"/>
      <c r="N280" s="239"/>
      <c r="O280" s="239"/>
    </row>
    <row r="281" spans="1:15" s="236" customFormat="1" x14ac:dyDescent="0.2">
      <c r="A281" s="237" t="str">
        <f>name!E$4</f>
        <v>Managers, directors and senior officials</v>
      </c>
      <c r="B281" s="302">
        <v>2.2970246513042514</v>
      </c>
      <c r="C281" s="302">
        <v>0.41198398962369698</v>
      </c>
      <c r="D281" s="302">
        <v>0.91936399169294258</v>
      </c>
      <c r="E281" s="302">
        <f>SUM(B281:D281)</f>
        <v>3.6283726326208909</v>
      </c>
      <c r="F281" s="303"/>
      <c r="G281" s="302">
        <v>2.6315925445253088</v>
      </c>
      <c r="H281" s="302">
        <v>0.70781335642294274</v>
      </c>
      <c r="I281" s="302">
        <v>0.99061353757351955</v>
      </c>
      <c r="J281" s="302">
        <f>SUM(G281:I281)</f>
        <v>4.330019438521771</v>
      </c>
      <c r="K281" s="303"/>
      <c r="L281" s="302">
        <v>2.410673512563545</v>
      </c>
      <c r="M281" s="302">
        <v>0.92445260595661816</v>
      </c>
      <c r="N281" s="302">
        <v>1.2469177784653955</v>
      </c>
      <c r="O281" s="302">
        <f>SUM(L281:N281)</f>
        <v>4.5820438969855584</v>
      </c>
    </row>
    <row r="282" spans="1:15" s="236" customFormat="1" x14ac:dyDescent="0.2">
      <c r="A282" s="237" t="str">
        <f>name!E$5</f>
        <v>Professional occupations</v>
      </c>
      <c r="B282" s="302">
        <v>6.1858052054868207</v>
      </c>
      <c r="C282" s="302">
        <v>0.84687117115348676</v>
      </c>
      <c r="D282" s="302">
        <v>2.3527742095460327</v>
      </c>
      <c r="E282" s="302">
        <f t="shared" ref="E282:E289" si="126">SUM(B282:D282)</f>
        <v>9.3854505861863409</v>
      </c>
      <c r="F282" s="303"/>
      <c r="G282" s="302">
        <v>8.3880289803075367</v>
      </c>
      <c r="H282" s="302">
        <v>1.4724753707427551</v>
      </c>
      <c r="I282" s="302">
        <v>2.1321712477261872</v>
      </c>
      <c r="J282" s="302">
        <f t="shared" ref="J282:J284" si="127">SUM(G282:I282)</f>
        <v>11.992675598776479</v>
      </c>
      <c r="K282" s="303"/>
      <c r="L282" s="302">
        <v>10.442884978527804</v>
      </c>
      <c r="M282" s="302">
        <v>1.8124388604466108</v>
      </c>
      <c r="N282" s="302">
        <v>2.4008325459451574</v>
      </c>
      <c r="O282" s="302">
        <f t="shared" ref="O282:O289" si="128">SUM(L282:N282)</f>
        <v>14.656156384919571</v>
      </c>
    </row>
    <row r="283" spans="1:15" s="236" customFormat="1" x14ac:dyDescent="0.2">
      <c r="A283" s="237" t="str">
        <f>name!E$6</f>
        <v>Associate professional occupations</v>
      </c>
      <c r="B283" s="302">
        <v>2.8025951127658435</v>
      </c>
      <c r="C283" s="302">
        <v>0.61031642800982344</v>
      </c>
      <c r="D283" s="302">
        <v>0.98522662508480063</v>
      </c>
      <c r="E283" s="302">
        <f t="shared" si="126"/>
        <v>4.3981381658604679</v>
      </c>
      <c r="F283" s="303"/>
      <c r="G283" s="302">
        <v>3.4378753202031644</v>
      </c>
      <c r="H283" s="302">
        <v>0.87351483996929502</v>
      </c>
      <c r="I283" s="302">
        <v>0.9643908823467312</v>
      </c>
      <c r="J283" s="302">
        <f t="shared" si="127"/>
        <v>5.2757810425191911</v>
      </c>
      <c r="K283" s="303"/>
      <c r="L283" s="302">
        <v>3.6689003049794429</v>
      </c>
      <c r="M283" s="302">
        <v>1.0339441595629655</v>
      </c>
      <c r="N283" s="302">
        <v>1.1881187288149022</v>
      </c>
      <c r="O283" s="302">
        <f t="shared" si="128"/>
        <v>5.8909631933573108</v>
      </c>
    </row>
    <row r="284" spans="1:15" s="236" customFormat="1" x14ac:dyDescent="0.2">
      <c r="A284" s="237" t="str">
        <f>name!E$7</f>
        <v>Administrative and secretarial occupations</v>
      </c>
      <c r="B284" s="302">
        <v>2.2926756281298499</v>
      </c>
      <c r="C284" s="302">
        <v>2.0209198621688329</v>
      </c>
      <c r="D284" s="302">
        <v>0.51612876796127272</v>
      </c>
      <c r="E284" s="302">
        <f t="shared" si="126"/>
        <v>4.8297242582599553</v>
      </c>
      <c r="F284" s="303"/>
      <c r="G284" s="302">
        <v>2.5519954721178038</v>
      </c>
      <c r="H284" s="302">
        <v>2.4878772697516931</v>
      </c>
      <c r="I284" s="302">
        <v>0.65984420830973989</v>
      </c>
      <c r="J284" s="302">
        <f t="shared" si="127"/>
        <v>5.6997169501792362</v>
      </c>
      <c r="K284" s="303"/>
      <c r="L284" s="302">
        <v>1.9462687351374484</v>
      </c>
      <c r="M284" s="302">
        <v>2.5502884290435057</v>
      </c>
      <c r="N284" s="302">
        <v>0.59840769310461295</v>
      </c>
      <c r="O284" s="302">
        <f t="shared" si="128"/>
        <v>5.094964857285567</v>
      </c>
    </row>
    <row r="285" spans="1:15" s="236" customFormat="1" x14ac:dyDescent="0.2">
      <c r="A285" s="237" t="str">
        <f>name!E$8</f>
        <v>Skilled trades occupations</v>
      </c>
      <c r="B285" s="302">
        <v>0.61396461999277796</v>
      </c>
      <c r="C285" s="302">
        <v>0.14709985472567041</v>
      </c>
      <c r="D285" s="302">
        <v>0.26115213051803271</v>
      </c>
      <c r="E285" s="302">
        <f t="shared" si="126"/>
        <v>1.0222166052364812</v>
      </c>
      <c r="F285" s="303"/>
      <c r="G285" s="302">
        <v>0.48588394916135186</v>
      </c>
      <c r="H285" s="302">
        <v>9.1185278396822389E-2</v>
      </c>
      <c r="I285" s="302">
        <v>0.20571264485463137</v>
      </c>
      <c r="J285" s="302">
        <f>SUM(G285:I285)</f>
        <v>0.78278187241280561</v>
      </c>
      <c r="K285" s="303"/>
      <c r="L285" s="302">
        <v>0.42141398569063721</v>
      </c>
      <c r="M285" s="302">
        <v>0.12008668544689007</v>
      </c>
      <c r="N285" s="302">
        <v>0.28181748990542071</v>
      </c>
      <c r="O285" s="302">
        <f t="shared" si="128"/>
        <v>0.82331816104294808</v>
      </c>
    </row>
    <row r="286" spans="1:15" s="236" customFormat="1" x14ac:dyDescent="0.2">
      <c r="A286" s="237" t="str">
        <f>name!E$9</f>
        <v>Caring, leisure and other service occupations</v>
      </c>
      <c r="B286" s="302">
        <v>0.22398032224987272</v>
      </c>
      <c r="C286" s="302">
        <v>0.15684370235946113</v>
      </c>
      <c r="D286" s="302">
        <v>0.22012618195074651</v>
      </c>
      <c r="E286" s="302">
        <f t="shared" si="126"/>
        <v>0.60095020656008036</v>
      </c>
      <c r="F286" s="303"/>
      <c r="G286" s="302">
        <v>0.29983072363836799</v>
      </c>
      <c r="H286" s="302">
        <v>0.25038950544316813</v>
      </c>
      <c r="I286" s="302">
        <v>0.36520728075207815</v>
      </c>
      <c r="J286" s="302">
        <f t="shared" ref="J286:J289" si="129">SUM(G286:I286)</f>
        <v>0.91542750983361421</v>
      </c>
      <c r="K286" s="303"/>
      <c r="L286" s="302">
        <v>0.3425754190403611</v>
      </c>
      <c r="M286" s="302">
        <v>0.27003088621348376</v>
      </c>
      <c r="N286" s="302">
        <v>0.49847179703687</v>
      </c>
      <c r="O286" s="302">
        <f t="shared" si="128"/>
        <v>1.1110781022907148</v>
      </c>
    </row>
    <row r="287" spans="1:15" s="236" customFormat="1" x14ac:dyDescent="0.2">
      <c r="A287" s="237" t="str">
        <f>name!E$10</f>
        <v>Sales and customer service occupations</v>
      </c>
      <c r="B287" s="302">
        <v>0.4605146254324145</v>
      </c>
      <c r="C287" s="302">
        <v>0.30839450890799608</v>
      </c>
      <c r="D287" s="302">
        <v>0.21434979360731979</v>
      </c>
      <c r="E287" s="302">
        <f t="shared" si="126"/>
        <v>0.9832589279477304</v>
      </c>
      <c r="F287" s="303"/>
      <c r="G287" s="302">
        <v>0.48905477650625395</v>
      </c>
      <c r="H287" s="302">
        <v>0.36031163002858935</v>
      </c>
      <c r="I287" s="302">
        <v>0.16303620923589932</v>
      </c>
      <c r="J287" s="302">
        <f t="shared" si="129"/>
        <v>1.0124026157707426</v>
      </c>
      <c r="K287" s="303"/>
      <c r="L287" s="302">
        <v>0.47423284068575094</v>
      </c>
      <c r="M287" s="302">
        <v>0.42973300269351888</v>
      </c>
      <c r="N287" s="302">
        <v>0.13607064151535059</v>
      </c>
      <c r="O287" s="302">
        <f t="shared" si="128"/>
        <v>1.0400364848946204</v>
      </c>
    </row>
    <row r="288" spans="1:15" s="236" customFormat="1" x14ac:dyDescent="0.2">
      <c r="A288" s="237" t="str">
        <f>name!E$11</f>
        <v>Process, plant and machine operatives</v>
      </c>
      <c r="B288" s="302">
        <v>0.28493345881232107</v>
      </c>
      <c r="C288" s="302">
        <v>9.9395884975568352E-2</v>
      </c>
      <c r="D288" s="302">
        <v>5.6192369940375755E-2</v>
      </c>
      <c r="E288" s="302">
        <f t="shared" si="126"/>
        <v>0.44052171372826515</v>
      </c>
      <c r="F288" s="303"/>
      <c r="G288" s="302">
        <v>0.2054280970499463</v>
      </c>
      <c r="H288" s="302">
        <v>8.8006227187357677E-2</v>
      </c>
      <c r="I288" s="302">
        <v>4.8040361297203606E-2</v>
      </c>
      <c r="J288" s="302">
        <f t="shared" si="129"/>
        <v>0.3414746855345076</v>
      </c>
      <c r="K288" s="303"/>
      <c r="L288" s="302">
        <v>0.15245618943845102</v>
      </c>
      <c r="M288" s="302">
        <v>0.10343994692099862</v>
      </c>
      <c r="N288" s="302">
        <v>5.9988485027818887E-2</v>
      </c>
      <c r="O288" s="302">
        <f t="shared" si="128"/>
        <v>0.31588462138726853</v>
      </c>
    </row>
    <row r="289" spans="1:15" s="236" customFormat="1" x14ac:dyDescent="0.2">
      <c r="A289" s="237" t="str">
        <f>name!E$12</f>
        <v>Elementary occupations</v>
      </c>
      <c r="B289" s="302">
        <v>0.46214043891750956</v>
      </c>
      <c r="C289" s="302">
        <v>0.35688477601233215</v>
      </c>
      <c r="D289" s="302">
        <v>0.17634168866996472</v>
      </c>
      <c r="E289" s="302">
        <f t="shared" si="126"/>
        <v>0.9953669035998064</v>
      </c>
      <c r="F289" s="303"/>
      <c r="G289" s="302">
        <v>0.40550946439563323</v>
      </c>
      <c r="H289" s="302">
        <v>0.32072937802635343</v>
      </c>
      <c r="I289" s="302">
        <v>0.16548144402970272</v>
      </c>
      <c r="J289" s="302">
        <f t="shared" si="129"/>
        <v>0.89172028645168933</v>
      </c>
      <c r="K289" s="303"/>
      <c r="L289" s="302">
        <v>0.35361154857748089</v>
      </c>
      <c r="M289" s="302">
        <v>0.22538023499029924</v>
      </c>
      <c r="N289" s="302">
        <v>0.22556251426865837</v>
      </c>
      <c r="O289" s="302">
        <f t="shared" si="128"/>
        <v>0.8045542978364385</v>
      </c>
    </row>
    <row r="290" spans="1:15" s="236" customFormat="1" x14ac:dyDescent="0.2">
      <c r="A290" s="237"/>
      <c r="B290" s="302"/>
      <c r="C290" s="302"/>
      <c r="D290" s="302"/>
      <c r="E290" s="302"/>
      <c r="F290" s="303"/>
      <c r="G290" s="302"/>
      <c r="H290" s="302"/>
      <c r="I290" s="302"/>
      <c r="J290" s="302"/>
      <c r="K290" s="303"/>
      <c r="L290" s="302"/>
      <c r="M290" s="302"/>
      <c r="N290" s="302"/>
      <c r="O290" s="302"/>
    </row>
    <row r="291" spans="1:15" s="236" customFormat="1" x14ac:dyDescent="0.2">
      <c r="A291" s="244" t="s">
        <v>33</v>
      </c>
      <c r="B291" s="311">
        <f>SUM(B281:B289)</f>
        <v>15.623634063091661</v>
      </c>
      <c r="C291" s="311">
        <f t="shared" ref="C291:E291" si="130">SUM(C281:C289)</f>
        <v>4.9587101779368687</v>
      </c>
      <c r="D291" s="311">
        <f t="shared" si="130"/>
        <v>5.7016557589714871</v>
      </c>
      <c r="E291" s="311">
        <f t="shared" si="130"/>
        <v>26.284000000000017</v>
      </c>
      <c r="F291" s="311"/>
      <c r="G291" s="311">
        <f t="shared" ref="G291:J291" si="131">SUM(G281:G289)</f>
        <v>18.895199327905367</v>
      </c>
      <c r="H291" s="311">
        <f t="shared" si="131"/>
        <v>6.6523028559689772</v>
      </c>
      <c r="I291" s="311">
        <f t="shared" si="131"/>
        <v>5.6944978161256934</v>
      </c>
      <c r="J291" s="311">
        <f t="shared" si="131"/>
        <v>31.242000000000036</v>
      </c>
      <c r="K291" s="311"/>
      <c r="L291" s="311">
        <f t="shared" ref="L291:O291" si="132">SUM(L281:L289)</f>
        <v>20.213017514640917</v>
      </c>
      <c r="M291" s="311">
        <f t="shared" si="132"/>
        <v>7.4697948112748911</v>
      </c>
      <c r="N291" s="311">
        <f t="shared" si="132"/>
        <v>6.6361876740841854</v>
      </c>
      <c r="O291" s="311">
        <f t="shared" si="132"/>
        <v>34.319000000000003</v>
      </c>
    </row>
    <row r="292" spans="1:15" s="236" customFormat="1" x14ac:dyDescent="0.2">
      <c r="A292" s="237"/>
      <c r="B292" s="237"/>
      <c r="C292" s="237"/>
      <c r="D292" s="237"/>
      <c r="E292" s="237"/>
      <c r="F292" s="237"/>
      <c r="G292" s="237"/>
      <c r="H292" s="237"/>
      <c r="I292" s="237"/>
      <c r="J292" s="237"/>
      <c r="K292" s="237"/>
      <c r="L292" s="237"/>
      <c r="M292" s="237"/>
      <c r="N292" s="240"/>
    </row>
    <row r="293" spans="1:15" s="236" customFormat="1" x14ac:dyDescent="0.2">
      <c r="A293" s="237"/>
      <c r="B293" s="237"/>
      <c r="C293" s="237"/>
      <c r="D293" s="237"/>
      <c r="E293" s="237"/>
      <c r="F293" s="237"/>
      <c r="G293" s="237"/>
      <c r="H293" s="237"/>
      <c r="I293" s="237"/>
      <c r="J293" s="237"/>
      <c r="K293" s="237"/>
      <c r="L293" s="237"/>
      <c r="M293" s="237"/>
      <c r="N293" s="240"/>
      <c r="O293" s="251" t="s">
        <v>36</v>
      </c>
    </row>
    <row r="294" spans="1:15" s="236" customFormat="1" x14ac:dyDescent="0.2">
      <c r="A294" s="242"/>
      <c r="B294" s="242"/>
      <c r="C294" s="242"/>
      <c r="D294" s="242"/>
      <c r="E294" s="242"/>
      <c r="F294" s="242"/>
      <c r="G294" s="242"/>
      <c r="H294" s="242"/>
      <c r="I294" s="242"/>
      <c r="J294" s="242"/>
      <c r="K294" s="242"/>
      <c r="L294" s="242"/>
      <c r="M294" s="242"/>
      <c r="N294" s="242"/>
      <c r="O294" s="242"/>
    </row>
    <row r="295" spans="1:15" s="236" customFormat="1" x14ac:dyDescent="0.2">
      <c r="A295" s="241" t="str">
        <f>name!B20</f>
        <v>Support services</v>
      </c>
      <c r="B295" s="377">
        <f>$B$6</f>
        <v>2015</v>
      </c>
      <c r="C295" s="377"/>
      <c r="D295" s="377"/>
      <c r="E295" s="377"/>
      <c r="F295" s="263"/>
      <c r="G295" s="377">
        <f>$G$6</f>
        <v>2020</v>
      </c>
      <c r="H295" s="377"/>
      <c r="I295" s="377"/>
      <c r="J295" s="377"/>
      <c r="K295" s="263"/>
      <c r="L295" s="377">
        <f>$L$6</f>
        <v>2035</v>
      </c>
      <c r="M295" s="377"/>
      <c r="N295" s="377"/>
      <c r="O295" s="377"/>
    </row>
    <row r="296" spans="1:15" s="236" customFormat="1" x14ac:dyDescent="0.2">
      <c r="A296" s="254"/>
      <c r="B296" s="268" t="str">
        <f>$B$7</f>
        <v>FT</v>
      </c>
      <c r="C296" s="268" t="str">
        <f>$C$7</f>
        <v>PT</v>
      </c>
      <c r="D296" s="268" t="str">
        <f>$D$7</f>
        <v>SE</v>
      </c>
      <c r="E296" s="268" t="str">
        <f>$E$7</f>
        <v>Total</v>
      </c>
      <c r="F296" s="268"/>
      <c r="G296" s="268" t="str">
        <f>$G$7</f>
        <v>FT</v>
      </c>
      <c r="H296" s="268" t="str">
        <f>$H$7</f>
        <v>PT</v>
      </c>
      <c r="I296" s="268" t="str">
        <f>$I$7</f>
        <v>SE</v>
      </c>
      <c r="J296" s="268" t="str">
        <f>$J$7</f>
        <v>Total</v>
      </c>
      <c r="K296" s="268"/>
      <c r="L296" s="268" t="str">
        <f>$L$7</f>
        <v>FT</v>
      </c>
      <c r="M296" s="268" t="str">
        <f>$M$7</f>
        <v>PT</v>
      </c>
      <c r="N296" s="268" t="str">
        <f>$N$7</f>
        <v>SE</v>
      </c>
      <c r="O296" s="268" t="str">
        <f>$O$7</f>
        <v>Total</v>
      </c>
    </row>
    <row r="297" spans="1:15" s="236" customFormat="1" x14ac:dyDescent="0.2">
      <c r="A297" s="258"/>
      <c r="B297" s="239"/>
      <c r="C297" s="239"/>
      <c r="D297" s="239"/>
      <c r="E297" s="239"/>
      <c r="F297" s="239"/>
      <c r="G297" s="239"/>
      <c r="H297" s="239"/>
      <c r="I297" s="239"/>
      <c r="J297" s="239"/>
      <c r="K297" s="239"/>
      <c r="L297" s="239"/>
      <c r="M297" s="239"/>
      <c r="N297" s="239"/>
      <c r="O297" s="239"/>
    </row>
    <row r="298" spans="1:15" s="236" customFormat="1" x14ac:dyDescent="0.2">
      <c r="A298" s="237" t="str">
        <f>name!E$4</f>
        <v>Managers, directors and senior officials</v>
      </c>
      <c r="B298" s="302">
        <v>2.8530741018207051</v>
      </c>
      <c r="C298" s="302">
        <v>0.41995877308513307</v>
      </c>
      <c r="D298" s="302">
        <v>0.79958099001278282</v>
      </c>
      <c r="E298" s="302">
        <f>SUM(B298:D298)</f>
        <v>4.0726138649186208</v>
      </c>
      <c r="F298" s="303"/>
      <c r="G298" s="302">
        <v>3.2884544521312717</v>
      </c>
      <c r="H298" s="302">
        <v>0.67544448761384113</v>
      </c>
      <c r="I298" s="302">
        <v>1.0820443669834476</v>
      </c>
      <c r="J298" s="302">
        <f>SUM(G298:I298)</f>
        <v>5.0459433067285602</v>
      </c>
      <c r="K298" s="303"/>
      <c r="L298" s="302">
        <v>3.4009024969003554</v>
      </c>
      <c r="M298" s="302">
        <v>0.72115523017448024</v>
      </c>
      <c r="N298" s="302">
        <v>1.4157830184469131</v>
      </c>
      <c r="O298" s="302">
        <f>SUM(L298:N298)</f>
        <v>5.5378407455217484</v>
      </c>
    </row>
    <row r="299" spans="1:15" s="236" customFormat="1" x14ac:dyDescent="0.2">
      <c r="A299" s="237" t="str">
        <f>name!E$5</f>
        <v>Professional occupations</v>
      </c>
      <c r="B299" s="302">
        <v>3.112675190691363</v>
      </c>
      <c r="C299" s="302">
        <v>0.53040591234495937</v>
      </c>
      <c r="D299" s="302">
        <v>0.32983930213819562</v>
      </c>
      <c r="E299" s="302">
        <f t="shared" ref="E299:E306" si="133">SUM(B299:D299)</f>
        <v>3.9729204051745177</v>
      </c>
      <c r="F299" s="303"/>
      <c r="G299" s="302">
        <v>4.0431135437284205</v>
      </c>
      <c r="H299" s="302">
        <v>0.85302252535268519</v>
      </c>
      <c r="I299" s="302">
        <v>0.41683144268041888</v>
      </c>
      <c r="J299" s="302">
        <f t="shared" ref="J299:J301" si="134">SUM(G299:I299)</f>
        <v>5.3129675117615243</v>
      </c>
      <c r="K299" s="303"/>
      <c r="L299" s="302">
        <v>5.7402251395704438</v>
      </c>
      <c r="M299" s="302">
        <v>1.3077603234237298</v>
      </c>
      <c r="N299" s="302">
        <v>0.38182600930969907</v>
      </c>
      <c r="O299" s="302">
        <f t="shared" ref="O299:O306" si="135">SUM(L299:N299)</f>
        <v>7.4298114723038724</v>
      </c>
    </row>
    <row r="300" spans="1:15" s="236" customFormat="1" x14ac:dyDescent="0.2">
      <c r="A300" s="237" t="str">
        <f>name!E$6</f>
        <v>Associate professional occupations</v>
      </c>
      <c r="B300" s="302">
        <v>3.7164441971885598</v>
      </c>
      <c r="C300" s="302">
        <v>0.84346704980827758</v>
      </c>
      <c r="D300" s="302">
        <v>0.80006571085787681</v>
      </c>
      <c r="E300" s="302">
        <f t="shared" si="133"/>
        <v>5.3599769578547143</v>
      </c>
      <c r="F300" s="303"/>
      <c r="G300" s="302">
        <v>4.2331362085617501</v>
      </c>
      <c r="H300" s="302">
        <v>1.1143904079638864</v>
      </c>
      <c r="I300" s="302">
        <v>0.96929530388227425</v>
      </c>
      <c r="J300" s="302">
        <f t="shared" si="134"/>
        <v>6.3168219204079108</v>
      </c>
      <c r="K300" s="303"/>
      <c r="L300" s="302">
        <v>4.5853805023947736</v>
      </c>
      <c r="M300" s="302">
        <v>1.5617473138522935</v>
      </c>
      <c r="N300" s="302">
        <v>0.9559407974065578</v>
      </c>
      <c r="O300" s="302">
        <f t="shared" si="135"/>
        <v>7.1030686136536252</v>
      </c>
    </row>
    <row r="301" spans="1:15" s="236" customFormat="1" x14ac:dyDescent="0.2">
      <c r="A301" s="237" t="str">
        <f>name!E$7</f>
        <v>Administrative and secretarial occupations</v>
      </c>
      <c r="B301" s="302">
        <v>2.7827041210947909</v>
      </c>
      <c r="C301" s="302">
        <v>1.7818331835311938</v>
      </c>
      <c r="D301" s="302">
        <v>0.17232524158874413</v>
      </c>
      <c r="E301" s="302">
        <f t="shared" si="133"/>
        <v>4.7368625462147289</v>
      </c>
      <c r="F301" s="303"/>
      <c r="G301" s="302">
        <v>2.552537050616182</v>
      </c>
      <c r="H301" s="302">
        <v>1.888790620934111</v>
      </c>
      <c r="I301" s="302">
        <v>0.2101125382483281</v>
      </c>
      <c r="J301" s="302">
        <f t="shared" si="134"/>
        <v>4.6514402097986212</v>
      </c>
      <c r="K301" s="303"/>
      <c r="L301" s="302">
        <v>2.6097818089584197</v>
      </c>
      <c r="M301" s="302">
        <v>2.2474347068706098</v>
      </c>
      <c r="N301" s="302">
        <v>0.20947530609478499</v>
      </c>
      <c r="O301" s="302">
        <f t="shared" si="135"/>
        <v>5.0666918219238148</v>
      </c>
    </row>
    <row r="302" spans="1:15" s="236" customFormat="1" x14ac:dyDescent="0.2">
      <c r="A302" s="237" t="str">
        <f>name!E$8</f>
        <v>Skilled trades occupations</v>
      </c>
      <c r="B302" s="302">
        <v>1.1542915912738414</v>
      </c>
      <c r="C302" s="302">
        <v>0.29710242340764004</v>
      </c>
      <c r="D302" s="302">
        <v>0.31378672039116995</v>
      </c>
      <c r="E302" s="302">
        <f t="shared" si="133"/>
        <v>1.7651807350726514</v>
      </c>
      <c r="F302" s="303"/>
      <c r="G302" s="302">
        <v>1.0312050357196827</v>
      </c>
      <c r="H302" s="302">
        <v>0.24897146684690963</v>
      </c>
      <c r="I302" s="302">
        <v>0.35970191065324525</v>
      </c>
      <c r="J302" s="302">
        <f>SUM(G302:I302)</f>
        <v>1.6398784132198376</v>
      </c>
      <c r="K302" s="303"/>
      <c r="L302" s="302">
        <v>0.9865685611834063</v>
      </c>
      <c r="M302" s="302">
        <v>0.42246842216394587</v>
      </c>
      <c r="N302" s="302">
        <v>0.45300776078232119</v>
      </c>
      <c r="O302" s="302">
        <f t="shared" si="135"/>
        <v>1.8620447441296735</v>
      </c>
    </row>
    <row r="303" spans="1:15" s="236" customFormat="1" x14ac:dyDescent="0.2">
      <c r="A303" s="237" t="str">
        <f>name!E$9</f>
        <v>Caring, leisure and other service occupations</v>
      </c>
      <c r="B303" s="302">
        <v>1.5313621499959151</v>
      </c>
      <c r="C303" s="302">
        <v>1.4285751932322737</v>
      </c>
      <c r="D303" s="302">
        <v>0.38818586108666225</v>
      </c>
      <c r="E303" s="302">
        <f t="shared" si="133"/>
        <v>3.3481232043148514</v>
      </c>
      <c r="F303" s="303"/>
      <c r="G303" s="302">
        <v>1.4572653244510869</v>
      </c>
      <c r="H303" s="302">
        <v>1.5593380312806338</v>
      </c>
      <c r="I303" s="302">
        <v>0.5217464863844905</v>
      </c>
      <c r="J303" s="302">
        <f t="shared" ref="J303:J306" si="136">SUM(G303:I303)</f>
        <v>3.5383498421162107</v>
      </c>
      <c r="K303" s="303"/>
      <c r="L303" s="302">
        <v>1.8515249058850662</v>
      </c>
      <c r="M303" s="302">
        <v>1.8863110640392293</v>
      </c>
      <c r="N303" s="302">
        <v>0.6850237260851052</v>
      </c>
      <c r="O303" s="302">
        <f t="shared" si="135"/>
        <v>4.4228596960094011</v>
      </c>
    </row>
    <row r="304" spans="1:15" s="236" customFormat="1" x14ac:dyDescent="0.2">
      <c r="A304" s="237" t="str">
        <f>name!E$10</f>
        <v>Sales and customer service occupations</v>
      </c>
      <c r="B304" s="302">
        <v>1.2538298471972749</v>
      </c>
      <c r="C304" s="302">
        <v>0.98005887829760785</v>
      </c>
      <c r="D304" s="302">
        <v>0.23274166269021795</v>
      </c>
      <c r="E304" s="302">
        <f t="shared" si="133"/>
        <v>2.4666303881851008</v>
      </c>
      <c r="F304" s="303"/>
      <c r="G304" s="302">
        <v>1.1614809432208459</v>
      </c>
      <c r="H304" s="302">
        <v>1.1355535699233261</v>
      </c>
      <c r="I304" s="302">
        <v>0.23867995002135489</v>
      </c>
      <c r="J304" s="302">
        <f t="shared" si="136"/>
        <v>2.5357144631655268</v>
      </c>
      <c r="K304" s="303"/>
      <c r="L304" s="302">
        <v>1.2773167273853239</v>
      </c>
      <c r="M304" s="302">
        <v>1.6638082323814345</v>
      </c>
      <c r="N304" s="302">
        <v>0.2140975988033991</v>
      </c>
      <c r="O304" s="302">
        <f t="shared" si="135"/>
        <v>3.1552225585701574</v>
      </c>
    </row>
    <row r="305" spans="1:15" s="236" customFormat="1" x14ac:dyDescent="0.2">
      <c r="A305" s="237" t="str">
        <f>name!E$11</f>
        <v>Process, plant and machine operatives</v>
      </c>
      <c r="B305" s="302">
        <v>1.4515947457156564</v>
      </c>
      <c r="C305" s="302">
        <v>0.54267041875452471</v>
      </c>
      <c r="D305" s="302">
        <v>3.9609856757788428E-2</v>
      </c>
      <c r="E305" s="302">
        <f t="shared" si="133"/>
        <v>2.0338750212279693</v>
      </c>
      <c r="F305" s="303"/>
      <c r="G305" s="302">
        <v>1.2467007654801492</v>
      </c>
      <c r="H305" s="302">
        <v>0.68844058225054938</v>
      </c>
      <c r="I305" s="302">
        <v>5.8056120346633065E-2</v>
      </c>
      <c r="J305" s="302">
        <f t="shared" si="136"/>
        <v>1.9931974680773317</v>
      </c>
      <c r="K305" s="303"/>
      <c r="L305" s="302">
        <v>1.1550291327075468</v>
      </c>
      <c r="M305" s="302">
        <v>0.72967450454836147</v>
      </c>
      <c r="N305" s="302">
        <v>5.4548259312637369E-2</v>
      </c>
      <c r="O305" s="302">
        <f t="shared" si="135"/>
        <v>1.9392518965685457</v>
      </c>
    </row>
    <row r="306" spans="1:15" s="236" customFormat="1" x14ac:dyDescent="0.2">
      <c r="A306" s="237" t="str">
        <f>name!E$12</f>
        <v>Elementary occupations</v>
      </c>
      <c r="B306" s="302">
        <v>6.4985448806928376</v>
      </c>
      <c r="C306" s="302">
        <v>4.8983631480281886</v>
      </c>
      <c r="D306" s="302">
        <v>0.67490884831582565</v>
      </c>
      <c r="E306" s="302">
        <f t="shared" si="133"/>
        <v>12.07181687703685</v>
      </c>
      <c r="F306" s="303"/>
      <c r="G306" s="302">
        <v>5.4584228536504069</v>
      </c>
      <c r="H306" s="302">
        <v>4.4600146425048797</v>
      </c>
      <c r="I306" s="302">
        <v>0.62224936856920865</v>
      </c>
      <c r="J306" s="302">
        <f t="shared" si="136"/>
        <v>10.540686864724496</v>
      </c>
      <c r="K306" s="303"/>
      <c r="L306" s="302">
        <v>6.7847767491705984</v>
      </c>
      <c r="M306" s="302">
        <v>3.4337959447853446</v>
      </c>
      <c r="N306" s="302">
        <v>0.70663575736323425</v>
      </c>
      <c r="O306" s="302">
        <f t="shared" si="135"/>
        <v>10.925208451319177</v>
      </c>
    </row>
    <row r="307" spans="1:15" s="236" customFormat="1" x14ac:dyDescent="0.2">
      <c r="A307" s="237"/>
      <c r="B307" s="302"/>
      <c r="C307" s="302"/>
      <c r="D307" s="302"/>
      <c r="E307" s="302"/>
      <c r="F307" s="303"/>
      <c r="G307" s="302"/>
      <c r="H307" s="302"/>
      <c r="I307" s="302"/>
      <c r="J307" s="302"/>
      <c r="K307" s="303"/>
      <c r="L307" s="302"/>
      <c r="M307" s="302"/>
      <c r="N307" s="302"/>
      <c r="O307" s="302"/>
    </row>
    <row r="308" spans="1:15" s="236" customFormat="1" x14ac:dyDescent="0.2">
      <c r="A308" s="244" t="s">
        <v>33</v>
      </c>
      <c r="B308" s="311">
        <f>SUM(B298:B306)</f>
        <v>24.354520825670942</v>
      </c>
      <c r="C308" s="311">
        <f t="shared" ref="C308:E308" si="137">SUM(C298:C306)</f>
        <v>11.722434980489799</v>
      </c>
      <c r="D308" s="311">
        <f t="shared" si="137"/>
        <v>3.7510441938392631</v>
      </c>
      <c r="E308" s="311">
        <f t="shared" si="137"/>
        <v>39.82800000000001</v>
      </c>
      <c r="F308" s="311"/>
      <c r="G308" s="311">
        <f t="shared" ref="G308:J308" si="138">SUM(G298:G306)</f>
        <v>24.472316177559797</v>
      </c>
      <c r="H308" s="311">
        <f t="shared" si="138"/>
        <v>12.623966334670822</v>
      </c>
      <c r="I308" s="311">
        <f t="shared" si="138"/>
        <v>4.4787174877694014</v>
      </c>
      <c r="J308" s="311">
        <f t="shared" si="138"/>
        <v>41.575000000000017</v>
      </c>
      <c r="K308" s="311"/>
      <c r="L308" s="311">
        <f t="shared" ref="L308:O308" si="139">SUM(L298:L306)</f>
        <v>28.391506024155937</v>
      </c>
      <c r="M308" s="311">
        <f t="shared" si="139"/>
        <v>13.974155742239429</v>
      </c>
      <c r="N308" s="311">
        <f t="shared" si="139"/>
        <v>5.0763382336046519</v>
      </c>
      <c r="O308" s="311">
        <f t="shared" si="139"/>
        <v>47.442000000000014</v>
      </c>
    </row>
    <row r="309" spans="1:15" s="236" customFormat="1" x14ac:dyDescent="0.2">
      <c r="A309" s="237"/>
      <c r="B309" s="237"/>
      <c r="C309" s="237"/>
      <c r="D309" s="237"/>
      <c r="E309" s="237"/>
      <c r="F309" s="237"/>
      <c r="G309" s="237"/>
      <c r="H309" s="237"/>
      <c r="I309" s="237"/>
      <c r="J309" s="237"/>
      <c r="K309" s="237"/>
      <c r="L309" s="237"/>
      <c r="M309" s="237"/>
      <c r="N309" s="240"/>
    </row>
    <row r="310" spans="1:15" s="236" customFormat="1" x14ac:dyDescent="0.2">
      <c r="A310" s="237"/>
      <c r="B310" s="237"/>
      <c r="C310" s="237"/>
      <c r="D310" s="237"/>
      <c r="E310" s="237"/>
      <c r="F310" s="237"/>
      <c r="G310" s="237"/>
      <c r="H310" s="237"/>
      <c r="I310" s="237"/>
      <c r="J310" s="237"/>
      <c r="K310" s="237"/>
      <c r="L310" s="237"/>
      <c r="M310" s="237"/>
      <c r="N310" s="240"/>
      <c r="O310" s="251" t="s">
        <v>36</v>
      </c>
    </row>
    <row r="311" spans="1:15" s="236" customFormat="1" x14ac:dyDescent="0.2">
      <c r="A311" s="242"/>
      <c r="B311" s="242"/>
      <c r="C311" s="242"/>
      <c r="D311" s="242"/>
      <c r="E311" s="242"/>
      <c r="F311" s="242"/>
      <c r="G311" s="242"/>
      <c r="H311" s="242"/>
      <c r="I311" s="242"/>
      <c r="J311" s="242"/>
      <c r="K311" s="242"/>
      <c r="L311" s="242"/>
      <c r="M311" s="242"/>
      <c r="N311" s="242"/>
      <c r="O311" s="242"/>
    </row>
    <row r="312" spans="1:15" s="236" customFormat="1" x14ac:dyDescent="0.2">
      <c r="A312" s="241" t="str">
        <f>name!B21</f>
        <v>Public admin. and defence</v>
      </c>
      <c r="B312" s="377">
        <f>$B$6</f>
        <v>2015</v>
      </c>
      <c r="C312" s="377"/>
      <c r="D312" s="377"/>
      <c r="E312" s="377"/>
      <c r="F312" s="263"/>
      <c r="G312" s="377">
        <f>$G$6</f>
        <v>2020</v>
      </c>
      <c r="H312" s="377"/>
      <c r="I312" s="377"/>
      <c r="J312" s="377"/>
      <c r="K312" s="263"/>
      <c r="L312" s="377">
        <f>$L$6</f>
        <v>2035</v>
      </c>
      <c r="M312" s="377"/>
      <c r="N312" s="377"/>
      <c r="O312" s="377"/>
    </row>
    <row r="313" spans="1:15" s="236" customFormat="1" x14ac:dyDescent="0.2">
      <c r="A313" s="254"/>
      <c r="B313" s="268" t="str">
        <f>$B$7</f>
        <v>FT</v>
      </c>
      <c r="C313" s="268" t="str">
        <f>$C$7</f>
        <v>PT</v>
      </c>
      <c r="D313" s="268" t="str">
        <f>$D$7</f>
        <v>SE</v>
      </c>
      <c r="E313" s="268" t="str">
        <f>$E$7</f>
        <v>Total</v>
      </c>
      <c r="F313" s="268"/>
      <c r="G313" s="268" t="str">
        <f>$G$7</f>
        <v>FT</v>
      </c>
      <c r="H313" s="268" t="str">
        <f>$H$7</f>
        <v>PT</v>
      </c>
      <c r="I313" s="268" t="str">
        <f>$I$7</f>
        <v>SE</v>
      </c>
      <c r="J313" s="268" t="str">
        <f>$J$7</f>
        <v>Total</v>
      </c>
      <c r="K313" s="268"/>
      <c r="L313" s="268" t="str">
        <f>$L$7</f>
        <v>FT</v>
      </c>
      <c r="M313" s="268" t="str">
        <f>$M$7</f>
        <v>PT</v>
      </c>
      <c r="N313" s="268" t="str">
        <f>$N$7</f>
        <v>SE</v>
      </c>
      <c r="O313" s="268" t="str">
        <f>$O$7</f>
        <v>Total</v>
      </c>
    </row>
    <row r="314" spans="1:15" s="236" customFormat="1" x14ac:dyDescent="0.2">
      <c r="A314" s="258"/>
      <c r="B314" s="239"/>
      <c r="C314" s="239"/>
      <c r="D314" s="239"/>
      <c r="E314" s="239"/>
      <c r="F314" s="239"/>
      <c r="G314" s="239"/>
      <c r="H314" s="239"/>
      <c r="I314" s="239"/>
      <c r="J314" s="239"/>
      <c r="K314" s="239"/>
      <c r="L314" s="239"/>
      <c r="M314" s="239"/>
      <c r="N314" s="239"/>
      <c r="O314" s="239"/>
    </row>
    <row r="315" spans="1:15" s="236" customFormat="1" x14ac:dyDescent="0.2">
      <c r="A315" s="237" t="str">
        <f>name!E$4</f>
        <v>Managers, directors and senior officials</v>
      </c>
      <c r="B315" s="302">
        <v>1.0571289309878689</v>
      </c>
      <c r="C315" s="302">
        <v>0.35506718167971824</v>
      </c>
      <c r="D315" s="302">
        <v>4.1143029440325288E-2</v>
      </c>
      <c r="E315" s="302">
        <f>SUM(B315:D315)</f>
        <v>1.4533391421079123</v>
      </c>
      <c r="F315" s="303"/>
      <c r="G315" s="302">
        <v>1.0986942178070365</v>
      </c>
      <c r="H315" s="302">
        <v>0.46095029820123906</v>
      </c>
      <c r="I315" s="302">
        <v>6.4379393633168996E-2</v>
      </c>
      <c r="J315" s="302">
        <f>SUM(G315:I315)</f>
        <v>1.6240239096414444</v>
      </c>
      <c r="K315" s="303"/>
      <c r="L315" s="302">
        <v>1.100937039051139</v>
      </c>
      <c r="M315" s="302">
        <v>0.58711740827032621</v>
      </c>
      <c r="N315" s="302">
        <v>7.5274761656892106E-2</v>
      </c>
      <c r="O315" s="302">
        <f>SUM(L315:N315)</f>
        <v>1.7633292089783574</v>
      </c>
    </row>
    <row r="316" spans="1:15" s="236" customFormat="1" x14ac:dyDescent="0.2">
      <c r="A316" s="237" t="str">
        <f>name!E$5</f>
        <v>Professional occupations</v>
      </c>
      <c r="B316" s="302">
        <v>2.4261087742846312</v>
      </c>
      <c r="C316" s="302">
        <v>1.0898908658174198</v>
      </c>
      <c r="D316" s="302">
        <v>0.17282858407229576</v>
      </c>
      <c r="E316" s="302">
        <f t="shared" ref="E316:E323" si="140">SUM(B316:D316)</f>
        <v>3.6888282241743471</v>
      </c>
      <c r="F316" s="303"/>
      <c r="G316" s="302">
        <v>2.9016305752312639</v>
      </c>
      <c r="H316" s="302">
        <v>1.310578315547261</v>
      </c>
      <c r="I316" s="302">
        <v>0.23674271036381039</v>
      </c>
      <c r="J316" s="302">
        <f t="shared" ref="J316:J318" si="141">SUM(G316:I316)</f>
        <v>4.4489516011423351</v>
      </c>
      <c r="K316" s="303"/>
      <c r="L316" s="302">
        <v>3.6401514051383694</v>
      </c>
      <c r="M316" s="302">
        <v>1.7711150151094617</v>
      </c>
      <c r="N316" s="302">
        <v>0.21045816581922186</v>
      </c>
      <c r="O316" s="302">
        <f t="shared" ref="O316:O323" si="142">SUM(L316:N316)</f>
        <v>5.6217245860670522</v>
      </c>
    </row>
    <row r="317" spans="1:15" s="236" customFormat="1" x14ac:dyDescent="0.2">
      <c r="A317" s="237" t="str">
        <f>name!E$6</f>
        <v>Associate professional occupations</v>
      </c>
      <c r="B317" s="302">
        <v>4.8360736938307127</v>
      </c>
      <c r="C317" s="302">
        <v>1.1828551083566003</v>
      </c>
      <c r="D317" s="302">
        <v>4.1806994505540415E-2</v>
      </c>
      <c r="E317" s="302">
        <f t="shared" si="140"/>
        <v>6.0607357966928532</v>
      </c>
      <c r="F317" s="303"/>
      <c r="G317" s="302">
        <v>5.0034328483045289</v>
      </c>
      <c r="H317" s="302">
        <v>1.1419367961877984</v>
      </c>
      <c r="I317" s="302">
        <v>8.2713747345359356E-2</v>
      </c>
      <c r="J317" s="302">
        <f t="shared" si="141"/>
        <v>6.2280833918376866</v>
      </c>
      <c r="K317" s="303"/>
      <c r="L317" s="302">
        <v>5.0515963431765538</v>
      </c>
      <c r="M317" s="302">
        <v>1.3989046691345652</v>
      </c>
      <c r="N317" s="302">
        <v>8.1227731653199395E-2</v>
      </c>
      <c r="O317" s="302">
        <f t="shared" si="142"/>
        <v>6.5317287439643188</v>
      </c>
    </row>
    <row r="318" spans="1:15" s="236" customFormat="1" x14ac:dyDescent="0.2">
      <c r="A318" s="237" t="str">
        <f>name!E$7</f>
        <v>Administrative and secretarial occupations</v>
      </c>
      <c r="B318" s="302">
        <v>1.7781984836394924</v>
      </c>
      <c r="C318" s="302">
        <v>2.3440461215306101</v>
      </c>
      <c r="D318" s="302">
        <v>9.6323521860625268E-3</v>
      </c>
      <c r="E318" s="302">
        <f t="shared" si="140"/>
        <v>4.1318769573561651</v>
      </c>
      <c r="F318" s="303"/>
      <c r="G318" s="302">
        <v>1.5765439024935908</v>
      </c>
      <c r="H318" s="302">
        <v>2.007800915206734</v>
      </c>
      <c r="I318" s="302">
        <v>2.8455245907338281E-2</v>
      </c>
      <c r="J318" s="302">
        <f t="shared" si="141"/>
        <v>3.6128000636076631</v>
      </c>
      <c r="K318" s="303"/>
      <c r="L318" s="302">
        <v>1.1105046161541063</v>
      </c>
      <c r="M318" s="302">
        <v>1.740652287997134</v>
      </c>
      <c r="N318" s="302">
        <v>1.1681313593206575E-2</v>
      </c>
      <c r="O318" s="302">
        <f t="shared" si="142"/>
        <v>2.8628382177444474</v>
      </c>
    </row>
    <row r="319" spans="1:15" s="236" customFormat="1" x14ac:dyDescent="0.2">
      <c r="A319" s="237" t="str">
        <f>name!E$8</f>
        <v>Skilled trades occupations</v>
      </c>
      <c r="B319" s="302">
        <v>0.11014742379069731</v>
      </c>
      <c r="C319" s="302">
        <v>2.6443759551185549E-2</v>
      </c>
      <c r="D319" s="302">
        <v>1.7353028178771244E-2</v>
      </c>
      <c r="E319" s="302">
        <f t="shared" si="140"/>
        <v>0.1539442115206541</v>
      </c>
      <c r="F319" s="303"/>
      <c r="G319" s="302">
        <v>8.5616277497949131E-2</v>
      </c>
      <c r="H319" s="302">
        <v>2.1778603257085017E-2</v>
      </c>
      <c r="I319" s="302">
        <v>9.2516192381236241E-3</v>
      </c>
      <c r="J319" s="302">
        <f>SUM(G319:I319)</f>
        <v>0.11664649999315777</v>
      </c>
      <c r="K319" s="303"/>
      <c r="L319" s="302">
        <v>8.9450152138195363E-2</v>
      </c>
      <c r="M319" s="302">
        <v>4.8011908586328374E-2</v>
      </c>
      <c r="N319" s="302">
        <v>1.3280026563684735E-2</v>
      </c>
      <c r="O319" s="302">
        <f t="shared" si="142"/>
        <v>0.15074208728820848</v>
      </c>
    </row>
    <row r="320" spans="1:15" s="236" customFormat="1" x14ac:dyDescent="0.2">
      <c r="A320" s="237" t="str">
        <f>name!E$9</f>
        <v>Caring, leisure and other service occupations</v>
      </c>
      <c r="B320" s="302">
        <v>0.52774230194161109</v>
      </c>
      <c r="C320" s="302">
        <v>0.57999156161176024</v>
      </c>
      <c r="D320" s="302">
        <v>6.7871211533847313E-3</v>
      </c>
      <c r="E320" s="302">
        <f t="shared" si="140"/>
        <v>1.1145209847067561</v>
      </c>
      <c r="F320" s="303"/>
      <c r="G320" s="302">
        <v>0.47617998575154341</v>
      </c>
      <c r="H320" s="302">
        <v>0.50879322875160227</v>
      </c>
      <c r="I320" s="302">
        <v>4.8132153397386364E-2</v>
      </c>
      <c r="J320" s="302">
        <f t="shared" ref="J320:J323" si="143">SUM(G320:I320)</f>
        <v>1.033105367900532</v>
      </c>
      <c r="K320" s="303"/>
      <c r="L320" s="302">
        <v>0.55259223285495307</v>
      </c>
      <c r="M320" s="302">
        <v>0.50008253449698381</v>
      </c>
      <c r="N320" s="302">
        <v>4.4131066056755222E-2</v>
      </c>
      <c r="O320" s="302">
        <f t="shared" si="142"/>
        <v>1.0968058334086921</v>
      </c>
    </row>
    <row r="321" spans="1:15" s="236" customFormat="1" x14ac:dyDescent="0.2">
      <c r="A321" s="237" t="str">
        <f>name!E$10</f>
        <v>Sales and customer service occupations</v>
      </c>
      <c r="B321" s="302">
        <v>0.17888144888370028</v>
      </c>
      <c r="C321" s="302">
        <v>0.21282708289787478</v>
      </c>
      <c r="D321" s="302">
        <v>5.5192056654908622E-3</v>
      </c>
      <c r="E321" s="302">
        <f t="shared" si="140"/>
        <v>0.39722773744706591</v>
      </c>
      <c r="F321" s="303"/>
      <c r="G321" s="302">
        <v>0.16221681366531288</v>
      </c>
      <c r="H321" s="302">
        <v>0.2036780906459314</v>
      </c>
      <c r="I321" s="302">
        <v>1.1689252403194695E-2</v>
      </c>
      <c r="J321" s="302">
        <f t="shared" si="143"/>
        <v>0.37758415671443896</v>
      </c>
      <c r="K321" s="303"/>
      <c r="L321" s="302">
        <v>0.16911860593904959</v>
      </c>
      <c r="M321" s="302">
        <v>0.22862544039524113</v>
      </c>
      <c r="N321" s="302">
        <v>1.1578527608026978E-2</v>
      </c>
      <c r="O321" s="302">
        <f t="shared" si="142"/>
        <v>0.40932257394231769</v>
      </c>
    </row>
    <row r="322" spans="1:15" s="236" customFormat="1" x14ac:dyDescent="0.2">
      <c r="A322" s="237" t="str">
        <f>name!E$11</f>
        <v>Process, plant and machine operatives</v>
      </c>
      <c r="B322" s="302">
        <v>3.6471212641279449E-2</v>
      </c>
      <c r="C322" s="302">
        <v>5.3245060260404875E-2</v>
      </c>
      <c r="D322" s="302">
        <v>2.0118602376410911E-3</v>
      </c>
      <c r="E322" s="302">
        <f t="shared" si="140"/>
        <v>9.1728133139325416E-2</v>
      </c>
      <c r="F322" s="303"/>
      <c r="G322" s="302">
        <v>2.56568530670746E-2</v>
      </c>
      <c r="H322" s="302">
        <v>3.7786302857436151E-2</v>
      </c>
      <c r="I322" s="302">
        <v>7.8763043874802603E-3</v>
      </c>
      <c r="J322" s="302">
        <f t="shared" si="143"/>
        <v>7.1319460311991004E-2</v>
      </c>
      <c r="K322" s="303"/>
      <c r="L322" s="302">
        <v>1.8059936169593192E-2</v>
      </c>
      <c r="M322" s="302">
        <v>5.4553628323477481E-2</v>
      </c>
      <c r="N322" s="302">
        <v>2.3266628119582213E-2</v>
      </c>
      <c r="O322" s="302">
        <f t="shared" si="142"/>
        <v>9.588019261265289E-2</v>
      </c>
    </row>
    <row r="323" spans="1:15" s="236" customFormat="1" x14ac:dyDescent="0.2">
      <c r="A323" s="237" t="str">
        <f>name!E$12</f>
        <v>Elementary occupations</v>
      </c>
      <c r="B323" s="302">
        <v>0.31641779317993185</v>
      </c>
      <c r="C323" s="302">
        <v>0.29863883541092634</v>
      </c>
      <c r="D323" s="302">
        <v>2.7421842640730377E-3</v>
      </c>
      <c r="E323" s="302">
        <f t="shared" si="140"/>
        <v>0.61779881285493121</v>
      </c>
      <c r="F323" s="303"/>
      <c r="G323" s="302">
        <v>0.24058812179728212</v>
      </c>
      <c r="H323" s="302">
        <v>0.20774359515475851</v>
      </c>
      <c r="I323" s="302">
        <v>9.0153831898722794E-2</v>
      </c>
      <c r="J323" s="302">
        <f t="shared" si="143"/>
        <v>0.5384855488507635</v>
      </c>
      <c r="K323" s="303"/>
      <c r="L323" s="302">
        <v>0.23679640125748713</v>
      </c>
      <c r="M323" s="302">
        <v>0.167018646798543</v>
      </c>
      <c r="N323" s="302">
        <v>0.15481350793793069</v>
      </c>
      <c r="O323" s="302">
        <f t="shared" si="142"/>
        <v>0.55862855599396077</v>
      </c>
    </row>
    <row r="324" spans="1:15" s="236" customFormat="1" x14ac:dyDescent="0.2">
      <c r="A324" s="237"/>
      <c r="B324" s="302"/>
      <c r="C324" s="302"/>
      <c r="D324" s="302"/>
      <c r="E324" s="302"/>
      <c r="F324" s="303"/>
      <c r="G324" s="302"/>
      <c r="H324" s="302"/>
      <c r="I324" s="302"/>
      <c r="J324" s="302"/>
      <c r="K324" s="303"/>
      <c r="L324" s="302"/>
      <c r="M324" s="302"/>
      <c r="N324" s="302"/>
      <c r="O324" s="302"/>
    </row>
    <row r="325" spans="1:15" s="236" customFormat="1" x14ac:dyDescent="0.2">
      <c r="A325" s="244" t="s">
        <v>33</v>
      </c>
      <c r="B325" s="311">
        <f>SUM(B315:B323)</f>
        <v>11.267170063179927</v>
      </c>
      <c r="C325" s="311">
        <f t="shared" ref="C325:E325" si="144">SUM(C315:C323)</f>
        <v>6.1430055771165017</v>
      </c>
      <c r="D325" s="311">
        <f t="shared" si="144"/>
        <v>0.29982435970358501</v>
      </c>
      <c r="E325" s="311">
        <f t="shared" si="144"/>
        <v>17.710000000000012</v>
      </c>
      <c r="F325" s="311"/>
      <c r="G325" s="311">
        <f t="shared" ref="G325:J325" si="145">SUM(G315:G323)</f>
        <v>11.570559595615583</v>
      </c>
      <c r="H325" s="311">
        <f t="shared" si="145"/>
        <v>5.901046145809846</v>
      </c>
      <c r="I325" s="311">
        <f t="shared" si="145"/>
        <v>0.57939425857458471</v>
      </c>
      <c r="J325" s="311">
        <f t="shared" si="145"/>
        <v>18.051000000000009</v>
      </c>
      <c r="K325" s="311"/>
      <c r="L325" s="311">
        <f t="shared" ref="L325:O325" si="146">SUM(L315:L323)</f>
        <v>11.969206731879448</v>
      </c>
      <c r="M325" s="311">
        <f t="shared" si="146"/>
        <v>6.4960815391120601</v>
      </c>
      <c r="N325" s="311">
        <f t="shared" si="146"/>
        <v>0.6257117290084997</v>
      </c>
      <c r="O325" s="311">
        <f t="shared" si="146"/>
        <v>19.091000000000008</v>
      </c>
    </row>
    <row r="326" spans="1:15" s="236" customFormat="1" x14ac:dyDescent="0.2">
      <c r="A326" s="237"/>
      <c r="B326" s="237"/>
      <c r="C326" s="237"/>
      <c r="D326" s="237"/>
      <c r="E326" s="237"/>
      <c r="F326" s="237"/>
      <c r="G326" s="237"/>
      <c r="H326" s="237"/>
      <c r="I326" s="237"/>
      <c r="J326" s="237"/>
      <c r="K326" s="237"/>
      <c r="L326" s="237"/>
      <c r="M326" s="237"/>
      <c r="N326" s="240"/>
    </row>
    <row r="327" spans="1:15" s="236" customFormat="1" x14ac:dyDescent="0.2">
      <c r="A327" s="237"/>
      <c r="B327" s="237"/>
      <c r="C327" s="237"/>
      <c r="D327" s="237"/>
      <c r="E327" s="237"/>
      <c r="F327" s="237"/>
      <c r="G327" s="237"/>
      <c r="H327" s="237"/>
      <c r="I327" s="237"/>
      <c r="J327" s="237"/>
      <c r="K327" s="237"/>
      <c r="L327" s="237"/>
      <c r="M327" s="237"/>
      <c r="N327" s="240"/>
      <c r="O327" s="251" t="s">
        <v>36</v>
      </c>
    </row>
    <row r="328" spans="1:15" s="236" customFormat="1" x14ac:dyDescent="0.2">
      <c r="A328" s="242"/>
      <c r="B328" s="242"/>
      <c r="C328" s="242"/>
      <c r="D328" s="242"/>
      <c r="E328" s="242"/>
      <c r="F328" s="242"/>
      <c r="G328" s="242"/>
      <c r="H328" s="242"/>
      <c r="I328" s="242"/>
      <c r="J328" s="242"/>
      <c r="K328" s="242"/>
      <c r="L328" s="242"/>
      <c r="M328" s="242"/>
      <c r="N328" s="242"/>
      <c r="O328" s="242"/>
    </row>
    <row r="329" spans="1:15" s="236" customFormat="1" x14ac:dyDescent="0.2">
      <c r="A329" s="241" t="str">
        <f>name!B22</f>
        <v>Education</v>
      </c>
      <c r="B329" s="377">
        <f>$B$6</f>
        <v>2015</v>
      </c>
      <c r="C329" s="377"/>
      <c r="D329" s="377"/>
      <c r="E329" s="377"/>
      <c r="F329" s="263"/>
      <c r="G329" s="377">
        <f>$G$6</f>
        <v>2020</v>
      </c>
      <c r="H329" s="377"/>
      <c r="I329" s="377"/>
      <c r="J329" s="377"/>
      <c r="K329" s="263"/>
      <c r="L329" s="377">
        <f>$L$6</f>
        <v>2035</v>
      </c>
      <c r="M329" s="377"/>
      <c r="N329" s="377"/>
      <c r="O329" s="377"/>
    </row>
    <row r="330" spans="1:15" s="236" customFormat="1" x14ac:dyDescent="0.2">
      <c r="A330" s="254"/>
      <c r="B330" s="268" t="str">
        <f>$B$7</f>
        <v>FT</v>
      </c>
      <c r="C330" s="268" t="str">
        <f>$C$7</f>
        <v>PT</v>
      </c>
      <c r="D330" s="268" t="str">
        <f>$D$7</f>
        <v>SE</v>
      </c>
      <c r="E330" s="268" t="str">
        <f>$E$7</f>
        <v>Total</v>
      </c>
      <c r="F330" s="268"/>
      <c r="G330" s="268" t="str">
        <f>$G$7</f>
        <v>FT</v>
      </c>
      <c r="H330" s="268" t="str">
        <f>$H$7</f>
        <v>PT</v>
      </c>
      <c r="I330" s="268" t="str">
        <f>$I$7</f>
        <v>SE</v>
      </c>
      <c r="J330" s="268" t="str">
        <f>$J$7</f>
        <v>Total</v>
      </c>
      <c r="K330" s="268"/>
      <c r="L330" s="268" t="str">
        <f>$L$7</f>
        <v>FT</v>
      </c>
      <c r="M330" s="268" t="str">
        <f>$M$7</f>
        <v>PT</v>
      </c>
      <c r="N330" s="268" t="str">
        <f>$N$7</f>
        <v>SE</v>
      </c>
      <c r="O330" s="268" t="str">
        <f>$O$7</f>
        <v>Total</v>
      </c>
    </row>
    <row r="331" spans="1:15" s="236" customFormat="1" x14ac:dyDescent="0.2">
      <c r="A331" s="258"/>
      <c r="B331" s="239"/>
      <c r="C331" s="239"/>
      <c r="D331" s="239"/>
      <c r="E331" s="239"/>
      <c r="F331" s="239"/>
      <c r="G331" s="239"/>
      <c r="H331" s="239"/>
      <c r="I331" s="239"/>
      <c r="J331" s="239"/>
      <c r="K331" s="239"/>
      <c r="L331" s="239"/>
      <c r="M331" s="239"/>
      <c r="N331" s="239"/>
      <c r="O331" s="239"/>
    </row>
    <row r="332" spans="1:15" s="236" customFormat="1" x14ac:dyDescent="0.2">
      <c r="A332" s="237" t="str">
        <f>name!E$4</f>
        <v>Managers, directors and senior officials</v>
      </c>
      <c r="B332" s="302">
        <v>0.6343960405364194</v>
      </c>
      <c r="C332" s="302">
        <v>0.2454682590244939</v>
      </c>
      <c r="D332" s="302">
        <v>0.34064150024290368</v>
      </c>
      <c r="E332" s="302">
        <f>SUM(B332:D332)</f>
        <v>1.2205057998038169</v>
      </c>
      <c r="F332" s="303"/>
      <c r="G332" s="302">
        <v>0.56068185288442485</v>
      </c>
      <c r="H332" s="302">
        <v>0.33749009763922927</v>
      </c>
      <c r="I332" s="302">
        <v>0.42461050828681662</v>
      </c>
      <c r="J332" s="302">
        <f>SUM(G332:I332)</f>
        <v>1.3227824588104706</v>
      </c>
      <c r="K332" s="303"/>
      <c r="L332" s="302">
        <v>0.48796843797409517</v>
      </c>
      <c r="M332" s="302">
        <v>0.39685246892304549</v>
      </c>
      <c r="N332" s="302">
        <v>0.50937029135931133</v>
      </c>
      <c r="O332" s="302">
        <f>SUM(L332:N332)</f>
        <v>1.3941911982564519</v>
      </c>
    </row>
    <row r="333" spans="1:15" s="236" customFormat="1" x14ac:dyDescent="0.2">
      <c r="A333" s="237" t="str">
        <f>name!E$5</f>
        <v>Professional occupations</v>
      </c>
      <c r="B333" s="302">
        <v>11.872977043044317</v>
      </c>
      <c r="C333" s="302">
        <v>5.4128566637642512</v>
      </c>
      <c r="D333" s="302">
        <v>1.4746208436874293</v>
      </c>
      <c r="E333" s="302">
        <f t="shared" ref="E333:E340" si="147">SUM(B333:D333)</f>
        <v>18.760454550495997</v>
      </c>
      <c r="F333" s="303"/>
      <c r="G333" s="302">
        <v>11.078028775783157</v>
      </c>
      <c r="H333" s="302">
        <v>6.2456930988100154</v>
      </c>
      <c r="I333" s="302">
        <v>2.04304359340103</v>
      </c>
      <c r="J333" s="302">
        <f t="shared" ref="J333:J335" si="148">SUM(G333:I333)</f>
        <v>19.366765467994203</v>
      </c>
      <c r="K333" s="303"/>
      <c r="L333" s="302">
        <v>10.663320200774352</v>
      </c>
      <c r="M333" s="302">
        <v>6.8169187560239228</v>
      </c>
      <c r="N333" s="302">
        <v>2.0199953015802263</v>
      </c>
      <c r="O333" s="302">
        <f t="shared" ref="O333:O340" si="149">SUM(L333:N333)</f>
        <v>19.500234258378502</v>
      </c>
    </row>
    <row r="334" spans="1:15" s="236" customFormat="1" x14ac:dyDescent="0.2">
      <c r="A334" s="237" t="str">
        <f>name!E$6</f>
        <v>Associate professional occupations</v>
      </c>
      <c r="B334" s="302">
        <v>1.5641910472453693</v>
      </c>
      <c r="C334" s="302">
        <v>1.3674029773541354</v>
      </c>
      <c r="D334" s="302">
        <v>0.76325863403118799</v>
      </c>
      <c r="E334" s="302">
        <f t="shared" si="147"/>
        <v>3.6948526586306927</v>
      </c>
      <c r="F334" s="303"/>
      <c r="G334" s="302">
        <v>1.4623281600805003</v>
      </c>
      <c r="H334" s="302">
        <v>1.5680101703661982</v>
      </c>
      <c r="I334" s="302">
        <v>0.72996113426572129</v>
      </c>
      <c r="J334" s="302">
        <f t="shared" si="148"/>
        <v>3.7602994647124195</v>
      </c>
      <c r="K334" s="303"/>
      <c r="L334" s="302">
        <v>1.8211181935309992</v>
      </c>
      <c r="M334" s="302">
        <v>2.0857934368806847</v>
      </c>
      <c r="N334" s="302">
        <v>0.72203472991834061</v>
      </c>
      <c r="O334" s="302">
        <f t="shared" si="149"/>
        <v>4.6289463603300245</v>
      </c>
    </row>
    <row r="335" spans="1:15" s="236" customFormat="1" x14ac:dyDescent="0.2">
      <c r="A335" s="237" t="str">
        <f>name!E$7</f>
        <v>Administrative and secretarial occupations</v>
      </c>
      <c r="B335" s="302">
        <v>0.9292903157854675</v>
      </c>
      <c r="C335" s="302">
        <v>1.769501370830153</v>
      </c>
      <c r="D335" s="302">
        <v>0.14032771255584764</v>
      </c>
      <c r="E335" s="302">
        <f t="shared" si="147"/>
        <v>2.8391193991714681</v>
      </c>
      <c r="F335" s="303"/>
      <c r="G335" s="302">
        <v>0.70901460544366002</v>
      </c>
      <c r="H335" s="302">
        <v>1.5651401455398481</v>
      </c>
      <c r="I335" s="302">
        <v>0.13753889879728579</v>
      </c>
      <c r="J335" s="302">
        <f t="shared" si="148"/>
        <v>2.4116936497807937</v>
      </c>
      <c r="K335" s="303"/>
      <c r="L335" s="302">
        <v>0.41056369485741567</v>
      </c>
      <c r="M335" s="302">
        <v>0.85601639030817356</v>
      </c>
      <c r="N335" s="302">
        <v>0.11891810873054252</v>
      </c>
      <c r="O335" s="302">
        <f t="shared" si="149"/>
        <v>1.3854981938961317</v>
      </c>
    </row>
    <row r="336" spans="1:15" s="236" customFormat="1" x14ac:dyDescent="0.2">
      <c r="A336" s="237" t="str">
        <f>name!E$8</f>
        <v>Skilled trades occupations</v>
      </c>
      <c r="B336" s="302">
        <v>0.33858538662057686</v>
      </c>
      <c r="C336" s="302">
        <v>0.28362237273200031</v>
      </c>
      <c r="D336" s="302">
        <v>5.1578986375681382E-2</v>
      </c>
      <c r="E336" s="302">
        <f t="shared" si="147"/>
        <v>0.67378674572825858</v>
      </c>
      <c r="F336" s="303"/>
      <c r="G336" s="302">
        <v>0.21304717999364944</v>
      </c>
      <c r="H336" s="302">
        <v>0.20020562930255562</v>
      </c>
      <c r="I336" s="302">
        <v>5.6748037468686507E-2</v>
      </c>
      <c r="J336" s="302">
        <f>SUM(G336:I336)</f>
        <v>0.47000084676489157</v>
      </c>
      <c r="K336" s="303"/>
      <c r="L336" s="302">
        <v>0.13996429996048387</v>
      </c>
      <c r="M336" s="302">
        <v>8.7361045171869739E-2</v>
      </c>
      <c r="N336" s="302">
        <v>8.0482265596406935E-2</v>
      </c>
      <c r="O336" s="302">
        <f t="shared" si="149"/>
        <v>0.30780761072876056</v>
      </c>
    </row>
    <row r="337" spans="1:15" s="236" customFormat="1" x14ac:dyDescent="0.2">
      <c r="A337" s="237" t="str">
        <f>name!E$9</f>
        <v>Caring, leisure and other service occupations</v>
      </c>
      <c r="B337" s="302">
        <v>6.1824144452128023</v>
      </c>
      <c r="C337" s="302">
        <v>7.5526566862776274</v>
      </c>
      <c r="D337" s="302">
        <v>0.2380776566519951</v>
      </c>
      <c r="E337" s="302">
        <f t="shared" si="147"/>
        <v>13.973148788142424</v>
      </c>
      <c r="F337" s="303"/>
      <c r="G337" s="302">
        <v>4.9667465769427004</v>
      </c>
      <c r="H337" s="302">
        <v>7.1219510798184382</v>
      </c>
      <c r="I337" s="302">
        <v>0.28781989442332256</v>
      </c>
      <c r="J337" s="302">
        <f t="shared" ref="J337:J340" si="150">SUM(G337:I337)</f>
        <v>12.37651755118446</v>
      </c>
      <c r="K337" s="303"/>
      <c r="L337" s="302">
        <v>5.8089784887529943</v>
      </c>
      <c r="M337" s="302">
        <v>6.7725280776381593</v>
      </c>
      <c r="N337" s="302">
        <v>0.35703695261310597</v>
      </c>
      <c r="O337" s="302">
        <f t="shared" si="149"/>
        <v>12.938543519004259</v>
      </c>
    </row>
    <row r="338" spans="1:15" s="236" customFormat="1" x14ac:dyDescent="0.2">
      <c r="A338" s="237" t="str">
        <f>name!E$10</f>
        <v>Sales and customer service occupations</v>
      </c>
      <c r="B338" s="302">
        <v>9.6080040704429159E-2</v>
      </c>
      <c r="C338" s="302">
        <v>0.13479098990440613</v>
      </c>
      <c r="D338" s="302">
        <v>5.6117205397264849E-2</v>
      </c>
      <c r="E338" s="302">
        <f t="shared" si="147"/>
        <v>0.28698823600610013</v>
      </c>
      <c r="F338" s="303"/>
      <c r="G338" s="302">
        <v>7.3869569248001643E-2</v>
      </c>
      <c r="H338" s="302">
        <v>0.125355858146314</v>
      </c>
      <c r="I338" s="302">
        <v>4.7061945438301236E-2</v>
      </c>
      <c r="J338" s="302">
        <f t="shared" si="150"/>
        <v>0.24628737283261687</v>
      </c>
      <c r="K338" s="303"/>
      <c r="L338" s="302">
        <v>8.2429830044245186E-2</v>
      </c>
      <c r="M338" s="302">
        <v>0.125830824766344</v>
      </c>
      <c r="N338" s="302">
        <v>4.8890262741192132E-2</v>
      </c>
      <c r="O338" s="302">
        <f t="shared" si="149"/>
        <v>0.25715091755178132</v>
      </c>
    </row>
    <row r="339" spans="1:15" s="236" customFormat="1" x14ac:dyDescent="0.2">
      <c r="A339" s="237" t="str">
        <f>name!E$11</f>
        <v>Process, plant and machine operatives</v>
      </c>
      <c r="B339" s="302">
        <v>5.6558729743086358E-2</v>
      </c>
      <c r="C339" s="302">
        <v>9.5070092837944167E-2</v>
      </c>
      <c r="D339" s="302">
        <v>0.55127390142357979</v>
      </c>
      <c r="E339" s="302">
        <f t="shared" si="147"/>
        <v>0.70290272400461029</v>
      </c>
      <c r="F339" s="303"/>
      <c r="G339" s="302">
        <v>3.3798093866590065E-2</v>
      </c>
      <c r="H339" s="302">
        <v>8.030986360141551E-2</v>
      </c>
      <c r="I339" s="302">
        <v>0.61899282953649026</v>
      </c>
      <c r="J339" s="302">
        <f t="shared" si="150"/>
        <v>0.73310078700449588</v>
      </c>
      <c r="K339" s="303"/>
      <c r="L339" s="302">
        <v>2.3156911020224148E-2</v>
      </c>
      <c r="M339" s="302">
        <v>8.7732133525182582E-2</v>
      </c>
      <c r="N339" s="302">
        <v>0.57142884711449493</v>
      </c>
      <c r="O339" s="302">
        <f t="shared" si="149"/>
        <v>0.68231789165990164</v>
      </c>
    </row>
    <row r="340" spans="1:15" s="236" customFormat="1" x14ac:dyDescent="0.2">
      <c r="A340" s="237" t="str">
        <f>name!E$12</f>
        <v>Elementary occupations</v>
      </c>
      <c r="B340" s="302">
        <v>0.60035759894990393</v>
      </c>
      <c r="C340" s="302">
        <v>2.6378722697290224</v>
      </c>
      <c r="D340" s="302">
        <v>1.3011229337716387E-2</v>
      </c>
      <c r="E340" s="302">
        <f t="shared" si="147"/>
        <v>3.2512410980166431</v>
      </c>
      <c r="F340" s="303"/>
      <c r="G340" s="302">
        <v>0.41184076832134769</v>
      </c>
      <c r="H340" s="302">
        <v>1.9743983762932655</v>
      </c>
      <c r="I340" s="302">
        <v>1.1313256301081589E-2</v>
      </c>
      <c r="J340" s="302">
        <f t="shared" si="150"/>
        <v>2.397552400915695</v>
      </c>
      <c r="K340" s="303"/>
      <c r="L340" s="302">
        <v>0.48181077299357106</v>
      </c>
      <c r="M340" s="302">
        <v>0.94076030397802102</v>
      </c>
      <c r="N340" s="302">
        <v>9.7389732226484255E-3</v>
      </c>
      <c r="O340" s="302">
        <f t="shared" si="149"/>
        <v>1.4323100501942405</v>
      </c>
    </row>
    <row r="341" spans="1:15" s="236" customFormat="1" x14ac:dyDescent="0.2">
      <c r="A341" s="237"/>
      <c r="B341" s="302"/>
      <c r="C341" s="302"/>
      <c r="D341" s="302"/>
      <c r="E341" s="302"/>
      <c r="F341" s="303"/>
      <c r="G341" s="302"/>
      <c r="H341" s="302"/>
      <c r="I341" s="302"/>
      <c r="J341" s="302"/>
      <c r="K341" s="303"/>
      <c r="L341" s="302"/>
      <c r="M341" s="302"/>
      <c r="N341" s="302"/>
      <c r="O341" s="302"/>
    </row>
    <row r="342" spans="1:15" s="236" customFormat="1" x14ac:dyDescent="0.2">
      <c r="A342" s="244" t="s">
        <v>33</v>
      </c>
      <c r="B342" s="311">
        <f>SUM(B332:B340)</f>
        <v>22.274850647842374</v>
      </c>
      <c r="C342" s="311">
        <f t="shared" ref="C342:E342" si="151">SUM(C332:C340)</f>
        <v>19.499241682454034</v>
      </c>
      <c r="D342" s="311">
        <f t="shared" si="151"/>
        <v>3.6289076697036062</v>
      </c>
      <c r="E342" s="311">
        <f t="shared" si="151"/>
        <v>45.403000000000013</v>
      </c>
      <c r="F342" s="311"/>
      <c r="G342" s="311">
        <f t="shared" ref="G342:J342" si="152">SUM(G332:G340)</f>
        <v>19.509355582564027</v>
      </c>
      <c r="H342" s="311">
        <f t="shared" si="152"/>
        <v>19.218554319517278</v>
      </c>
      <c r="I342" s="311">
        <f t="shared" si="152"/>
        <v>4.3570900979187357</v>
      </c>
      <c r="J342" s="311">
        <f t="shared" si="152"/>
        <v>43.085000000000043</v>
      </c>
      <c r="K342" s="311"/>
      <c r="L342" s="311">
        <f t="shared" ref="L342:O342" si="153">SUM(L332:L340)</f>
        <v>19.91931082990838</v>
      </c>
      <c r="M342" s="311">
        <f t="shared" si="153"/>
        <v>18.1697934372154</v>
      </c>
      <c r="N342" s="311">
        <f t="shared" si="153"/>
        <v>4.43789573287627</v>
      </c>
      <c r="O342" s="311">
        <f t="shared" si="153"/>
        <v>42.527000000000051</v>
      </c>
    </row>
    <row r="343" spans="1:15" s="236" customFormat="1" x14ac:dyDescent="0.2">
      <c r="A343" s="237"/>
      <c r="B343" s="237"/>
      <c r="C343" s="237"/>
      <c r="D343" s="237"/>
      <c r="E343" s="237"/>
      <c r="F343" s="237"/>
      <c r="G343" s="237"/>
      <c r="H343" s="237"/>
      <c r="I343" s="237"/>
      <c r="J343" s="237"/>
      <c r="K343" s="237"/>
      <c r="L343" s="237"/>
      <c r="M343" s="237"/>
      <c r="N343" s="240"/>
    </row>
    <row r="344" spans="1:15" s="236" customFormat="1" x14ac:dyDescent="0.2">
      <c r="A344" s="237"/>
      <c r="B344" s="237"/>
      <c r="C344" s="237"/>
      <c r="D344" s="237"/>
      <c r="E344" s="237"/>
      <c r="F344" s="237"/>
      <c r="G344" s="237"/>
      <c r="H344" s="237"/>
      <c r="I344" s="237"/>
      <c r="J344" s="237"/>
      <c r="K344" s="237"/>
      <c r="L344" s="237"/>
      <c r="M344" s="237"/>
      <c r="N344" s="240"/>
      <c r="O344" s="251" t="s">
        <v>36</v>
      </c>
    </row>
    <row r="345" spans="1:15" s="236" customFormat="1" x14ac:dyDescent="0.2">
      <c r="A345" s="242"/>
      <c r="B345" s="242"/>
      <c r="C345" s="242"/>
      <c r="D345" s="242"/>
      <c r="E345" s="242"/>
      <c r="F345" s="242"/>
      <c r="G345" s="242"/>
      <c r="H345" s="242"/>
      <c r="I345" s="242"/>
      <c r="J345" s="242"/>
      <c r="K345" s="242"/>
      <c r="L345" s="242"/>
      <c r="M345" s="242"/>
      <c r="N345" s="242"/>
      <c r="O345" s="242"/>
    </row>
    <row r="346" spans="1:15" s="236" customFormat="1" x14ac:dyDescent="0.2">
      <c r="A346" s="241" t="str">
        <f>name!B23</f>
        <v>Health and social work</v>
      </c>
      <c r="B346" s="377">
        <f>$B$6</f>
        <v>2015</v>
      </c>
      <c r="C346" s="377"/>
      <c r="D346" s="377"/>
      <c r="E346" s="377"/>
      <c r="F346" s="263"/>
      <c r="G346" s="377">
        <f>$G$6</f>
        <v>2020</v>
      </c>
      <c r="H346" s="377"/>
      <c r="I346" s="377"/>
      <c r="J346" s="377"/>
      <c r="K346" s="263"/>
      <c r="L346" s="377">
        <f>$L$6</f>
        <v>2035</v>
      </c>
      <c r="M346" s="377"/>
      <c r="N346" s="377"/>
      <c r="O346" s="377"/>
    </row>
    <row r="347" spans="1:15" s="236" customFormat="1" x14ac:dyDescent="0.2">
      <c r="A347" s="254"/>
      <c r="B347" s="268" t="str">
        <f>$B$7</f>
        <v>FT</v>
      </c>
      <c r="C347" s="268" t="str">
        <f>$C$7</f>
        <v>PT</v>
      </c>
      <c r="D347" s="268" t="str">
        <f>$D$7</f>
        <v>SE</v>
      </c>
      <c r="E347" s="268" t="str">
        <f>$E$7</f>
        <v>Total</v>
      </c>
      <c r="F347" s="268"/>
      <c r="G347" s="268" t="str">
        <f>$G$7</f>
        <v>FT</v>
      </c>
      <c r="H347" s="268" t="str">
        <f>$H$7</f>
        <v>PT</v>
      </c>
      <c r="I347" s="268" t="str">
        <f>$I$7</f>
        <v>SE</v>
      </c>
      <c r="J347" s="268" t="str">
        <f>$J$7</f>
        <v>Total</v>
      </c>
      <c r="K347" s="268"/>
      <c r="L347" s="268" t="str">
        <f>$L$7</f>
        <v>FT</v>
      </c>
      <c r="M347" s="268" t="str">
        <f>$M$7</f>
        <v>PT</v>
      </c>
      <c r="N347" s="268" t="str">
        <f>$N$7</f>
        <v>SE</v>
      </c>
      <c r="O347" s="268" t="str">
        <f>$O$7</f>
        <v>Total</v>
      </c>
    </row>
    <row r="348" spans="1:15" s="236" customFormat="1" x14ac:dyDescent="0.2">
      <c r="A348" s="258"/>
      <c r="B348" s="239"/>
      <c r="C348" s="239"/>
      <c r="D348" s="239"/>
      <c r="E348" s="239"/>
      <c r="F348" s="239"/>
      <c r="G348" s="239"/>
      <c r="H348" s="239"/>
      <c r="I348" s="239"/>
      <c r="J348" s="239"/>
      <c r="K348" s="239"/>
      <c r="L348" s="239"/>
      <c r="M348" s="239"/>
      <c r="N348" s="239"/>
      <c r="O348" s="239"/>
    </row>
    <row r="349" spans="1:15" s="236" customFormat="1" x14ac:dyDescent="0.2">
      <c r="A349" s="237" t="str">
        <f>name!E$4</f>
        <v>Managers, directors and senior officials</v>
      </c>
      <c r="B349" s="302">
        <v>1.6016796058980456</v>
      </c>
      <c r="C349" s="302">
        <v>0.54908027599095532</v>
      </c>
      <c r="D349" s="302">
        <v>0.34313153124938212</v>
      </c>
      <c r="E349" s="302">
        <f>SUM(B349:D349)</f>
        <v>2.4938914131383827</v>
      </c>
      <c r="F349" s="303"/>
      <c r="G349" s="302">
        <v>1.8478558276314259</v>
      </c>
      <c r="H349" s="302">
        <v>0.73589862944116524</v>
      </c>
      <c r="I349" s="302">
        <v>0.33380626113955625</v>
      </c>
      <c r="J349" s="302">
        <f>SUM(G349:I349)</f>
        <v>2.9175607182121475</v>
      </c>
      <c r="K349" s="303"/>
      <c r="L349" s="302">
        <v>1.7783565321433641</v>
      </c>
      <c r="M349" s="302">
        <v>0.88811305408891461</v>
      </c>
      <c r="N349" s="302">
        <v>0.44205735121623663</v>
      </c>
      <c r="O349" s="302">
        <f>SUM(L349:N349)</f>
        <v>3.1085269374485156</v>
      </c>
    </row>
    <row r="350" spans="1:15" s="236" customFormat="1" x14ac:dyDescent="0.2">
      <c r="A350" s="237" t="str">
        <f>name!E$5</f>
        <v>Professional occupations</v>
      </c>
      <c r="B350" s="302">
        <v>10.053960439031364</v>
      </c>
      <c r="C350" s="302">
        <v>5.21470843649149</v>
      </c>
      <c r="D350" s="302">
        <v>1.8718827726374621</v>
      </c>
      <c r="E350" s="302">
        <f t="shared" ref="E350:E357" si="154">SUM(B350:D350)</f>
        <v>17.140551648160315</v>
      </c>
      <c r="F350" s="303"/>
      <c r="G350" s="302">
        <v>12.083552159373397</v>
      </c>
      <c r="H350" s="302">
        <v>5.9932694700192188</v>
      </c>
      <c r="I350" s="302">
        <v>1.8409742098524915</v>
      </c>
      <c r="J350" s="302">
        <f t="shared" ref="J350:J352" si="155">SUM(G350:I350)</f>
        <v>19.917795839245105</v>
      </c>
      <c r="K350" s="303"/>
      <c r="L350" s="302">
        <v>12.767047718747351</v>
      </c>
      <c r="M350" s="302">
        <v>6.4862050062185155</v>
      </c>
      <c r="N350" s="302">
        <v>2.1245954733585775</v>
      </c>
      <c r="O350" s="302">
        <f t="shared" ref="O350:O357" si="156">SUM(L350:N350)</f>
        <v>21.377848198324447</v>
      </c>
    </row>
    <row r="351" spans="1:15" s="236" customFormat="1" x14ac:dyDescent="0.2">
      <c r="A351" s="237" t="str">
        <f>name!E$6</f>
        <v>Associate professional occupations</v>
      </c>
      <c r="B351" s="302">
        <v>4.1709032532779471</v>
      </c>
      <c r="C351" s="302">
        <v>2.860715115547642</v>
      </c>
      <c r="D351" s="302">
        <v>0.70841311886283598</v>
      </c>
      <c r="E351" s="302">
        <f t="shared" si="154"/>
        <v>7.7400314876884249</v>
      </c>
      <c r="F351" s="303"/>
      <c r="G351" s="302">
        <v>4.9171986467842341</v>
      </c>
      <c r="H351" s="302">
        <v>3.2379880970720687</v>
      </c>
      <c r="I351" s="302">
        <v>0.56367378946491842</v>
      </c>
      <c r="J351" s="302">
        <f t="shared" si="155"/>
        <v>8.7188605333212212</v>
      </c>
      <c r="K351" s="303"/>
      <c r="L351" s="302">
        <v>8.3867727891538362</v>
      </c>
      <c r="M351" s="302">
        <v>5.0507259511037628</v>
      </c>
      <c r="N351" s="302">
        <v>0.82517801711927552</v>
      </c>
      <c r="O351" s="302">
        <f t="shared" si="156"/>
        <v>14.262676757376875</v>
      </c>
    </row>
    <row r="352" spans="1:15" s="236" customFormat="1" x14ac:dyDescent="0.2">
      <c r="A352" s="237" t="str">
        <f>name!E$7</f>
        <v>Administrative and secretarial occupations</v>
      </c>
      <c r="B352" s="302">
        <v>2.2106712281119631</v>
      </c>
      <c r="C352" s="302">
        <v>2.9782253663018783</v>
      </c>
      <c r="D352" s="302">
        <v>0.17637844571954606</v>
      </c>
      <c r="E352" s="302">
        <f t="shared" si="154"/>
        <v>5.3652750401333877</v>
      </c>
      <c r="F352" s="303"/>
      <c r="G352" s="302">
        <v>2.1685749135061156</v>
      </c>
      <c r="H352" s="302">
        <v>2.6119249107222884</v>
      </c>
      <c r="I352" s="302">
        <v>0.1130955310639602</v>
      </c>
      <c r="J352" s="302">
        <f t="shared" si="155"/>
        <v>4.8935953552923639</v>
      </c>
      <c r="K352" s="303"/>
      <c r="L352" s="302">
        <v>1.9081991540657233</v>
      </c>
      <c r="M352" s="302">
        <v>1.2542192203946907</v>
      </c>
      <c r="N352" s="302">
        <v>8.6268304630034723E-2</v>
      </c>
      <c r="O352" s="302">
        <f t="shared" si="156"/>
        <v>3.2486866790904485</v>
      </c>
    </row>
    <row r="353" spans="1:15" s="236" customFormat="1" x14ac:dyDescent="0.2">
      <c r="A353" s="237" t="str">
        <f>name!E$8</f>
        <v>Skilled trades occupations</v>
      </c>
      <c r="B353" s="302">
        <v>0.28558654083181323</v>
      </c>
      <c r="C353" s="302">
        <v>0.32253098227725674</v>
      </c>
      <c r="D353" s="302">
        <v>0.10805912013164522</v>
      </c>
      <c r="E353" s="302">
        <f t="shared" si="154"/>
        <v>0.71617664324071517</v>
      </c>
      <c r="F353" s="303"/>
      <c r="G353" s="302">
        <v>0.22726264639135119</v>
      </c>
      <c r="H353" s="302">
        <v>0.2334004354960624</v>
      </c>
      <c r="I353" s="302">
        <v>9.1207657778181322E-2</v>
      </c>
      <c r="J353" s="302">
        <f>SUM(G353:I353)</f>
        <v>0.55187073966559486</v>
      </c>
      <c r="K353" s="303"/>
      <c r="L353" s="302">
        <v>0.11925976493010493</v>
      </c>
      <c r="M353" s="302">
        <v>0.16248030910144545</v>
      </c>
      <c r="N353" s="302">
        <v>0.11569798383186236</v>
      </c>
      <c r="O353" s="302">
        <f t="shared" si="156"/>
        <v>0.39743805786341274</v>
      </c>
    </row>
    <row r="354" spans="1:15" s="236" customFormat="1" x14ac:dyDescent="0.2">
      <c r="A354" s="237" t="str">
        <f>name!E$9</f>
        <v>Caring, leisure and other service occupations</v>
      </c>
      <c r="B354" s="302">
        <v>12.725932530902927</v>
      </c>
      <c r="C354" s="302">
        <v>12.046854402312261</v>
      </c>
      <c r="D354" s="302">
        <v>1.3928127422002232</v>
      </c>
      <c r="E354" s="302">
        <f t="shared" si="154"/>
        <v>26.165599675415411</v>
      </c>
      <c r="F354" s="303"/>
      <c r="G354" s="302">
        <v>13.303544614800416</v>
      </c>
      <c r="H354" s="302">
        <v>11.337583149467706</v>
      </c>
      <c r="I354" s="302">
        <v>1.3204240568829158</v>
      </c>
      <c r="J354" s="302">
        <f t="shared" ref="J354:J357" si="157">SUM(G354:I354)</f>
        <v>25.961551821151037</v>
      </c>
      <c r="K354" s="303"/>
      <c r="L354" s="302">
        <v>15.979899435508644</v>
      </c>
      <c r="M354" s="302">
        <v>11.19760208682052</v>
      </c>
      <c r="N354" s="302">
        <v>1.5243490745906441</v>
      </c>
      <c r="O354" s="302">
        <f t="shared" si="156"/>
        <v>28.701850596919812</v>
      </c>
    </row>
    <row r="355" spans="1:15" s="236" customFormat="1" x14ac:dyDescent="0.2">
      <c r="A355" s="237" t="str">
        <f>name!E$10</f>
        <v>Sales and customer service occupations</v>
      </c>
      <c r="B355" s="302">
        <v>0.34378595186292571</v>
      </c>
      <c r="C355" s="302">
        <v>0.37485280572246155</v>
      </c>
      <c r="D355" s="302">
        <v>6.8560345124752647E-2</v>
      </c>
      <c r="E355" s="302">
        <f t="shared" si="154"/>
        <v>0.78719910271013982</v>
      </c>
      <c r="F355" s="303"/>
      <c r="G355" s="302">
        <v>0.33931780784354432</v>
      </c>
      <c r="H355" s="302">
        <v>0.33396798524169119</v>
      </c>
      <c r="I355" s="302">
        <v>3.8542485275590302E-2</v>
      </c>
      <c r="J355" s="302">
        <f t="shared" si="157"/>
        <v>0.71182827836082585</v>
      </c>
      <c r="K355" s="303"/>
      <c r="L355" s="302">
        <v>0.34887126484279396</v>
      </c>
      <c r="M355" s="302">
        <v>0.34141534615826286</v>
      </c>
      <c r="N355" s="302">
        <v>4.5247138406081314E-2</v>
      </c>
      <c r="O355" s="302">
        <f t="shared" si="156"/>
        <v>0.73553374940713812</v>
      </c>
    </row>
    <row r="356" spans="1:15" s="236" customFormat="1" x14ac:dyDescent="0.2">
      <c r="A356" s="237" t="str">
        <f>name!E$11</f>
        <v>Process, plant and machine operatives</v>
      </c>
      <c r="B356" s="302">
        <v>9.8380060500724106E-2</v>
      </c>
      <c r="C356" s="302">
        <v>0.23067424072300749</v>
      </c>
      <c r="D356" s="302">
        <v>1.3508224599821823E-2</v>
      </c>
      <c r="E356" s="302">
        <f t="shared" si="154"/>
        <v>0.3425625258235534</v>
      </c>
      <c r="F356" s="303"/>
      <c r="G356" s="302">
        <v>7.8008259104695735E-2</v>
      </c>
      <c r="H356" s="302">
        <v>0.19133445379658451</v>
      </c>
      <c r="I356" s="302">
        <v>1.1361377866464812E-2</v>
      </c>
      <c r="J356" s="302">
        <f t="shared" si="157"/>
        <v>0.28070409076774505</v>
      </c>
      <c r="K356" s="303"/>
      <c r="L356" s="302">
        <v>3.0717641947442951E-2</v>
      </c>
      <c r="M356" s="302">
        <v>0.1034715627543978</v>
      </c>
      <c r="N356" s="302">
        <v>8.1292254770542176E-3</v>
      </c>
      <c r="O356" s="302">
        <f t="shared" si="156"/>
        <v>0.14231843017889498</v>
      </c>
    </row>
    <row r="357" spans="1:15" s="236" customFormat="1" x14ac:dyDescent="0.2">
      <c r="A357" s="237" t="str">
        <f>name!E$12</f>
        <v>Elementary occupations</v>
      </c>
      <c r="B357" s="302">
        <v>0.34714774558638362</v>
      </c>
      <c r="C357" s="302">
        <v>1.5570396642624795</v>
      </c>
      <c r="D357" s="302">
        <v>3.2525053840737429E-2</v>
      </c>
      <c r="E357" s="302">
        <f t="shared" si="154"/>
        <v>1.9367124636896005</v>
      </c>
      <c r="F357" s="303"/>
      <c r="G357" s="302">
        <v>0.30892318785849121</v>
      </c>
      <c r="H357" s="302">
        <v>1.1309403206145219</v>
      </c>
      <c r="I357" s="302">
        <v>1.6369115511056458E-2</v>
      </c>
      <c r="J357" s="302">
        <f t="shared" si="157"/>
        <v>1.4562326239840695</v>
      </c>
      <c r="K357" s="303"/>
      <c r="L357" s="302">
        <v>0.15398359831348116</v>
      </c>
      <c r="M357" s="302">
        <v>0.87523076855442217</v>
      </c>
      <c r="N357" s="302">
        <v>1.290622652255697E-2</v>
      </c>
      <c r="O357" s="302">
        <f t="shared" si="156"/>
        <v>1.0421205933904603</v>
      </c>
    </row>
    <row r="358" spans="1:15" s="236" customFormat="1" x14ac:dyDescent="0.2">
      <c r="A358" s="237"/>
      <c r="B358" s="302"/>
      <c r="C358" s="302"/>
      <c r="D358" s="302"/>
      <c r="E358" s="302"/>
      <c r="F358" s="303"/>
      <c r="G358" s="302"/>
      <c r="H358" s="302"/>
      <c r="I358" s="302"/>
      <c r="J358" s="302"/>
      <c r="K358" s="303"/>
      <c r="L358" s="302"/>
      <c r="M358" s="302"/>
      <c r="N358" s="302"/>
      <c r="O358" s="302"/>
    </row>
    <row r="359" spans="1:15" s="236" customFormat="1" x14ac:dyDescent="0.2">
      <c r="A359" s="244" t="s">
        <v>33</v>
      </c>
      <c r="B359" s="311">
        <f>SUM(B349:B357)</f>
        <v>31.838047356004093</v>
      </c>
      <c r="C359" s="311">
        <f t="shared" ref="C359:E359" si="158">SUM(C349:C357)</f>
        <v>26.134681289629434</v>
      </c>
      <c r="D359" s="311">
        <f t="shared" si="158"/>
        <v>4.7152713543664069</v>
      </c>
      <c r="E359" s="311">
        <f t="shared" si="158"/>
        <v>62.687999999999938</v>
      </c>
      <c r="F359" s="311"/>
      <c r="G359" s="311">
        <f t="shared" ref="G359:J359" si="159">SUM(G349:G357)</f>
        <v>35.274238063293673</v>
      </c>
      <c r="H359" s="311">
        <f t="shared" si="159"/>
        <v>25.806307451871309</v>
      </c>
      <c r="I359" s="311">
        <f t="shared" si="159"/>
        <v>4.3294544848351357</v>
      </c>
      <c r="J359" s="311">
        <f t="shared" si="159"/>
        <v>65.410000000000096</v>
      </c>
      <c r="K359" s="311"/>
      <c r="L359" s="311">
        <f t="shared" ref="L359:O359" si="160">SUM(L349:L357)</f>
        <v>41.473107899652739</v>
      </c>
      <c r="M359" s="311">
        <f t="shared" si="160"/>
        <v>26.359463305194932</v>
      </c>
      <c r="N359" s="311">
        <f t="shared" si="160"/>
        <v>5.1844287951523231</v>
      </c>
      <c r="O359" s="311">
        <f t="shared" si="160"/>
        <v>73.01700000000001</v>
      </c>
    </row>
    <row r="360" spans="1:15" s="236" customFormat="1" x14ac:dyDescent="0.2">
      <c r="A360" s="237"/>
      <c r="B360" s="237"/>
      <c r="C360" s="237"/>
      <c r="D360" s="237"/>
      <c r="E360" s="237"/>
      <c r="F360" s="237"/>
      <c r="G360" s="237"/>
      <c r="H360" s="237"/>
      <c r="I360" s="237"/>
      <c r="J360" s="237"/>
      <c r="K360" s="237"/>
      <c r="L360" s="237"/>
      <c r="M360" s="237"/>
      <c r="N360" s="240"/>
    </row>
    <row r="361" spans="1:15" s="236" customFormat="1" x14ac:dyDescent="0.2">
      <c r="A361" s="237"/>
      <c r="B361" s="237"/>
      <c r="C361" s="237"/>
      <c r="D361" s="237"/>
      <c r="E361" s="237"/>
      <c r="F361" s="237"/>
      <c r="G361" s="237"/>
      <c r="H361" s="237"/>
      <c r="I361" s="237"/>
      <c r="J361" s="237"/>
      <c r="K361" s="237"/>
      <c r="L361" s="237"/>
      <c r="M361" s="237"/>
      <c r="N361" s="240"/>
      <c r="O361" s="251" t="s">
        <v>36</v>
      </c>
    </row>
    <row r="362" spans="1:15" s="236" customFormat="1" x14ac:dyDescent="0.2">
      <c r="A362" s="242"/>
      <c r="B362" s="242"/>
      <c r="C362" s="242"/>
      <c r="D362" s="242"/>
      <c r="E362" s="242"/>
      <c r="F362" s="242"/>
      <c r="G362" s="242"/>
      <c r="H362" s="242"/>
      <c r="I362" s="242"/>
      <c r="J362" s="242"/>
      <c r="K362" s="242"/>
      <c r="L362" s="242"/>
      <c r="M362" s="242"/>
      <c r="N362" s="242"/>
      <c r="O362" s="242"/>
    </row>
    <row r="363" spans="1:15" s="236" customFormat="1" x14ac:dyDescent="0.2">
      <c r="A363" s="241" t="str">
        <f>name!B24</f>
        <v>Arts and entertainment</v>
      </c>
      <c r="B363" s="377">
        <f>$B$6</f>
        <v>2015</v>
      </c>
      <c r="C363" s="377"/>
      <c r="D363" s="377"/>
      <c r="E363" s="377"/>
      <c r="F363" s="263"/>
      <c r="G363" s="377">
        <f>$G$6</f>
        <v>2020</v>
      </c>
      <c r="H363" s="377"/>
      <c r="I363" s="377"/>
      <c r="J363" s="377"/>
      <c r="K363" s="263"/>
      <c r="L363" s="377">
        <f>$L$6</f>
        <v>2035</v>
      </c>
      <c r="M363" s="377"/>
      <c r="N363" s="377"/>
      <c r="O363" s="377"/>
    </row>
    <row r="364" spans="1:15" s="236" customFormat="1" x14ac:dyDescent="0.2">
      <c r="A364" s="254"/>
      <c r="B364" s="268" t="str">
        <f>$B$7</f>
        <v>FT</v>
      </c>
      <c r="C364" s="268" t="str">
        <f>$C$7</f>
        <v>PT</v>
      </c>
      <c r="D364" s="268" t="str">
        <f>$D$7</f>
        <v>SE</v>
      </c>
      <c r="E364" s="268" t="str">
        <f>$E$7</f>
        <v>Total</v>
      </c>
      <c r="F364" s="268"/>
      <c r="G364" s="268" t="str">
        <f>$G$7</f>
        <v>FT</v>
      </c>
      <c r="H364" s="268" t="str">
        <f>$H$7</f>
        <v>PT</v>
      </c>
      <c r="I364" s="268" t="str">
        <f>$I$7</f>
        <v>SE</v>
      </c>
      <c r="J364" s="268" t="str">
        <f>$J$7</f>
        <v>Total</v>
      </c>
      <c r="K364" s="268"/>
      <c r="L364" s="268" t="str">
        <f>$L$7</f>
        <v>FT</v>
      </c>
      <c r="M364" s="268" t="str">
        <f>$M$7</f>
        <v>PT</v>
      </c>
      <c r="N364" s="268" t="str">
        <f>$N$7</f>
        <v>SE</v>
      </c>
      <c r="O364" s="268" t="str">
        <f>$O$7</f>
        <v>Total</v>
      </c>
    </row>
    <row r="365" spans="1:15" s="236" customFormat="1" x14ac:dyDescent="0.2">
      <c r="A365" s="258"/>
      <c r="B365" s="239"/>
      <c r="C365" s="239"/>
      <c r="D365" s="239"/>
      <c r="E365" s="239"/>
      <c r="F365" s="239"/>
      <c r="G365" s="239"/>
      <c r="H365" s="239"/>
      <c r="I365" s="239"/>
      <c r="J365" s="239"/>
      <c r="K365" s="239"/>
      <c r="L365" s="239"/>
      <c r="M365" s="239"/>
      <c r="N365" s="239"/>
      <c r="O365" s="239"/>
    </row>
    <row r="366" spans="1:15" s="236" customFormat="1" x14ac:dyDescent="0.2">
      <c r="A366" s="237" t="str">
        <f>name!E$4</f>
        <v>Managers, directors and senior officials</v>
      </c>
      <c r="B366" s="302">
        <v>0.57056713918830215</v>
      </c>
      <c r="C366" s="302">
        <v>0.15659981639499823</v>
      </c>
      <c r="D366" s="302">
        <v>0.29659413401355811</v>
      </c>
      <c r="E366" s="302">
        <f>SUM(B366:D366)</f>
        <v>1.0237610895968585</v>
      </c>
      <c r="F366" s="303"/>
      <c r="G366" s="302">
        <v>0.62845273642530819</v>
      </c>
      <c r="H366" s="302">
        <v>0.24578553055511679</v>
      </c>
      <c r="I366" s="302">
        <v>0.2471534161402712</v>
      </c>
      <c r="J366" s="302">
        <f>SUM(G366:I366)</f>
        <v>1.121391683120696</v>
      </c>
      <c r="K366" s="303"/>
      <c r="L366" s="302">
        <v>0.58035672696202978</v>
      </c>
      <c r="M366" s="302">
        <v>0.29685551124795873</v>
      </c>
      <c r="N366" s="302">
        <v>0.23492160452549857</v>
      </c>
      <c r="O366" s="302">
        <f>SUM(L366:N366)</f>
        <v>1.112133842735487</v>
      </c>
    </row>
    <row r="367" spans="1:15" s="236" customFormat="1" x14ac:dyDescent="0.2">
      <c r="A367" s="237" t="str">
        <f>name!E$5</f>
        <v>Professional occupations</v>
      </c>
      <c r="B367" s="302">
        <v>0.59735965514566536</v>
      </c>
      <c r="C367" s="302">
        <v>0.30411194313027151</v>
      </c>
      <c r="D367" s="302">
        <v>0.69440410121848706</v>
      </c>
      <c r="E367" s="302">
        <f t="shared" ref="E367:E374" si="161">SUM(B367:D367)</f>
        <v>1.5958756994944241</v>
      </c>
      <c r="F367" s="303"/>
      <c r="G367" s="302">
        <v>0.84575778270336355</v>
      </c>
      <c r="H367" s="302">
        <v>0.51679431264975506</v>
      </c>
      <c r="I367" s="302">
        <v>0.49739879090925637</v>
      </c>
      <c r="J367" s="302">
        <f t="shared" ref="J367:J369" si="162">SUM(G367:I367)</f>
        <v>1.859950886262375</v>
      </c>
      <c r="K367" s="303"/>
      <c r="L367" s="302">
        <v>0.93872940059993248</v>
      </c>
      <c r="M367" s="302">
        <v>0.69034216765724976</v>
      </c>
      <c r="N367" s="302">
        <v>0.44847611673207327</v>
      </c>
      <c r="O367" s="302">
        <f t="shared" ref="O367:O374" si="163">SUM(L367:N367)</f>
        <v>2.0775476849892556</v>
      </c>
    </row>
    <row r="368" spans="1:15" s="236" customFormat="1" x14ac:dyDescent="0.2">
      <c r="A368" s="237" t="str">
        <f>name!E$6</f>
        <v>Associate professional occupations</v>
      </c>
      <c r="B368" s="302">
        <v>0.69550544001470915</v>
      </c>
      <c r="C368" s="302">
        <v>0.4210428606554259</v>
      </c>
      <c r="D368" s="302">
        <v>1.5795694779976859</v>
      </c>
      <c r="E368" s="302">
        <f t="shared" si="161"/>
        <v>2.696117778667821</v>
      </c>
      <c r="F368" s="303"/>
      <c r="G368" s="302">
        <v>0.76787897102804836</v>
      </c>
      <c r="H368" s="302">
        <v>0.54183081486313234</v>
      </c>
      <c r="I368" s="302">
        <v>1.3323329745728367</v>
      </c>
      <c r="J368" s="302">
        <f t="shared" si="162"/>
        <v>2.6420427604640175</v>
      </c>
      <c r="K368" s="303"/>
      <c r="L368" s="302">
        <v>0.65271843273170616</v>
      </c>
      <c r="M368" s="302">
        <v>0.51202323387530513</v>
      </c>
      <c r="N368" s="302">
        <v>1.1798230831334373</v>
      </c>
      <c r="O368" s="302">
        <f t="shared" si="163"/>
        <v>2.3445647497404485</v>
      </c>
    </row>
    <row r="369" spans="1:15" s="236" customFormat="1" x14ac:dyDescent="0.2">
      <c r="A369" s="237" t="str">
        <f>name!E$7</f>
        <v>Administrative and secretarial occupations</v>
      </c>
      <c r="B369" s="302">
        <v>0.4178120745522575</v>
      </c>
      <c r="C369" s="302">
        <v>0.86333380209058819</v>
      </c>
      <c r="D369" s="302">
        <v>5.3105311339316501E-2</v>
      </c>
      <c r="E369" s="302">
        <f t="shared" si="161"/>
        <v>1.3342511879821621</v>
      </c>
      <c r="F369" s="303"/>
      <c r="G369" s="302">
        <v>0.48639616282065318</v>
      </c>
      <c r="H369" s="302">
        <v>1.0536286539727127</v>
      </c>
      <c r="I369" s="302">
        <v>4.6691523968103596E-2</v>
      </c>
      <c r="J369" s="302">
        <f t="shared" si="162"/>
        <v>1.5867163407614695</v>
      </c>
      <c r="K369" s="303"/>
      <c r="L369" s="302">
        <v>0.44408841183431547</v>
      </c>
      <c r="M369" s="302">
        <v>0.98036309392423093</v>
      </c>
      <c r="N369" s="302">
        <v>3.0902393459688034E-2</v>
      </c>
      <c r="O369" s="302">
        <f t="shared" si="163"/>
        <v>1.4553538992182344</v>
      </c>
    </row>
    <row r="370" spans="1:15" s="236" customFormat="1" x14ac:dyDescent="0.2">
      <c r="A370" s="237" t="str">
        <f>name!E$8</f>
        <v>Skilled trades occupations</v>
      </c>
      <c r="B370" s="302">
        <v>0.50285811268806846</v>
      </c>
      <c r="C370" s="302">
        <v>0.28204645113808535</v>
      </c>
      <c r="D370" s="302">
        <v>0.42600673653276266</v>
      </c>
      <c r="E370" s="302">
        <f t="shared" si="161"/>
        <v>1.2109113003589165</v>
      </c>
      <c r="F370" s="303"/>
      <c r="G370" s="302">
        <v>0.40980436012065924</v>
      </c>
      <c r="H370" s="302">
        <v>0.21920077382184922</v>
      </c>
      <c r="I370" s="302">
        <v>0.35017828657311756</v>
      </c>
      <c r="J370" s="302">
        <f>SUM(G370:I370)</f>
        <v>0.97918342051562601</v>
      </c>
      <c r="K370" s="303"/>
      <c r="L370" s="302">
        <v>0.30738993493311562</v>
      </c>
      <c r="M370" s="302">
        <v>0.28278398424061113</v>
      </c>
      <c r="N370" s="302">
        <v>0.33777738715360778</v>
      </c>
      <c r="O370" s="302">
        <f t="shared" si="163"/>
        <v>0.92795130632733458</v>
      </c>
    </row>
    <row r="371" spans="1:15" s="236" customFormat="1" x14ac:dyDescent="0.2">
      <c r="A371" s="237" t="str">
        <f>name!E$9</f>
        <v>Caring, leisure and other service occupations</v>
      </c>
      <c r="B371" s="302">
        <v>0.47003502968783861</v>
      </c>
      <c r="C371" s="302">
        <v>0.83763649496767889</v>
      </c>
      <c r="D371" s="302">
        <v>0.1090948872856112</v>
      </c>
      <c r="E371" s="302">
        <f t="shared" si="161"/>
        <v>1.4167664119411287</v>
      </c>
      <c r="F371" s="303"/>
      <c r="G371" s="302">
        <v>0.50906136105835331</v>
      </c>
      <c r="H371" s="302">
        <v>0.84566879546004037</v>
      </c>
      <c r="I371" s="302">
        <v>0.11563949974262104</v>
      </c>
      <c r="J371" s="302">
        <f t="shared" ref="J371:J374" si="164">SUM(G371:I371)</f>
        <v>1.4703696562610149</v>
      </c>
      <c r="K371" s="303"/>
      <c r="L371" s="302">
        <v>0.40979644028698875</v>
      </c>
      <c r="M371" s="302">
        <v>0.81350552222408901</v>
      </c>
      <c r="N371" s="302">
        <v>0.10954475466112312</v>
      </c>
      <c r="O371" s="302">
        <f t="shared" si="163"/>
        <v>1.3328467171722007</v>
      </c>
    </row>
    <row r="372" spans="1:15" s="236" customFormat="1" x14ac:dyDescent="0.2">
      <c r="A372" s="237" t="str">
        <f>name!E$10</f>
        <v>Sales and customer service occupations</v>
      </c>
      <c r="B372" s="302">
        <v>0.17807478139551552</v>
      </c>
      <c r="C372" s="302">
        <v>0.35106081652637283</v>
      </c>
      <c r="D372" s="302">
        <v>5.9830536396583187E-2</v>
      </c>
      <c r="E372" s="302">
        <f t="shared" si="161"/>
        <v>0.58896613431847156</v>
      </c>
      <c r="F372" s="303"/>
      <c r="G372" s="302">
        <v>0.19127963485323043</v>
      </c>
      <c r="H372" s="302">
        <v>0.35934780912756742</v>
      </c>
      <c r="I372" s="302">
        <v>3.8113388755057508E-2</v>
      </c>
      <c r="J372" s="302">
        <f t="shared" si="164"/>
        <v>0.58874083273585542</v>
      </c>
      <c r="K372" s="303"/>
      <c r="L372" s="302">
        <v>0.18823295081452851</v>
      </c>
      <c r="M372" s="302">
        <v>0.3700029665575742</v>
      </c>
      <c r="N372" s="302">
        <v>2.9500400698791694E-2</v>
      </c>
      <c r="O372" s="302">
        <f t="shared" si="163"/>
        <v>0.58773631807089444</v>
      </c>
    </row>
    <row r="373" spans="1:15" s="236" customFormat="1" x14ac:dyDescent="0.2">
      <c r="A373" s="237" t="str">
        <f>name!E$11</f>
        <v>Process, plant and machine operatives</v>
      </c>
      <c r="B373" s="302">
        <v>8.2413990339641433E-2</v>
      </c>
      <c r="C373" s="302">
        <v>7.2747284696796533E-2</v>
      </c>
      <c r="D373" s="302">
        <v>1.755651434699592E-2</v>
      </c>
      <c r="E373" s="302">
        <f t="shared" si="161"/>
        <v>0.17271778938343388</v>
      </c>
      <c r="F373" s="303"/>
      <c r="G373" s="302">
        <v>6.2343528346017946E-2</v>
      </c>
      <c r="H373" s="302">
        <v>6.6116406088800136E-2</v>
      </c>
      <c r="I373" s="302">
        <v>1.2973155305747002E-2</v>
      </c>
      <c r="J373" s="302">
        <f t="shared" si="164"/>
        <v>0.14143308974056507</v>
      </c>
      <c r="K373" s="303"/>
      <c r="L373" s="302">
        <v>4.9336552240150482E-2</v>
      </c>
      <c r="M373" s="302">
        <v>6.5979073964680515E-2</v>
      </c>
      <c r="N373" s="302">
        <v>1.414068462644678E-2</v>
      </c>
      <c r="O373" s="302">
        <f t="shared" si="163"/>
        <v>0.12945631083127776</v>
      </c>
    </row>
    <row r="374" spans="1:15" s="236" customFormat="1" x14ac:dyDescent="0.2">
      <c r="A374" s="237" t="str">
        <f>name!E$12</f>
        <v>Elementary occupations</v>
      </c>
      <c r="B374" s="302">
        <v>0.26082442274911483</v>
      </c>
      <c r="C374" s="302">
        <v>0.94054704295934899</v>
      </c>
      <c r="D374" s="302">
        <v>5.1261142548320544E-2</v>
      </c>
      <c r="E374" s="302">
        <f t="shared" si="161"/>
        <v>1.2526326082567842</v>
      </c>
      <c r="F374" s="303"/>
      <c r="G374" s="302">
        <v>0.21289171620184763</v>
      </c>
      <c r="H374" s="302">
        <v>0.84617202839643868</v>
      </c>
      <c r="I374" s="302">
        <v>3.3107585540082966E-2</v>
      </c>
      <c r="J374" s="302">
        <f t="shared" si="164"/>
        <v>1.0921713301383691</v>
      </c>
      <c r="K374" s="303"/>
      <c r="L374" s="302">
        <v>0.21074526732738258</v>
      </c>
      <c r="M374" s="302">
        <v>0.54418106594396454</v>
      </c>
      <c r="N374" s="302">
        <v>4.048283764351554E-2</v>
      </c>
      <c r="O374" s="302">
        <f t="shared" si="163"/>
        <v>0.79540917091486274</v>
      </c>
    </row>
    <row r="375" spans="1:15" s="236" customFormat="1" x14ac:dyDescent="0.2">
      <c r="A375" s="237"/>
      <c r="B375" s="302"/>
      <c r="C375" s="302"/>
      <c r="D375" s="302"/>
      <c r="E375" s="302"/>
      <c r="F375" s="303"/>
      <c r="G375" s="302"/>
      <c r="H375" s="302"/>
      <c r="I375" s="302"/>
      <c r="J375" s="302"/>
      <c r="K375" s="303"/>
      <c r="L375" s="302"/>
      <c r="M375" s="302"/>
      <c r="N375" s="302"/>
      <c r="O375" s="302"/>
    </row>
    <row r="376" spans="1:15" s="236" customFormat="1" x14ac:dyDescent="0.2">
      <c r="A376" s="244" t="s">
        <v>33</v>
      </c>
      <c r="B376" s="311">
        <f>SUM(B366:B374)</f>
        <v>3.7754506457611128</v>
      </c>
      <c r="C376" s="311">
        <f t="shared" ref="C376:E376" si="165">SUM(C366:C374)</f>
        <v>4.2291265125595663</v>
      </c>
      <c r="D376" s="311">
        <f t="shared" si="165"/>
        <v>3.2874228416793208</v>
      </c>
      <c r="E376" s="311">
        <f t="shared" si="165"/>
        <v>11.292000000000002</v>
      </c>
      <c r="F376" s="311"/>
      <c r="G376" s="311">
        <f t="shared" ref="G376:J376" si="166">SUM(G366:G374)</f>
        <v>4.1138662535574824</v>
      </c>
      <c r="H376" s="311">
        <f t="shared" si="166"/>
        <v>4.694545124935412</v>
      </c>
      <c r="I376" s="311">
        <f t="shared" si="166"/>
        <v>2.6735886215070939</v>
      </c>
      <c r="J376" s="311">
        <f t="shared" si="166"/>
        <v>11.481999999999989</v>
      </c>
      <c r="K376" s="311"/>
      <c r="L376" s="311">
        <f t="shared" ref="L376:O376" si="167">SUM(L366:L374)</f>
        <v>3.7813941177301493</v>
      </c>
      <c r="M376" s="311">
        <f t="shared" si="167"/>
        <v>4.5560366196356643</v>
      </c>
      <c r="N376" s="311">
        <f t="shared" si="167"/>
        <v>2.4255692626341814</v>
      </c>
      <c r="O376" s="311">
        <f t="shared" si="167"/>
        <v>10.762999999999995</v>
      </c>
    </row>
    <row r="377" spans="1:15" s="236" customFormat="1" x14ac:dyDescent="0.2">
      <c r="A377" s="237"/>
      <c r="B377" s="237"/>
      <c r="C377" s="237"/>
      <c r="D377" s="237"/>
      <c r="E377" s="237"/>
      <c r="F377" s="237"/>
      <c r="G377" s="237"/>
      <c r="H377" s="237"/>
      <c r="I377" s="237"/>
      <c r="J377" s="237"/>
      <c r="K377" s="237"/>
      <c r="L377" s="237"/>
      <c r="M377" s="237"/>
      <c r="N377" s="240"/>
    </row>
    <row r="378" spans="1:15" s="236" customFormat="1" x14ac:dyDescent="0.2">
      <c r="A378" s="237"/>
      <c r="B378" s="237"/>
      <c r="C378" s="237"/>
      <c r="D378" s="237"/>
      <c r="E378" s="237"/>
      <c r="F378" s="237"/>
      <c r="G378" s="237"/>
      <c r="H378" s="237"/>
      <c r="I378" s="237"/>
      <c r="J378" s="237"/>
      <c r="K378" s="237"/>
      <c r="L378" s="237"/>
      <c r="M378" s="237"/>
      <c r="N378" s="240"/>
      <c r="O378" s="251" t="s">
        <v>36</v>
      </c>
    </row>
    <row r="379" spans="1:15" s="236" customFormat="1" x14ac:dyDescent="0.2">
      <c r="A379" s="242"/>
      <c r="B379" s="242"/>
      <c r="C379" s="242"/>
      <c r="D379" s="242"/>
      <c r="E379" s="242"/>
      <c r="F379" s="242"/>
      <c r="G379" s="242"/>
      <c r="H379" s="242"/>
      <c r="I379" s="242"/>
      <c r="J379" s="242"/>
      <c r="K379" s="242"/>
      <c r="L379" s="242"/>
      <c r="M379" s="242"/>
      <c r="N379" s="242"/>
      <c r="O379" s="242"/>
    </row>
    <row r="380" spans="1:15" s="236" customFormat="1" x14ac:dyDescent="0.2">
      <c r="A380" s="241" t="str">
        <f>name!B25</f>
        <v>Other services</v>
      </c>
      <c r="B380" s="377">
        <f>$B$6</f>
        <v>2015</v>
      </c>
      <c r="C380" s="377"/>
      <c r="D380" s="377"/>
      <c r="E380" s="377"/>
      <c r="F380" s="263"/>
      <c r="G380" s="377">
        <f>$G$6</f>
        <v>2020</v>
      </c>
      <c r="H380" s="377"/>
      <c r="I380" s="377"/>
      <c r="J380" s="377"/>
      <c r="K380" s="263"/>
      <c r="L380" s="377">
        <f>$L$6</f>
        <v>2035</v>
      </c>
      <c r="M380" s="377"/>
      <c r="N380" s="377"/>
      <c r="O380" s="377"/>
    </row>
    <row r="381" spans="1:15" s="236" customFormat="1" x14ac:dyDescent="0.2">
      <c r="A381" s="254"/>
      <c r="B381" s="268" t="str">
        <f>$B$7</f>
        <v>FT</v>
      </c>
      <c r="C381" s="268" t="str">
        <f>$C$7</f>
        <v>PT</v>
      </c>
      <c r="D381" s="268" t="str">
        <f>$D$7</f>
        <v>SE</v>
      </c>
      <c r="E381" s="268" t="str">
        <f>$E$7</f>
        <v>Total</v>
      </c>
      <c r="F381" s="268"/>
      <c r="G381" s="268" t="str">
        <f>$G$7</f>
        <v>FT</v>
      </c>
      <c r="H381" s="268" t="str">
        <f>$H$7</f>
        <v>PT</v>
      </c>
      <c r="I381" s="268" t="str">
        <f>$I$7</f>
        <v>SE</v>
      </c>
      <c r="J381" s="268" t="str">
        <f>$J$7</f>
        <v>Total</v>
      </c>
      <c r="K381" s="268"/>
      <c r="L381" s="268" t="str">
        <f>$L$7</f>
        <v>FT</v>
      </c>
      <c r="M381" s="268" t="str">
        <f>$M$7</f>
        <v>PT</v>
      </c>
      <c r="N381" s="268" t="str">
        <f>$N$7</f>
        <v>SE</v>
      </c>
      <c r="O381" s="268" t="str">
        <f>$O$7</f>
        <v>Total</v>
      </c>
    </row>
    <row r="382" spans="1:15" s="236" customFormat="1" x14ac:dyDescent="0.2">
      <c r="A382" s="258"/>
      <c r="B382" s="239"/>
      <c r="C382" s="239"/>
      <c r="D382" s="239"/>
      <c r="E382" s="239"/>
      <c r="F382" s="239"/>
      <c r="G382" s="239"/>
      <c r="H382" s="239"/>
      <c r="I382" s="239"/>
      <c r="J382" s="239"/>
      <c r="K382" s="239"/>
      <c r="L382" s="239"/>
      <c r="M382" s="239"/>
      <c r="N382" s="239"/>
      <c r="O382" s="239"/>
    </row>
    <row r="383" spans="1:15" s="236" customFormat="1" x14ac:dyDescent="0.2">
      <c r="A383" s="237" t="str">
        <f>name!E$4</f>
        <v>Managers, directors and senior officials</v>
      </c>
      <c r="B383" s="302">
        <v>0.35231467109230546</v>
      </c>
      <c r="C383" s="302">
        <v>0.14388140718245312</v>
      </c>
      <c r="D383" s="302">
        <v>0.49534960980265574</v>
      </c>
      <c r="E383" s="302">
        <f>SUM(B383:D383)</f>
        <v>0.99154568807741428</v>
      </c>
      <c r="F383" s="303"/>
      <c r="G383" s="302">
        <v>0.57838603400330524</v>
      </c>
      <c r="H383" s="302">
        <v>0.1363778543317537</v>
      </c>
      <c r="I383" s="302">
        <v>0.83156046186264054</v>
      </c>
      <c r="J383" s="302">
        <f>SUM(G383:I383)</f>
        <v>1.5463243501976995</v>
      </c>
      <c r="K383" s="303"/>
      <c r="L383" s="302">
        <v>0.53016882224813977</v>
      </c>
      <c r="M383" s="302">
        <v>0.13808394466150592</v>
      </c>
      <c r="N383" s="302">
        <v>0.65661793810587088</v>
      </c>
      <c r="O383" s="302">
        <f>SUM(L383:N383)</f>
        <v>1.3248707050155164</v>
      </c>
    </row>
    <row r="384" spans="1:15" s="236" customFormat="1" x14ac:dyDescent="0.2">
      <c r="A384" s="237" t="str">
        <f>name!E$5</f>
        <v>Professional occupations</v>
      </c>
      <c r="B384" s="302">
        <v>0.70442653986550385</v>
      </c>
      <c r="C384" s="302">
        <v>0.56073597573599876</v>
      </c>
      <c r="D384" s="302">
        <v>0.96356317832668792</v>
      </c>
      <c r="E384" s="302">
        <f t="shared" ref="E384:E391" si="168">SUM(B384:D384)</f>
        <v>2.2287256939281903</v>
      </c>
      <c r="F384" s="303"/>
      <c r="G384" s="302">
        <v>1.2911380030149351</v>
      </c>
      <c r="H384" s="302">
        <v>0.42747773568994707</v>
      </c>
      <c r="I384" s="302">
        <v>1.127213990951883</v>
      </c>
      <c r="J384" s="302">
        <f t="shared" ref="J384:J386" si="169">SUM(G384:I384)</f>
        <v>2.8458297296567654</v>
      </c>
      <c r="K384" s="303"/>
      <c r="L384" s="302">
        <v>1.3558709301399021</v>
      </c>
      <c r="M384" s="302">
        <v>0.47009180909883469</v>
      </c>
      <c r="N384" s="302">
        <v>1.0592776532600547</v>
      </c>
      <c r="O384" s="302">
        <f t="shared" ref="O384:O391" si="170">SUM(L384:N384)</f>
        <v>2.8852403924987913</v>
      </c>
    </row>
    <row r="385" spans="1:15" s="236" customFormat="1" x14ac:dyDescent="0.2">
      <c r="A385" s="237" t="str">
        <f>name!E$6</f>
        <v>Associate professional occupations</v>
      </c>
      <c r="B385" s="302">
        <v>0.32687998477216784</v>
      </c>
      <c r="C385" s="302">
        <v>0.35130751776023617</v>
      </c>
      <c r="D385" s="302">
        <v>0.47544361156083714</v>
      </c>
      <c r="E385" s="302">
        <f t="shared" si="168"/>
        <v>1.1536311140932412</v>
      </c>
      <c r="F385" s="303"/>
      <c r="G385" s="302">
        <v>0.53445482341581307</v>
      </c>
      <c r="H385" s="302">
        <v>0.25010728113313568</v>
      </c>
      <c r="I385" s="302">
        <v>0.73156924095146014</v>
      </c>
      <c r="J385" s="302">
        <f t="shared" si="169"/>
        <v>1.5161313455004088</v>
      </c>
      <c r="K385" s="303"/>
      <c r="L385" s="302">
        <v>0.53462620863744748</v>
      </c>
      <c r="M385" s="302">
        <v>0.24174535267459191</v>
      </c>
      <c r="N385" s="302">
        <v>0.55676088872309948</v>
      </c>
      <c r="O385" s="302">
        <f t="shared" si="170"/>
        <v>1.3331324500351389</v>
      </c>
    </row>
    <row r="386" spans="1:15" s="236" customFormat="1" x14ac:dyDescent="0.2">
      <c r="A386" s="237" t="str">
        <f>name!E$7</f>
        <v>Administrative and secretarial occupations</v>
      </c>
      <c r="B386" s="302">
        <v>0.31051574756174327</v>
      </c>
      <c r="C386" s="302">
        <v>0.88197436843200583</v>
      </c>
      <c r="D386" s="302">
        <v>0.19308532690462801</v>
      </c>
      <c r="E386" s="302">
        <f t="shared" si="168"/>
        <v>1.3855754428983771</v>
      </c>
      <c r="F386" s="303"/>
      <c r="G386" s="302">
        <v>0.4421481898306987</v>
      </c>
      <c r="H386" s="302">
        <v>0.50835894745712684</v>
      </c>
      <c r="I386" s="302">
        <v>0.24821596029938167</v>
      </c>
      <c r="J386" s="302">
        <f t="shared" si="169"/>
        <v>1.1987230975872072</v>
      </c>
      <c r="K386" s="303"/>
      <c r="L386" s="302">
        <v>0.36130045841143404</v>
      </c>
      <c r="M386" s="302">
        <v>0.50427416691433735</v>
      </c>
      <c r="N386" s="302">
        <v>0.33007302733334554</v>
      </c>
      <c r="O386" s="302">
        <f t="shared" si="170"/>
        <v>1.1956476526591171</v>
      </c>
    </row>
    <row r="387" spans="1:15" s="236" customFormat="1" x14ac:dyDescent="0.2">
      <c r="A387" s="237" t="str">
        <f>name!E$8</f>
        <v>Skilled trades occupations</v>
      </c>
      <c r="B387" s="302">
        <v>0.16250228190167013</v>
      </c>
      <c r="C387" s="302">
        <v>0.17727213814564885</v>
      </c>
      <c r="D387" s="302">
        <v>0.28641398480697683</v>
      </c>
      <c r="E387" s="302">
        <f t="shared" si="168"/>
        <v>0.62618840485429583</v>
      </c>
      <c r="F387" s="303"/>
      <c r="G387" s="302">
        <v>0.19682965367081998</v>
      </c>
      <c r="H387" s="302">
        <v>9.563345370357193E-2</v>
      </c>
      <c r="I387" s="302">
        <v>0.39874290461127454</v>
      </c>
      <c r="J387" s="302">
        <f>SUM(G387:I387)</f>
        <v>0.69120601198566645</v>
      </c>
      <c r="K387" s="303"/>
      <c r="L387" s="302">
        <v>0.16458693686552225</v>
      </c>
      <c r="M387" s="302">
        <v>0.10170888493150655</v>
      </c>
      <c r="N387" s="302">
        <v>0.45059252888834223</v>
      </c>
      <c r="O387" s="302">
        <f t="shared" si="170"/>
        <v>0.71688835068537105</v>
      </c>
    </row>
    <row r="388" spans="1:15" s="236" customFormat="1" x14ac:dyDescent="0.2">
      <c r="A388" s="237" t="str">
        <f>name!E$9</f>
        <v>Caring, leisure and other service occupations</v>
      </c>
      <c r="B388" s="302">
        <v>1.0886721476146648</v>
      </c>
      <c r="C388" s="302">
        <v>1.115650941643429</v>
      </c>
      <c r="D388" s="302">
        <v>1.4465289499885698</v>
      </c>
      <c r="E388" s="302">
        <f t="shared" si="168"/>
        <v>3.6508520392466637</v>
      </c>
      <c r="F388" s="303"/>
      <c r="G388" s="302">
        <v>1.7133817973597032</v>
      </c>
      <c r="H388" s="302">
        <v>1.322175702224236</v>
      </c>
      <c r="I388" s="302">
        <v>3.2314418084529635</v>
      </c>
      <c r="J388" s="302">
        <f t="shared" ref="J388:J391" si="171">SUM(G388:I388)</f>
        <v>6.2669993080369029</v>
      </c>
      <c r="K388" s="303"/>
      <c r="L388" s="302">
        <v>1.3409248910909128</v>
      </c>
      <c r="M388" s="302">
        <v>1.0471333976696644</v>
      </c>
      <c r="N388" s="302">
        <v>3.044387794823844</v>
      </c>
      <c r="O388" s="302">
        <f t="shared" si="170"/>
        <v>5.4324460835844217</v>
      </c>
    </row>
    <row r="389" spans="1:15" s="236" customFormat="1" x14ac:dyDescent="0.2">
      <c r="A389" s="237" t="str">
        <f>name!E$10</f>
        <v>Sales and customer service occupations</v>
      </c>
      <c r="B389" s="302">
        <v>9.8675551717577276E-2</v>
      </c>
      <c r="C389" s="302">
        <v>0.22767015441088623</v>
      </c>
      <c r="D389" s="302">
        <v>0.19250126282097718</v>
      </c>
      <c r="E389" s="302">
        <f t="shared" si="168"/>
        <v>0.5188469689494406</v>
      </c>
      <c r="F389" s="303"/>
      <c r="G389" s="302">
        <v>0.13354883101513193</v>
      </c>
      <c r="H389" s="302">
        <v>0.27856556810945615</v>
      </c>
      <c r="I389" s="302">
        <v>0.23640830687207956</v>
      </c>
      <c r="J389" s="302">
        <f t="shared" si="171"/>
        <v>0.64852270599666761</v>
      </c>
      <c r="K389" s="303"/>
      <c r="L389" s="302">
        <v>0.11433935091501066</v>
      </c>
      <c r="M389" s="302">
        <v>0.2653704382054059</v>
      </c>
      <c r="N389" s="302">
        <v>0.1123846483691141</v>
      </c>
      <c r="O389" s="302">
        <f t="shared" si="170"/>
        <v>0.49209443748953063</v>
      </c>
    </row>
    <row r="390" spans="1:15" s="236" customFormat="1" x14ac:dyDescent="0.2">
      <c r="A390" s="237" t="str">
        <f>name!E$11</f>
        <v>Process, plant and machine operatives</v>
      </c>
      <c r="B390" s="302">
        <v>0.13815524943773499</v>
      </c>
      <c r="C390" s="302">
        <v>0.15857949550681702</v>
      </c>
      <c r="D390" s="302">
        <v>5.9406877977197507E-2</v>
      </c>
      <c r="E390" s="302">
        <f t="shared" si="168"/>
        <v>0.3561416229217495</v>
      </c>
      <c r="F390" s="303"/>
      <c r="G390" s="302">
        <v>0.17078911244448214</v>
      </c>
      <c r="H390" s="302">
        <v>0.1670365100265403</v>
      </c>
      <c r="I390" s="302">
        <v>8.8129778401564232E-2</v>
      </c>
      <c r="J390" s="302">
        <f t="shared" si="171"/>
        <v>0.42595540087258665</v>
      </c>
      <c r="K390" s="303"/>
      <c r="L390" s="302">
        <v>0.12784078966537415</v>
      </c>
      <c r="M390" s="302">
        <v>0.14493429037005201</v>
      </c>
      <c r="N390" s="302">
        <v>6.1189729509639378E-2</v>
      </c>
      <c r="O390" s="302">
        <f t="shared" si="170"/>
        <v>0.33396480954506552</v>
      </c>
    </row>
    <row r="391" spans="1:15" s="236" customFormat="1" x14ac:dyDescent="0.2">
      <c r="A391" s="237" t="str">
        <f>name!E$12</f>
        <v>Elementary occupations</v>
      </c>
      <c r="B391" s="302">
        <v>0.26247702787940985</v>
      </c>
      <c r="C391" s="302">
        <v>0.71143622667536199</v>
      </c>
      <c r="D391" s="302">
        <v>0.25157977047585028</v>
      </c>
      <c r="E391" s="302">
        <f t="shared" si="168"/>
        <v>1.2254930250306222</v>
      </c>
      <c r="F391" s="303"/>
      <c r="G391" s="302">
        <v>0.35246699309461238</v>
      </c>
      <c r="H391" s="302">
        <v>0.40818158153595019</v>
      </c>
      <c r="I391" s="302">
        <v>0.24765947553552245</v>
      </c>
      <c r="J391" s="302">
        <f t="shared" si="171"/>
        <v>1.008308050166085</v>
      </c>
      <c r="K391" s="303"/>
      <c r="L391" s="302">
        <v>0.39427254973821635</v>
      </c>
      <c r="M391" s="302">
        <v>0.22025370893159327</v>
      </c>
      <c r="N391" s="302">
        <v>0.20618885981722382</v>
      </c>
      <c r="O391" s="302">
        <f t="shared" si="170"/>
        <v>0.82071511848703338</v>
      </c>
    </row>
    <row r="392" spans="1:15" s="236" customFormat="1" x14ac:dyDescent="0.2">
      <c r="A392" s="237"/>
      <c r="B392" s="302"/>
      <c r="C392" s="302"/>
      <c r="D392" s="302"/>
      <c r="E392" s="302"/>
      <c r="F392" s="303"/>
      <c r="G392" s="302"/>
      <c r="H392" s="302"/>
      <c r="I392" s="302"/>
      <c r="J392" s="302"/>
      <c r="K392" s="303"/>
      <c r="L392" s="302"/>
      <c r="M392" s="302"/>
      <c r="N392" s="302"/>
      <c r="O392" s="302"/>
    </row>
    <row r="393" spans="1:15" s="236" customFormat="1" x14ac:dyDescent="0.2">
      <c r="A393" s="244" t="s">
        <v>33</v>
      </c>
      <c r="B393" s="311">
        <f>SUM(B383:B391)</f>
        <v>3.4446192018427784</v>
      </c>
      <c r="C393" s="311">
        <f t="shared" ref="C393:E393" si="172">SUM(C383:C391)</f>
        <v>4.3285082254928371</v>
      </c>
      <c r="D393" s="311">
        <f t="shared" si="172"/>
        <v>4.3638725726643814</v>
      </c>
      <c r="E393" s="311">
        <f t="shared" si="172"/>
        <v>12.136999999999993</v>
      </c>
      <c r="F393" s="311"/>
      <c r="G393" s="311">
        <f t="shared" ref="G393:J393" si="173">SUM(G383:G391)</f>
        <v>5.4131434378495014</v>
      </c>
      <c r="H393" s="311">
        <f t="shared" si="173"/>
        <v>3.5939146342117176</v>
      </c>
      <c r="I393" s="311">
        <f t="shared" si="173"/>
        <v>7.14094192793877</v>
      </c>
      <c r="J393" s="311">
        <f t="shared" si="173"/>
        <v>16.147999999999989</v>
      </c>
      <c r="K393" s="311"/>
      <c r="L393" s="311">
        <f t="shared" ref="L393:O393" si="174">SUM(L383:L391)</f>
        <v>4.9239309377119609</v>
      </c>
      <c r="M393" s="311">
        <f t="shared" si="174"/>
        <v>3.1335959934574928</v>
      </c>
      <c r="N393" s="311">
        <f t="shared" si="174"/>
        <v>6.477473068830534</v>
      </c>
      <c r="O393" s="311">
        <f t="shared" si="174"/>
        <v>14.534999999999986</v>
      </c>
    </row>
    <row r="394" spans="1:15" s="236" customFormat="1" x14ac:dyDescent="0.2">
      <c r="A394" s="237"/>
      <c r="B394" s="237"/>
      <c r="C394" s="237"/>
      <c r="D394" s="237"/>
      <c r="E394" s="237"/>
      <c r="F394" s="237"/>
      <c r="G394" s="237"/>
      <c r="H394" s="237"/>
      <c r="I394" s="237"/>
      <c r="J394" s="237"/>
      <c r="K394" s="237"/>
      <c r="L394" s="237"/>
      <c r="M394" s="237"/>
      <c r="N394" s="240"/>
    </row>
  </sheetData>
  <mergeCells count="69">
    <mergeCell ref="B380:E380"/>
    <mergeCell ref="G380:J380"/>
    <mergeCell ref="L380:O380"/>
    <mergeCell ref="B346:E346"/>
    <mergeCell ref="G346:J346"/>
    <mergeCell ref="L346:O346"/>
    <mergeCell ref="B363:E363"/>
    <mergeCell ref="G363:J363"/>
    <mergeCell ref="L363:O363"/>
    <mergeCell ref="B312:E312"/>
    <mergeCell ref="G312:J312"/>
    <mergeCell ref="L312:O312"/>
    <mergeCell ref="B329:E329"/>
    <mergeCell ref="G329:J329"/>
    <mergeCell ref="L329:O329"/>
    <mergeCell ref="B278:E278"/>
    <mergeCell ref="G278:J278"/>
    <mergeCell ref="L278:O278"/>
    <mergeCell ref="B295:E295"/>
    <mergeCell ref="G295:J295"/>
    <mergeCell ref="L295:O295"/>
    <mergeCell ref="B244:E244"/>
    <mergeCell ref="G244:J244"/>
    <mergeCell ref="L244:O244"/>
    <mergeCell ref="B261:E261"/>
    <mergeCell ref="G261:J261"/>
    <mergeCell ref="L261:O261"/>
    <mergeCell ref="B210:E210"/>
    <mergeCell ref="G210:J210"/>
    <mergeCell ref="L210:O210"/>
    <mergeCell ref="B227:E227"/>
    <mergeCell ref="G227:J227"/>
    <mergeCell ref="L227:O227"/>
    <mergeCell ref="B193:E193"/>
    <mergeCell ref="G193:J193"/>
    <mergeCell ref="L193:O193"/>
    <mergeCell ref="B142:E142"/>
    <mergeCell ref="G142:J142"/>
    <mergeCell ref="L142:O142"/>
    <mergeCell ref="B159:E159"/>
    <mergeCell ref="G159:J159"/>
    <mergeCell ref="L159:O159"/>
    <mergeCell ref="B176:E176"/>
    <mergeCell ref="G176:J176"/>
    <mergeCell ref="L176:O176"/>
    <mergeCell ref="B125:E125"/>
    <mergeCell ref="G125:J125"/>
    <mergeCell ref="L125:O125"/>
    <mergeCell ref="B91:E91"/>
    <mergeCell ref="G91:J91"/>
    <mergeCell ref="L91:O91"/>
    <mergeCell ref="B108:E108"/>
    <mergeCell ref="G108:J108"/>
    <mergeCell ref="L108:O108"/>
    <mergeCell ref="B6:E6"/>
    <mergeCell ref="G6:J6"/>
    <mergeCell ref="L6:O6"/>
    <mergeCell ref="B23:E23"/>
    <mergeCell ref="G23:J23"/>
    <mergeCell ref="L23:O23"/>
    <mergeCell ref="B74:E74"/>
    <mergeCell ref="G74:J74"/>
    <mergeCell ref="L74:O74"/>
    <mergeCell ref="B40:E40"/>
    <mergeCell ref="G40:J40"/>
    <mergeCell ref="L40:O40"/>
    <mergeCell ref="B57:E57"/>
    <mergeCell ref="G57:J57"/>
    <mergeCell ref="L57:O57"/>
  </mergeCells>
  <pageMargins left="0.7" right="0.7" top="0.75" bottom="0.75" header="0.3" footer="0.3"/>
  <pageSetup paperSize="9" scale="78" fitToHeight="0" orientation="portrait" r:id="rId1"/>
  <rowBreaks count="5" manualBreakCount="5">
    <brk id="71" max="14" man="1"/>
    <brk id="139" max="14" man="1"/>
    <brk id="207" max="14" man="1"/>
    <brk id="275" max="14" man="1"/>
    <brk id="343" max="14" man="1"/>
  </rowBreaks>
  <drawing r:id="rId2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E00-000000000000}">
  <sheetPr codeName="Sheet10"/>
  <dimension ref="A1:AF90"/>
  <sheetViews>
    <sheetView showGridLines="0" zoomScale="85" zoomScaleNormal="85" workbookViewId="0"/>
  </sheetViews>
  <sheetFormatPr defaultRowHeight="12.75" x14ac:dyDescent="0.2"/>
  <cols>
    <col min="1" max="1" width="44.7109375" customWidth="1"/>
    <col min="2" max="6" width="10" customWidth="1"/>
    <col min="7" max="7" width="6.7109375" customWidth="1"/>
    <col min="8" max="10" width="13" customWidth="1"/>
    <col min="11" max="11" width="18.42578125" customWidth="1"/>
    <col min="12" max="12" width="44.7109375" customWidth="1"/>
    <col min="13" max="17" width="10" customWidth="1"/>
    <col min="18" max="18" width="6.7109375" customWidth="1"/>
    <col min="19" max="21" width="13" customWidth="1"/>
    <col min="22" max="22" width="28.85546875" customWidth="1"/>
    <col min="23" max="23" width="44.7109375" customWidth="1"/>
    <col min="24" max="28" width="10" customWidth="1"/>
    <col min="29" max="29" width="6.7109375" customWidth="1"/>
    <col min="30" max="32" width="13" customWidth="1"/>
  </cols>
  <sheetData>
    <row r="1" spans="1:32" ht="15.75" x14ac:dyDescent="0.25">
      <c r="A1" s="19" t="str">
        <f>CONCATENATE("Occupation Table 1  Employment Change by Occupation Group (SOC 2020) and Replacement Demand, ",B$6,"-",F$6,", ",Info!B5)</f>
        <v>Occupation Table 1  Employment Change by Occupation Group (SOC 2020) and Replacement Demand, 2015-2035, Greater Lincolnshire</v>
      </c>
      <c r="L1" s="19" t="str">
        <f>CONCATENATE("Occupation Table 1.1  Males: Employment Change by Occupation Group (SOC 2020) and Replacement Demand, ",B$6,"-",F$6,", ",Info!B5)</f>
        <v>Occupation Table 1.1  Males: Employment Change by Occupation Group (SOC 2020) and Replacement Demand, 2015-2035, Greater Lincolnshire</v>
      </c>
      <c r="W1" s="19" t="str">
        <f>CONCATENATE("Occupation Table 1.2  Females: Employment Change by Occupation Group (SOC 2020) and Replacement Demand, ",M$6,"-",Q$6,", ",Info!B5)</f>
        <v>Occupation Table 1.2  Females: Employment Change by Occupation Group (SOC 2020) and Replacement Demand, 2015-2035, Greater Lincolnshire</v>
      </c>
    </row>
    <row r="2" spans="1:32" x14ac:dyDescent="0.2">
      <c r="A2" s="1" t="s">
        <v>517</v>
      </c>
    </row>
    <row r="3" spans="1:32" x14ac:dyDescent="0.2">
      <c r="F3" s="16" t="s">
        <v>36</v>
      </c>
      <c r="J3" s="16" t="s">
        <v>36</v>
      </c>
      <c r="Q3" s="16" t="s">
        <v>36</v>
      </c>
      <c r="U3" s="16" t="s">
        <v>36</v>
      </c>
      <c r="AB3" s="16" t="s">
        <v>36</v>
      </c>
      <c r="AF3" s="16" t="s">
        <v>36</v>
      </c>
    </row>
    <row r="4" spans="1:32" x14ac:dyDescent="0.2">
      <c r="A4" s="36"/>
      <c r="B4" s="36"/>
      <c r="C4" s="36"/>
      <c r="D4" s="36"/>
      <c r="E4" s="36"/>
      <c r="F4" s="36"/>
      <c r="H4" s="28" t="str">
        <f>CONCATENATE(D6,"-",F6)</f>
        <v>2020-2035</v>
      </c>
      <c r="I4" s="36"/>
      <c r="J4" s="36"/>
      <c r="L4" s="28" t="s">
        <v>104</v>
      </c>
      <c r="M4" s="36"/>
      <c r="N4" s="36"/>
      <c r="O4" s="36"/>
      <c r="P4" s="36"/>
      <c r="Q4" s="36"/>
      <c r="S4" s="28" t="str">
        <f>CONCATENATE(O6,"-",Q6)</f>
        <v>2020-2035</v>
      </c>
      <c r="T4" s="36"/>
      <c r="U4" s="36"/>
      <c r="W4" s="28" t="s">
        <v>105</v>
      </c>
      <c r="X4" s="36"/>
      <c r="Y4" s="36"/>
      <c r="Z4" s="36"/>
      <c r="AA4" s="36"/>
      <c r="AB4" s="36"/>
      <c r="AD4" s="28" t="str">
        <f>CONCATENATE(Z6,"-",AB6)</f>
        <v>2020-2035</v>
      </c>
      <c r="AE4" s="36"/>
      <c r="AF4" s="36"/>
    </row>
    <row r="5" spans="1:32" x14ac:dyDescent="0.2">
      <c r="H5" s="16" t="s">
        <v>30</v>
      </c>
      <c r="I5" s="16" t="s">
        <v>31</v>
      </c>
      <c r="J5" s="16" t="s">
        <v>33</v>
      </c>
      <c r="S5" s="16" t="s">
        <v>30</v>
      </c>
      <c r="T5" s="16" t="s">
        <v>31</v>
      </c>
      <c r="U5" s="16" t="s">
        <v>33</v>
      </c>
      <c r="AD5" s="16" t="s">
        <v>30</v>
      </c>
      <c r="AE5" s="16" t="s">
        <v>31</v>
      </c>
      <c r="AF5" s="16" t="s">
        <v>33</v>
      </c>
    </row>
    <row r="6" spans="1:32" x14ac:dyDescent="0.2">
      <c r="A6" s="41" t="s">
        <v>13</v>
      </c>
      <c r="B6" s="35">
        <f>'Occ T2'!B6</f>
        <v>2015</v>
      </c>
      <c r="C6" s="35">
        <f>'Occ T2'!C6</f>
        <v>2019</v>
      </c>
      <c r="D6" s="35">
        <f>'Occ T2'!D6</f>
        <v>2020</v>
      </c>
      <c r="E6" s="35">
        <f>'Occ T2'!E6</f>
        <v>2025</v>
      </c>
      <c r="F6" s="35">
        <f>'Occ T2'!F6</f>
        <v>2035</v>
      </c>
      <c r="G6" s="10"/>
      <c r="H6" s="63" t="s">
        <v>19</v>
      </c>
      <c r="I6" s="63" t="s">
        <v>32</v>
      </c>
      <c r="J6" s="63" t="s">
        <v>34</v>
      </c>
      <c r="L6" s="41" t="s">
        <v>13</v>
      </c>
      <c r="M6" s="35">
        <f>'Occ T2'!B6</f>
        <v>2015</v>
      </c>
      <c r="N6" s="35">
        <f>'Occ T2'!C6</f>
        <v>2019</v>
      </c>
      <c r="O6" s="35">
        <f>'Occ T2'!D6</f>
        <v>2020</v>
      </c>
      <c r="P6" s="35">
        <f>'Occ T2'!E6</f>
        <v>2025</v>
      </c>
      <c r="Q6" s="35">
        <f>'Occ T2'!F6</f>
        <v>2035</v>
      </c>
      <c r="R6" s="10"/>
      <c r="S6" s="63" t="s">
        <v>19</v>
      </c>
      <c r="T6" s="63" t="s">
        <v>32</v>
      </c>
      <c r="U6" s="63" t="s">
        <v>34</v>
      </c>
      <c r="W6" s="41" t="s">
        <v>13</v>
      </c>
      <c r="X6" s="35">
        <f>'Occ T2'!B6</f>
        <v>2015</v>
      </c>
      <c r="Y6" s="35">
        <f>'Occ T2'!C6</f>
        <v>2019</v>
      </c>
      <c r="Z6" s="35">
        <f>'Occ T2'!D6</f>
        <v>2020</v>
      </c>
      <c r="AA6" s="35">
        <f>'Occ T2'!E6</f>
        <v>2025</v>
      </c>
      <c r="AB6" s="35">
        <f>'Occ T2'!F6</f>
        <v>2035</v>
      </c>
      <c r="AC6" s="10"/>
      <c r="AD6" s="63" t="s">
        <v>19</v>
      </c>
      <c r="AE6" s="63" t="s">
        <v>32</v>
      </c>
      <c r="AF6" s="63" t="s">
        <v>34</v>
      </c>
    </row>
    <row r="7" spans="1:32" x14ac:dyDescent="0.2">
      <c r="C7" s="10"/>
      <c r="D7" s="10"/>
      <c r="E7" s="10"/>
      <c r="F7" s="10"/>
      <c r="N7" s="10"/>
      <c r="O7" s="10"/>
      <c r="P7" s="10"/>
      <c r="Q7" s="10"/>
      <c r="Y7" s="10"/>
      <c r="Z7" s="10"/>
      <c r="AA7" s="10"/>
      <c r="AB7" s="10"/>
    </row>
    <row r="8" spans="1:32" x14ac:dyDescent="0.2">
      <c r="A8" t="str">
        <f>name!E4</f>
        <v>Managers, directors and senior officials</v>
      </c>
      <c r="B8" s="11">
        <f t="array" ref="B8:B16">MMULT(aggregation!$B$13:$AA$21,'Occ T2'!B8:B33)</f>
        <v>45.730595176532695</v>
      </c>
      <c r="C8" s="11">
        <f t="array" ref="C8:C16">MMULT(aggregation!$B$13:$AA$21,'Occ T2'!C8:C33)</f>
        <v>52.216714304978296</v>
      </c>
      <c r="D8" s="11">
        <f t="array" ref="D8:D16">MMULT(aggregation!$B$13:$AA$21,'Occ T2'!D8:D33)</f>
        <v>54.908286938105874</v>
      </c>
      <c r="E8" s="11">
        <f t="array" ref="E8:E16">MMULT(aggregation!$B$13:$AA$21,'Occ T2'!E8:E33)</f>
        <v>51.386419923366432</v>
      </c>
      <c r="F8" s="11">
        <f t="array" ref="F8:F16">MMULT(aggregation!$B$13:$AA$21,'Occ T2'!F8:F33)</f>
        <v>55.943507600005354</v>
      </c>
      <c r="G8" s="11"/>
      <c r="H8" s="11">
        <f>F8-D8</f>
        <v>1.0352206618994799</v>
      </c>
      <c r="I8" s="11">
        <f t="array" ref="I8:I16">MMULT(aggregation!$B$13:$AA$21,'Occ T2'!I8:I33)</f>
        <v>27.28221822741175</v>
      </c>
      <c r="J8" s="11">
        <f>SUM(H8:I8)</f>
        <v>28.31743888931123</v>
      </c>
      <c r="L8" s="10" t="str">
        <f>name!E4</f>
        <v>Managers, directors and senior officials</v>
      </c>
      <c r="M8" s="11">
        <f t="array" ref="M8:M16">MMULT(aggregation!$B$13:$AA$21,'Occ T2'!M8:M33)</f>
        <v>31.713337362826191</v>
      </c>
      <c r="N8" s="11">
        <f t="array" ref="N8:N16">MMULT(aggregation!$B$13:$AA$21,'Occ T2'!N8:N33)</f>
        <v>34.639473639383411</v>
      </c>
      <c r="O8" s="11">
        <f t="array" ref="O8:O16">MMULT(aggregation!$B$13:$AA$21,'Occ T2'!O8:O33)</f>
        <v>36.980847876373616</v>
      </c>
      <c r="P8" s="11">
        <f t="array" ref="P8:P16">MMULT(aggregation!$B$13:$AA$21,'Occ T2'!P8:P33)</f>
        <v>34.54196277566939</v>
      </c>
      <c r="Q8" s="11">
        <f t="array" ref="Q8:Q16">MMULT(aggregation!$B$13:$AA$21,'Occ T2'!Q8:Q33)</f>
        <v>36.775790116225053</v>
      </c>
      <c r="R8" s="11"/>
      <c r="S8" s="11">
        <f>Q8-O8</f>
        <v>-0.20505776014856281</v>
      </c>
      <c r="T8" s="11">
        <f t="array" ref="T8:T16">MMULT(aggregation!$B$13:$AA$21,'Occ T2'!T8:T33)</f>
        <v>16.695748661663089</v>
      </c>
      <c r="U8" s="11">
        <f>SUM(S8:T8)</f>
        <v>16.490690901514526</v>
      </c>
      <c r="W8" s="10" t="str">
        <f>name!E4</f>
        <v>Managers, directors and senior officials</v>
      </c>
      <c r="X8" s="11">
        <f t="array" ref="X8:X16">MMULT(aggregation!$B$13:$AA$21,'Occ T2'!X8:X33)</f>
        <v>14.017257813706454</v>
      </c>
      <c r="Y8" s="11">
        <f t="array" ref="Y8:Y16">MMULT(aggregation!$B$13:$AA$21,'Occ T2'!Y8:Y33)</f>
        <v>17.577240665594882</v>
      </c>
      <c r="Z8" s="11">
        <f t="array" ref="Z8:Z16">MMULT(aggregation!$B$13:$AA$21,'Occ T2'!Z8:Z33)</f>
        <v>17.927439061732244</v>
      </c>
      <c r="AA8" s="11">
        <f t="array" ref="AA8:AA16">MMULT(aggregation!$B$13:$AA$21,'Occ T2'!AA8:AA33)</f>
        <v>16.844457147697018</v>
      </c>
      <c r="AB8" s="11">
        <f t="array" ref="AB8:AB16">MMULT(aggregation!$B$13:$AA$21,'Occ T2'!AB8:AB33)</f>
        <v>19.167717483780336</v>
      </c>
      <c r="AC8" s="11"/>
      <c r="AD8" s="11">
        <f>AB8-Z8</f>
        <v>1.2402784220480925</v>
      </c>
      <c r="AE8" s="11">
        <f t="array" ref="AE8:AE16">MMULT(aggregation!$B$13:$AA$21,'Occ T2'!AE8:AE33)</f>
        <v>10.586469565748663</v>
      </c>
      <c r="AF8" s="11">
        <f>SUM(AD8:AE8)</f>
        <v>11.826747987796756</v>
      </c>
    </row>
    <row r="9" spans="1:32" x14ac:dyDescent="0.2">
      <c r="A9" t="str">
        <f>name!E5</f>
        <v>Professional occupations</v>
      </c>
      <c r="B9" s="11">
        <v>84.148060400468779</v>
      </c>
      <c r="C9" s="11">
        <v>93.942602772046001</v>
      </c>
      <c r="D9" s="11">
        <v>100.75322851210709</v>
      </c>
      <c r="E9" s="11">
        <v>106.41960924409312</v>
      </c>
      <c r="F9" s="11">
        <v>117.27071910226633</v>
      </c>
      <c r="G9" s="11"/>
      <c r="H9" s="11">
        <f t="shared" ref="H9:H16" si="0">F9-D9</f>
        <v>16.517490590159241</v>
      </c>
      <c r="I9" s="11">
        <v>49.2430671217232</v>
      </c>
      <c r="J9" s="11">
        <f t="shared" ref="J9:J15" si="1">SUM(H9:I9)</f>
        <v>65.760557711882441</v>
      </c>
      <c r="L9" s="10" t="str">
        <f>name!E5</f>
        <v>Professional occupations</v>
      </c>
      <c r="M9" s="11">
        <v>45.396039716008829</v>
      </c>
      <c r="N9" s="11">
        <v>48.532410851082766</v>
      </c>
      <c r="O9" s="11">
        <v>52.256977779632571</v>
      </c>
      <c r="P9" s="11">
        <v>57.124591588850862</v>
      </c>
      <c r="Q9" s="11">
        <v>62.557131636450841</v>
      </c>
      <c r="R9" s="11"/>
      <c r="S9" s="11">
        <f t="shared" ref="S9:S16" si="2">Q9-O9</f>
        <v>10.30015385681827</v>
      </c>
      <c r="T9" s="11">
        <v>21.594952679188733</v>
      </c>
      <c r="U9" s="11">
        <f t="shared" ref="U9:U12" si="3">SUM(S9:T9)</f>
        <v>31.895106536007003</v>
      </c>
      <c r="W9" s="10" t="str">
        <f>name!E5</f>
        <v>Professional occupations</v>
      </c>
      <c r="X9" s="11">
        <v>38.752020684459907</v>
      </c>
      <c r="Y9" s="11">
        <v>45.410191920963186</v>
      </c>
      <c r="Z9" s="11">
        <v>48.496250732474593</v>
      </c>
      <c r="AA9" s="11">
        <v>49.295017655242212</v>
      </c>
      <c r="AB9" s="11">
        <v>54.713587465815607</v>
      </c>
      <c r="AC9" s="11"/>
      <c r="AD9" s="11">
        <f t="shared" ref="AD9:AD16" si="4">AB9-Z9</f>
        <v>6.2173367333410141</v>
      </c>
      <c r="AE9" s="11">
        <v>27.648114442534471</v>
      </c>
      <c r="AF9" s="11">
        <f t="shared" ref="AF9:AF12" si="5">SUM(AD9:AE9)</f>
        <v>33.865451175875485</v>
      </c>
    </row>
    <row r="10" spans="1:32" x14ac:dyDescent="0.2">
      <c r="A10" t="str">
        <f>name!E6</f>
        <v>Associate professional occupations</v>
      </c>
      <c r="B10" s="11">
        <v>53.926885449501597</v>
      </c>
      <c r="C10" s="11">
        <v>57.79169663030892</v>
      </c>
      <c r="D10" s="11">
        <v>61.437373146147308</v>
      </c>
      <c r="E10" s="11">
        <v>64.423006273493314</v>
      </c>
      <c r="F10" s="11">
        <v>69.798906165083082</v>
      </c>
      <c r="G10" s="11"/>
      <c r="H10" s="11">
        <f t="shared" si="0"/>
        <v>8.3615330189357735</v>
      </c>
      <c r="I10" s="11">
        <v>30.537552896564677</v>
      </c>
      <c r="J10" s="11">
        <f t="shared" si="1"/>
        <v>38.89908591550045</v>
      </c>
      <c r="L10" s="10" t="str">
        <f>name!E6</f>
        <v>Associate professional occupations</v>
      </c>
      <c r="M10" s="11">
        <v>30.228666360773108</v>
      </c>
      <c r="N10" s="11">
        <v>31.114221217655029</v>
      </c>
      <c r="O10" s="11">
        <v>33.443885817293008</v>
      </c>
      <c r="P10" s="11">
        <v>31.754523012646327</v>
      </c>
      <c r="Q10" s="11">
        <v>32.620389556604977</v>
      </c>
      <c r="R10" s="11"/>
      <c r="S10" s="11">
        <f t="shared" si="2"/>
        <v>-0.82349626068803161</v>
      </c>
      <c r="T10" s="11">
        <v>11.972288348572285</v>
      </c>
      <c r="U10" s="11">
        <f t="shared" si="3"/>
        <v>11.148792087884253</v>
      </c>
      <c r="W10" s="10" t="str">
        <f>name!E6</f>
        <v>Associate professional occupations</v>
      </c>
      <c r="X10" s="11">
        <v>23.698219088728433</v>
      </c>
      <c r="Y10" s="11">
        <v>26.677475412653912</v>
      </c>
      <c r="Z10" s="11">
        <v>27.993487328854307</v>
      </c>
      <c r="AA10" s="11">
        <v>32.668483260846983</v>
      </c>
      <c r="AB10" s="11">
        <v>37.178516608478049</v>
      </c>
      <c r="AC10" s="11"/>
      <c r="AD10" s="11">
        <f t="shared" si="4"/>
        <v>9.1850292796237412</v>
      </c>
      <c r="AE10" s="11">
        <v>18.565264547992395</v>
      </c>
      <c r="AF10" s="11">
        <f t="shared" si="5"/>
        <v>27.750293827616137</v>
      </c>
    </row>
    <row r="11" spans="1:32" x14ac:dyDescent="0.2">
      <c r="A11" t="str">
        <f>name!E7</f>
        <v>Administrative and secretarial occupations</v>
      </c>
      <c r="B11" s="11">
        <v>51.366410445082977</v>
      </c>
      <c r="C11" s="11">
        <v>49.545930358588819</v>
      </c>
      <c r="D11" s="11">
        <v>51.152140412056283</v>
      </c>
      <c r="E11" s="11">
        <v>51.029967874902667</v>
      </c>
      <c r="F11" s="11">
        <v>48.17662628932424</v>
      </c>
      <c r="G11" s="11"/>
      <c r="H11" s="11">
        <f t="shared" si="0"/>
        <v>-2.9755141227320436</v>
      </c>
      <c r="I11" s="11">
        <v>25.40184027210924</v>
      </c>
      <c r="J11" s="11">
        <f t="shared" si="1"/>
        <v>22.426326149377196</v>
      </c>
      <c r="L11" s="10" t="str">
        <f>name!E7</f>
        <v>Administrative and secretarial occupations</v>
      </c>
      <c r="M11" s="11">
        <v>10.819682357163604</v>
      </c>
      <c r="N11" s="11">
        <v>9.7521728056245323</v>
      </c>
      <c r="O11" s="11">
        <v>11.842551343788982</v>
      </c>
      <c r="P11" s="11">
        <v>12.253717870021296</v>
      </c>
      <c r="Q11" s="11">
        <v>13.497244657653679</v>
      </c>
      <c r="R11" s="11"/>
      <c r="S11" s="11">
        <f t="shared" si="2"/>
        <v>1.6546933138646978</v>
      </c>
      <c r="T11" s="11">
        <v>4.5896144101261518</v>
      </c>
      <c r="U11" s="11">
        <f t="shared" si="3"/>
        <v>6.2443077239908495</v>
      </c>
      <c r="W11" s="10" t="str">
        <f>name!E7</f>
        <v>Administrative and secretarial occupations</v>
      </c>
      <c r="X11" s="11">
        <v>40.546728087919305</v>
      </c>
      <c r="Y11" s="11">
        <v>39.793757552964337</v>
      </c>
      <c r="Z11" s="11">
        <v>39.30958906826735</v>
      </c>
      <c r="AA11" s="11">
        <v>38.776250004881383</v>
      </c>
      <c r="AB11" s="11">
        <v>34.679381631670587</v>
      </c>
      <c r="AC11" s="11"/>
      <c r="AD11" s="11">
        <f t="shared" si="4"/>
        <v>-4.6302074365967627</v>
      </c>
      <c r="AE11" s="11">
        <v>20.812225861983094</v>
      </c>
      <c r="AF11" s="11">
        <f t="shared" si="5"/>
        <v>16.182018425386332</v>
      </c>
    </row>
    <row r="12" spans="1:32" x14ac:dyDescent="0.2">
      <c r="A12" t="str">
        <f>name!E8</f>
        <v>Skilled trades occupations</v>
      </c>
      <c r="B12" s="11">
        <v>55.572068003104462</v>
      </c>
      <c r="C12" s="11">
        <v>52.237315937644496</v>
      </c>
      <c r="D12" s="11">
        <v>48.532940947383196</v>
      </c>
      <c r="E12" s="11">
        <v>46.790098801743497</v>
      </c>
      <c r="F12" s="11">
        <v>43.234890421391583</v>
      </c>
      <c r="G12" s="11"/>
      <c r="H12" s="11">
        <f t="shared" si="0"/>
        <v>-5.2980505259916129</v>
      </c>
      <c r="I12" s="11">
        <v>19.545102272774439</v>
      </c>
      <c r="J12" s="11">
        <f t="shared" si="1"/>
        <v>14.247051746782827</v>
      </c>
      <c r="L12" s="10" t="str">
        <f>name!E8</f>
        <v>Skilled trades occupations</v>
      </c>
      <c r="M12" s="11">
        <v>48.808096153272601</v>
      </c>
      <c r="N12" s="11">
        <v>44.494403112139686</v>
      </c>
      <c r="O12" s="11">
        <v>41.553006799001942</v>
      </c>
      <c r="P12" s="11">
        <v>39.793898544800882</v>
      </c>
      <c r="Q12" s="11">
        <v>36.242674369242749</v>
      </c>
      <c r="R12" s="11"/>
      <c r="S12" s="11">
        <f t="shared" si="2"/>
        <v>-5.3103324297591925</v>
      </c>
      <c r="T12" s="11">
        <v>15.353021078339527</v>
      </c>
      <c r="U12" s="11">
        <f t="shared" si="3"/>
        <v>10.042688648580334</v>
      </c>
      <c r="W12" s="10" t="str">
        <f>name!E8</f>
        <v>Skilled trades occupations</v>
      </c>
      <c r="X12" s="11">
        <v>6.7639718498318206</v>
      </c>
      <c r="Y12" s="11">
        <v>7.7429128255047637</v>
      </c>
      <c r="Z12" s="11">
        <v>6.9799341483812558</v>
      </c>
      <c r="AA12" s="11">
        <v>6.9962002569426529</v>
      </c>
      <c r="AB12" s="11">
        <v>6.9922160521488195</v>
      </c>
      <c r="AC12" s="11"/>
      <c r="AD12" s="11">
        <f t="shared" si="4"/>
        <v>1.2281903767563662E-2</v>
      </c>
      <c r="AE12" s="11">
        <v>4.1920811944349126</v>
      </c>
      <c r="AF12" s="11">
        <f t="shared" si="5"/>
        <v>4.2043630982024762</v>
      </c>
    </row>
    <row r="13" spans="1:32" x14ac:dyDescent="0.2">
      <c r="A13" t="str">
        <f>name!E9</f>
        <v>Caring, leisure and other service occupations</v>
      </c>
      <c r="B13" s="11">
        <v>55.221174806923877</v>
      </c>
      <c r="C13" s="11">
        <v>58.548155106719392</v>
      </c>
      <c r="D13" s="11">
        <v>56.846498020688699</v>
      </c>
      <c r="E13" s="11">
        <v>57.23757849986368</v>
      </c>
      <c r="F13" s="11">
        <v>60.427646216979987</v>
      </c>
      <c r="G13" s="11"/>
      <c r="H13" s="11">
        <f t="shared" si="0"/>
        <v>3.5811481962912879</v>
      </c>
      <c r="I13" s="11">
        <v>31.59002618337378</v>
      </c>
      <c r="J13" s="11">
        <f>SUM(H13:I13)</f>
        <v>35.171174379665068</v>
      </c>
      <c r="L13" s="10" t="str">
        <f>name!E9</f>
        <v>Caring, leisure and other service occupations</v>
      </c>
      <c r="M13" s="11">
        <v>10.095208833862603</v>
      </c>
      <c r="N13" s="11">
        <v>10.584519933391405</v>
      </c>
      <c r="O13" s="11">
        <v>10.791487795048305</v>
      </c>
      <c r="P13" s="11">
        <v>11.715586466940911</v>
      </c>
      <c r="Q13" s="11">
        <v>13.283714291669913</v>
      </c>
      <c r="R13" s="11"/>
      <c r="S13" s="11">
        <f t="shared" si="2"/>
        <v>2.4922264966216083</v>
      </c>
      <c r="T13" s="11">
        <v>5.2281445130231718</v>
      </c>
      <c r="U13" s="11">
        <f>SUM(S13:T13)</f>
        <v>7.7203710096447802</v>
      </c>
      <c r="W13" s="10" t="str">
        <f>name!E9</f>
        <v>Caring, leisure and other service occupations</v>
      </c>
      <c r="X13" s="11">
        <v>45.125965973061255</v>
      </c>
      <c r="Y13" s="11">
        <v>47.963635173328008</v>
      </c>
      <c r="Z13" s="11">
        <v>46.05501022564038</v>
      </c>
      <c r="AA13" s="11">
        <v>45.521992032922768</v>
      </c>
      <c r="AB13" s="11">
        <v>47.143931925310085</v>
      </c>
      <c r="AC13" s="11"/>
      <c r="AD13" s="11">
        <f t="shared" si="4"/>
        <v>1.0889216996697044</v>
      </c>
      <c r="AE13" s="11">
        <v>26.361881670350609</v>
      </c>
      <c r="AF13" s="11">
        <f>SUM(AD13:AE13)</f>
        <v>27.450803370020314</v>
      </c>
    </row>
    <row r="14" spans="1:32" x14ac:dyDescent="0.2">
      <c r="A14" t="str">
        <f>name!E10</f>
        <v>Sales and customer service occupations</v>
      </c>
      <c r="B14" s="11">
        <v>46.36807217069466</v>
      </c>
      <c r="C14" s="11">
        <v>43.433376381887506</v>
      </c>
      <c r="D14" s="11">
        <v>42.827473840804956</v>
      </c>
      <c r="E14" s="11">
        <v>42.585358209329534</v>
      </c>
      <c r="F14" s="11">
        <v>42.521498139387894</v>
      </c>
      <c r="G14" s="11"/>
      <c r="H14" s="11">
        <f t="shared" si="0"/>
        <v>-0.30597570141706143</v>
      </c>
      <c r="I14" s="11">
        <v>19.965012253077241</v>
      </c>
      <c r="J14" s="11">
        <f t="shared" si="1"/>
        <v>19.659036551660179</v>
      </c>
      <c r="L14" s="10" t="str">
        <f>name!E10</f>
        <v>Sales and customer service occupations</v>
      </c>
      <c r="M14" s="11">
        <v>16.536810528752209</v>
      </c>
      <c r="N14" s="11">
        <v>15.479511757307732</v>
      </c>
      <c r="O14" s="11">
        <v>15.9359019589222</v>
      </c>
      <c r="P14" s="11">
        <v>16.280557096217926</v>
      </c>
      <c r="Q14" s="11">
        <v>16.518001782113796</v>
      </c>
      <c r="R14" s="11"/>
      <c r="S14" s="11">
        <f t="shared" si="2"/>
        <v>0.58209982319159614</v>
      </c>
      <c r="T14" s="11">
        <v>5.3848586505534417</v>
      </c>
      <c r="U14" s="11">
        <f t="shared" ref="U14:U15" si="6">SUM(S14:T14)</f>
        <v>5.9669584737450378</v>
      </c>
      <c r="W14" s="10" t="str">
        <f>name!E10</f>
        <v>Sales and customer service occupations</v>
      </c>
      <c r="X14" s="11">
        <v>29.831261641942405</v>
      </c>
      <c r="Y14" s="11">
        <v>27.953864624579769</v>
      </c>
      <c r="Z14" s="11">
        <v>26.891571881882712</v>
      </c>
      <c r="AA14" s="11">
        <v>26.304801113111619</v>
      </c>
      <c r="AB14" s="11">
        <v>26.003496357274134</v>
      </c>
      <c r="AC14" s="11"/>
      <c r="AD14" s="11">
        <f t="shared" si="4"/>
        <v>-0.88807552460857764</v>
      </c>
      <c r="AE14" s="11">
        <v>14.580153602523797</v>
      </c>
      <c r="AF14" s="11">
        <f t="shared" ref="AF14:AF15" si="7">SUM(AD14:AE14)</f>
        <v>13.69207807791522</v>
      </c>
    </row>
    <row r="15" spans="1:32" x14ac:dyDescent="0.2">
      <c r="A15" t="str">
        <f>name!E11</f>
        <v>Process, plant and machine operatives</v>
      </c>
      <c r="B15" s="11">
        <v>44.721812114267756</v>
      </c>
      <c r="C15" s="11">
        <v>44.49196610860912</v>
      </c>
      <c r="D15" s="11">
        <v>41.529068763260419</v>
      </c>
      <c r="E15" s="11">
        <v>41.651395757268759</v>
      </c>
      <c r="F15" s="11">
        <v>39.260522108603936</v>
      </c>
      <c r="G15" s="11"/>
      <c r="H15" s="11">
        <f t="shared" si="0"/>
        <v>-2.2685466546564825</v>
      </c>
      <c r="I15" s="11">
        <v>18.944208242675344</v>
      </c>
      <c r="J15" s="11">
        <f t="shared" si="1"/>
        <v>16.675661588018862</v>
      </c>
      <c r="L15" s="10" t="str">
        <f>name!E11</f>
        <v>Process, plant and machine operatives</v>
      </c>
      <c r="M15" s="11">
        <v>37.772800417087325</v>
      </c>
      <c r="N15" s="11">
        <v>37.159638105538775</v>
      </c>
      <c r="O15" s="11">
        <v>35.405273255422024</v>
      </c>
      <c r="P15" s="11">
        <v>34.626790953641617</v>
      </c>
      <c r="Q15" s="11">
        <v>31.851806224225143</v>
      </c>
      <c r="R15" s="11"/>
      <c r="S15" s="11">
        <f t="shared" si="2"/>
        <v>-3.553467031196881</v>
      </c>
      <c r="T15" s="11">
        <v>15.365270642043658</v>
      </c>
      <c r="U15" s="11">
        <f t="shared" si="6"/>
        <v>11.811803610846777</v>
      </c>
      <c r="W15" s="10" t="str">
        <f>name!E11</f>
        <v>Process, plant and machine operatives</v>
      </c>
      <c r="X15" s="11">
        <v>6.9490116971803726</v>
      </c>
      <c r="Y15" s="11">
        <v>7.3323280030703346</v>
      </c>
      <c r="Z15" s="11">
        <v>6.1237955078384614</v>
      </c>
      <c r="AA15" s="11">
        <v>7.0246048036271027</v>
      </c>
      <c r="AB15" s="11">
        <v>7.408715884378795</v>
      </c>
      <c r="AC15" s="11"/>
      <c r="AD15" s="11">
        <f t="shared" si="4"/>
        <v>1.2849203765403336</v>
      </c>
      <c r="AE15" s="11">
        <v>3.5789376006316864</v>
      </c>
      <c r="AF15" s="11">
        <f t="shared" si="7"/>
        <v>4.8638579771720201</v>
      </c>
    </row>
    <row r="16" spans="1:32" x14ac:dyDescent="0.2">
      <c r="A16" t="str">
        <f>name!E12</f>
        <v>Elementary occupations</v>
      </c>
      <c r="B16" s="11">
        <v>64.549921433423492</v>
      </c>
      <c r="C16" s="11">
        <v>61.55824239921737</v>
      </c>
      <c r="D16" s="11">
        <v>56.857989419446334</v>
      </c>
      <c r="E16" s="11">
        <v>58.846565415939224</v>
      </c>
      <c r="F16" s="11">
        <v>56.277683956957446</v>
      </c>
      <c r="G16" s="11"/>
      <c r="H16" s="11">
        <f t="shared" si="0"/>
        <v>-0.58030546248888726</v>
      </c>
      <c r="I16" s="11">
        <v>27.028323555241371</v>
      </c>
      <c r="J16" s="11">
        <f>SUM(H16:I16)</f>
        <v>26.448018092752484</v>
      </c>
      <c r="L16" s="10" t="str">
        <f>name!E12</f>
        <v>Elementary occupations</v>
      </c>
      <c r="M16" s="11">
        <v>36.109680637463875</v>
      </c>
      <c r="N16" s="11">
        <v>32.447838091577587</v>
      </c>
      <c r="O16" s="11">
        <v>31.270615458035962</v>
      </c>
      <c r="P16" s="11">
        <v>33.013231471346607</v>
      </c>
      <c r="Q16" s="11">
        <v>31.530373125757379</v>
      </c>
      <c r="R16" s="11"/>
      <c r="S16" s="11">
        <f t="shared" si="2"/>
        <v>0.2597576677214164</v>
      </c>
      <c r="T16" s="11">
        <v>12.132554692101955</v>
      </c>
      <c r="U16" s="11">
        <f>SUM(S16:T16)</f>
        <v>12.392312359823372</v>
      </c>
      <c r="W16" s="10" t="str">
        <f>name!E12</f>
        <v>Elementary occupations</v>
      </c>
      <c r="X16" s="11">
        <v>28.440240795959674</v>
      </c>
      <c r="Y16" s="11">
        <v>29.110404307639765</v>
      </c>
      <c r="Z16" s="11">
        <v>25.587373961410414</v>
      </c>
      <c r="AA16" s="11">
        <v>25.833333944592663</v>
      </c>
      <c r="AB16" s="11">
        <v>24.74731083120006</v>
      </c>
      <c r="AC16" s="11"/>
      <c r="AD16" s="11">
        <f t="shared" si="4"/>
        <v>-0.84006313021035339</v>
      </c>
      <c r="AE16" s="11">
        <v>14.895768863139413</v>
      </c>
      <c r="AF16" s="11">
        <f>SUM(AD16:AE16)</f>
        <v>14.055705732929059</v>
      </c>
    </row>
    <row r="17" spans="1:32" x14ac:dyDescent="0.2">
      <c r="B17" s="11"/>
      <c r="C17" s="11"/>
      <c r="D17" s="11"/>
      <c r="E17" s="11"/>
      <c r="F17" s="11"/>
      <c r="G17" s="11"/>
      <c r="H17" s="11"/>
      <c r="I17" s="11"/>
      <c r="J17" s="11"/>
      <c r="M17" s="11"/>
      <c r="N17" s="11"/>
      <c r="O17" s="11"/>
      <c r="P17" s="11"/>
      <c r="Q17" s="11"/>
      <c r="R17" s="11"/>
      <c r="S17" s="11"/>
      <c r="T17" s="11"/>
      <c r="U17" s="11"/>
      <c r="X17" s="11"/>
      <c r="Y17" s="11"/>
      <c r="Z17" s="11"/>
      <c r="AA17" s="11"/>
      <c r="AB17" s="11"/>
      <c r="AC17" s="11"/>
      <c r="AD17" s="11"/>
      <c r="AE17" s="11"/>
      <c r="AF17" s="11"/>
    </row>
    <row r="18" spans="1:32" x14ac:dyDescent="0.2">
      <c r="A18" s="24" t="str">
        <f>name!E3</f>
        <v>All occupations</v>
      </c>
      <c r="B18" s="34">
        <f>SUM(B8:B16)</f>
        <v>501.60500000000036</v>
      </c>
      <c r="C18" s="34">
        <f>SUM(C8:C16)</f>
        <v>513.76599999999996</v>
      </c>
      <c r="D18" s="34">
        <f>SUM(D8:D16)</f>
        <v>514.84500000000014</v>
      </c>
      <c r="E18" s="34">
        <f>SUM(E8:E16)</f>
        <v>520.37000000000023</v>
      </c>
      <c r="F18" s="34">
        <f>SUM(F8:F16)</f>
        <v>532.91199999999981</v>
      </c>
      <c r="G18" s="11"/>
      <c r="H18" s="34">
        <f>SUM(H8:H16)</f>
        <v>18.066999999999695</v>
      </c>
      <c r="I18" s="34">
        <f>SUM(I8:I16)</f>
        <v>249.53735102495105</v>
      </c>
      <c r="J18" s="34">
        <f>SUM(H18:I18)</f>
        <v>267.60435102495074</v>
      </c>
      <c r="L18" s="231" t="str">
        <f>name!E3</f>
        <v>All occupations</v>
      </c>
      <c r="M18" s="34">
        <f>SUM(M8:M16)</f>
        <v>267.48032236721036</v>
      </c>
      <c r="N18" s="34">
        <f>SUM(N8:N16)</f>
        <v>264.2041895137009</v>
      </c>
      <c r="O18" s="34">
        <f>SUM(O8:O16)</f>
        <v>269.48054808351856</v>
      </c>
      <c r="P18" s="34">
        <f>SUM(P8:P16)</f>
        <v>271.10485978013583</v>
      </c>
      <c r="Q18" s="34">
        <f>SUM(Q8:Q16)</f>
        <v>274.87712575994351</v>
      </c>
      <c r="R18" s="11"/>
      <c r="S18" s="34">
        <f>SUM(S8:S16)</f>
        <v>5.3965776764249203</v>
      </c>
      <c r="T18" s="34">
        <f>SUM(T8:T16)</f>
        <v>108.316453675612</v>
      </c>
      <c r="U18" s="34">
        <f>SUM(S18:T18)</f>
        <v>113.71303135203692</v>
      </c>
      <c r="W18" s="231" t="str">
        <f>name!E3</f>
        <v>All occupations</v>
      </c>
      <c r="X18" s="34">
        <f>SUM(X8:X16)</f>
        <v>234.12467763278963</v>
      </c>
      <c r="Y18" s="34">
        <f>SUM(Y8:Y16)</f>
        <v>249.56181048629895</v>
      </c>
      <c r="Z18" s="34">
        <f>SUM(Z8:Z16)</f>
        <v>245.36445191648173</v>
      </c>
      <c r="AA18" s="34">
        <f>SUM(AA8:AA16)</f>
        <v>249.26514021986441</v>
      </c>
      <c r="AB18" s="34">
        <f>SUM(AB8:AB16)</f>
        <v>258.03487424005652</v>
      </c>
      <c r="AC18" s="11"/>
      <c r="AD18" s="34">
        <f>SUM(AD8:AD16)</f>
        <v>12.670422323574755</v>
      </c>
      <c r="AE18" s="34">
        <f>SUM(AE8:AE16)</f>
        <v>141.22089734933905</v>
      </c>
      <c r="AF18" s="34">
        <f>SUM(AD18:AE18)</f>
        <v>153.89131967291382</v>
      </c>
    </row>
    <row r="19" spans="1:32" x14ac:dyDescent="0.2">
      <c r="B19" s="11"/>
      <c r="C19" s="11"/>
      <c r="D19" s="11"/>
      <c r="E19" s="11"/>
      <c r="F19" s="11"/>
      <c r="G19" s="11"/>
      <c r="M19" s="11"/>
      <c r="N19" s="11"/>
      <c r="O19" s="11"/>
      <c r="P19" s="11"/>
      <c r="Q19" s="11"/>
      <c r="R19" s="11"/>
      <c r="X19" s="11"/>
      <c r="Y19" s="11"/>
      <c r="Z19" s="11"/>
      <c r="AA19" s="11"/>
      <c r="AB19" s="11"/>
      <c r="AC19" s="11"/>
    </row>
    <row r="20" spans="1:32" x14ac:dyDescent="0.2">
      <c r="B20" s="11"/>
      <c r="C20" s="11"/>
      <c r="D20" s="11"/>
      <c r="E20" s="11"/>
      <c r="F20" s="11"/>
      <c r="G20" s="11"/>
      <c r="M20" s="11"/>
      <c r="N20" s="11"/>
      <c r="O20" s="11"/>
      <c r="P20" s="11"/>
      <c r="Q20" s="11"/>
      <c r="R20" s="11"/>
      <c r="X20" s="11"/>
      <c r="Y20" s="11"/>
      <c r="Z20" s="11"/>
      <c r="AA20" s="11"/>
      <c r="AB20" s="11"/>
      <c r="AC20" s="11"/>
    </row>
    <row r="21" spans="1:32" x14ac:dyDescent="0.2">
      <c r="B21" s="11"/>
      <c r="C21" s="11"/>
      <c r="D21" s="11"/>
      <c r="E21" s="11"/>
      <c r="F21" s="16" t="s">
        <v>35</v>
      </c>
      <c r="G21" s="11"/>
      <c r="J21" s="16" t="s">
        <v>35</v>
      </c>
      <c r="M21" s="11"/>
      <c r="N21" s="11"/>
      <c r="O21" s="11"/>
      <c r="P21" s="11"/>
      <c r="Q21" s="16" t="s">
        <v>35</v>
      </c>
      <c r="R21" s="11"/>
      <c r="U21" s="16" t="s">
        <v>35</v>
      </c>
      <c r="X21" s="11"/>
      <c r="Y21" s="11"/>
      <c r="Z21" s="11"/>
      <c r="AA21" s="11"/>
      <c r="AB21" s="16" t="s">
        <v>35</v>
      </c>
      <c r="AC21" s="11"/>
      <c r="AF21" s="16" t="s">
        <v>35</v>
      </c>
    </row>
    <row r="22" spans="1:32" x14ac:dyDescent="0.2">
      <c r="A22" s="36"/>
      <c r="B22" s="65"/>
      <c r="C22" s="65"/>
      <c r="D22" s="65"/>
      <c r="E22" s="65"/>
      <c r="F22" s="65"/>
      <c r="G22" s="11"/>
      <c r="H22" s="28" t="str">
        <f>H4</f>
        <v>2020-2035</v>
      </c>
      <c r="I22" s="36"/>
      <c r="J22" s="36"/>
      <c r="L22" s="36"/>
      <c r="M22" s="65"/>
      <c r="N22" s="65"/>
      <c r="O22" s="65"/>
      <c r="P22" s="65"/>
      <c r="Q22" s="65"/>
      <c r="R22" s="11"/>
      <c r="S22" s="28" t="str">
        <f>S4</f>
        <v>2020-2035</v>
      </c>
      <c r="T22" s="36"/>
      <c r="U22" s="36"/>
      <c r="W22" s="36"/>
      <c r="X22" s="65"/>
      <c r="Y22" s="65"/>
      <c r="Z22" s="65"/>
      <c r="AA22" s="65"/>
      <c r="AB22" s="65"/>
      <c r="AC22" s="11"/>
      <c r="AD22" s="28" t="str">
        <f>AD4</f>
        <v>2020-2035</v>
      </c>
      <c r="AE22" s="36"/>
      <c r="AF22" s="36"/>
    </row>
    <row r="23" spans="1:32" x14ac:dyDescent="0.2">
      <c r="B23" s="11"/>
      <c r="C23" s="11"/>
      <c r="D23" s="11"/>
      <c r="E23" s="11"/>
      <c r="F23" s="11"/>
      <c r="G23" s="11"/>
      <c r="H23" t="str">
        <f>H5</f>
        <v>Net</v>
      </c>
      <c r="I23" t="str">
        <f>I5</f>
        <v>Replacement</v>
      </c>
      <c r="J23" t="str">
        <f>J5</f>
        <v>Total</v>
      </c>
      <c r="M23" s="11"/>
      <c r="N23" s="11"/>
      <c r="O23" s="11"/>
      <c r="P23" s="11"/>
      <c r="Q23" s="11"/>
      <c r="R23" s="11"/>
      <c r="S23" t="str">
        <f>S5</f>
        <v>Net</v>
      </c>
      <c r="T23" t="str">
        <f>T5</f>
        <v>Replacement</v>
      </c>
      <c r="U23" t="str">
        <f>U5</f>
        <v>Total</v>
      </c>
      <c r="X23" s="11"/>
      <c r="Y23" s="11"/>
      <c r="Z23" s="11"/>
      <c r="AA23" s="11"/>
      <c r="AB23" s="11"/>
      <c r="AC23" s="11"/>
      <c r="AD23" t="str">
        <f>AD5</f>
        <v>Net</v>
      </c>
      <c r="AE23" t="str">
        <f>AE5</f>
        <v>Replacement</v>
      </c>
      <c r="AF23" t="str">
        <f>AF5</f>
        <v>Total</v>
      </c>
    </row>
    <row r="24" spans="1:32" x14ac:dyDescent="0.2">
      <c r="A24" s="41" t="s">
        <v>14</v>
      </c>
      <c r="B24" s="35">
        <f>B$6</f>
        <v>2015</v>
      </c>
      <c r="C24" s="35">
        <f>C$6</f>
        <v>2019</v>
      </c>
      <c r="D24" s="35">
        <f>D$6</f>
        <v>2020</v>
      </c>
      <c r="E24" s="35">
        <f>E$6</f>
        <v>2025</v>
      </c>
      <c r="F24" s="35">
        <f>F$6</f>
        <v>2035</v>
      </c>
      <c r="G24" s="11"/>
      <c r="H24" s="24" t="str">
        <f>H6</f>
        <v>Change</v>
      </c>
      <c r="I24" s="24" t="str">
        <f>I6</f>
        <v>Demand</v>
      </c>
      <c r="J24" s="24" t="str">
        <f>J6</f>
        <v>Requirement</v>
      </c>
      <c r="L24" s="41" t="s">
        <v>14</v>
      </c>
      <c r="M24" s="35">
        <f>M$6</f>
        <v>2015</v>
      </c>
      <c r="N24" s="35">
        <f>N$6</f>
        <v>2019</v>
      </c>
      <c r="O24" s="35">
        <f>O$6</f>
        <v>2020</v>
      </c>
      <c r="P24" s="35">
        <f>P$6</f>
        <v>2025</v>
      </c>
      <c r="Q24" s="35">
        <f>Q$6</f>
        <v>2035</v>
      </c>
      <c r="R24" s="11"/>
      <c r="S24" s="24" t="str">
        <f>S6</f>
        <v>Change</v>
      </c>
      <c r="T24" s="24" t="str">
        <f>T6</f>
        <v>Demand</v>
      </c>
      <c r="U24" s="24" t="str">
        <f>U6</f>
        <v>Requirement</v>
      </c>
      <c r="W24" s="41" t="s">
        <v>14</v>
      </c>
      <c r="X24" s="35">
        <f>X$6</f>
        <v>2015</v>
      </c>
      <c r="Y24" s="35">
        <f>Y$6</f>
        <v>2019</v>
      </c>
      <c r="Z24" s="35">
        <f>Z$6</f>
        <v>2020</v>
      </c>
      <c r="AA24" s="35">
        <f>AA$6</f>
        <v>2025</v>
      </c>
      <c r="AB24" s="35">
        <f>AB$6</f>
        <v>2035</v>
      </c>
      <c r="AC24" s="11"/>
      <c r="AD24" s="24" t="str">
        <f>AD6</f>
        <v>Change</v>
      </c>
      <c r="AE24" s="24" t="str">
        <f>AE6</f>
        <v>Demand</v>
      </c>
      <c r="AF24" s="24" t="str">
        <f>AF6</f>
        <v>Requirement</v>
      </c>
    </row>
    <row r="25" spans="1:32" x14ac:dyDescent="0.2">
      <c r="A25" s="1"/>
      <c r="B25" s="17"/>
      <c r="C25" s="17"/>
      <c r="D25" s="17"/>
      <c r="E25" s="17"/>
      <c r="F25" s="17"/>
      <c r="G25" s="11"/>
      <c r="L25" s="1"/>
      <c r="M25" s="17"/>
      <c r="N25" s="17"/>
      <c r="O25" s="17"/>
      <c r="P25" s="17"/>
      <c r="Q25" s="17"/>
      <c r="R25" s="11"/>
      <c r="W25" s="1"/>
      <c r="X25" s="17"/>
      <c r="Y25" s="17"/>
      <c r="Z25" s="17"/>
      <c r="AA25" s="17"/>
      <c r="AB25" s="17"/>
      <c r="AC25" s="11"/>
    </row>
    <row r="26" spans="1:32" x14ac:dyDescent="0.2">
      <c r="A26" t="str">
        <f>$A$8</f>
        <v>Managers, directors and senior officials</v>
      </c>
      <c r="B26" s="18">
        <f t="shared" ref="B26:F34" si="8">B8/B$18*100</f>
        <v>9.1168539341778221</v>
      </c>
      <c r="C26" s="18">
        <f t="shared" si="8"/>
        <v>10.163520806160451</v>
      </c>
      <c r="D26" s="18">
        <f t="shared" si="8"/>
        <v>10.665013147278474</v>
      </c>
      <c r="E26" s="18">
        <f t="shared" si="8"/>
        <v>9.8749774051860051</v>
      </c>
      <c r="F26" s="18">
        <f t="shared" si="8"/>
        <v>10.497700858679364</v>
      </c>
      <c r="G26" s="11"/>
      <c r="H26" s="40">
        <f>IF(D8&gt;0,(H8/D8)*100,0)</f>
        <v>1.8853632477487579</v>
      </c>
      <c r="I26" s="40">
        <f>IF(D8&gt;0,(I8/D8)*100,0)</f>
        <v>49.68688653165416</v>
      </c>
      <c r="J26" s="40">
        <f>IF(D8&gt;0,(J8/D8)*100,0)</f>
        <v>51.572249779402924</v>
      </c>
      <c r="L26" t="str">
        <f>$A$8</f>
        <v>Managers, directors and senior officials</v>
      </c>
      <c r="M26" s="18">
        <f t="shared" ref="M26:Q26" si="9">M8/M$18*100</f>
        <v>11.856325385793626</v>
      </c>
      <c r="N26" s="18">
        <f t="shared" si="9"/>
        <v>13.110872201966769</v>
      </c>
      <c r="O26" s="18">
        <f t="shared" si="9"/>
        <v>13.723011972245342</v>
      </c>
      <c r="P26" s="18">
        <f t="shared" si="9"/>
        <v>12.741181697621609</v>
      </c>
      <c r="Q26" s="18">
        <f t="shared" si="9"/>
        <v>13.378992527862138</v>
      </c>
      <c r="R26" s="11"/>
      <c r="S26" s="40">
        <f>IF(O8&gt;0,(S8/O8)*100,0)</f>
        <v>-0.55449718414804228</v>
      </c>
      <c r="T26" s="40">
        <f>IF(O8&gt;0,(T8/O8)*100,0)</f>
        <v>45.147014253098547</v>
      </c>
      <c r="U26" s="40">
        <f>IF(O8&gt;0,(U8/O8)*100,0)</f>
        <v>44.592517068950507</v>
      </c>
      <c r="W26" t="str">
        <f>$A$8</f>
        <v>Managers, directors and senior officials</v>
      </c>
      <c r="X26" s="18">
        <f t="shared" ref="X26:AB26" si="10">X8/X$18*100</f>
        <v>5.9870911325681249</v>
      </c>
      <c r="Y26" s="18">
        <f t="shared" si="10"/>
        <v>7.0432413642711094</v>
      </c>
      <c r="Z26" s="18">
        <f t="shared" si="10"/>
        <v>7.3064532868169785</v>
      </c>
      <c r="AA26" s="18">
        <f t="shared" si="10"/>
        <v>6.7576465497098228</v>
      </c>
      <c r="AB26" s="18">
        <f t="shared" si="10"/>
        <v>7.4283437617614867</v>
      </c>
      <c r="AC26" s="11"/>
      <c r="AD26" s="40">
        <f>IF(Z8&gt;0,(AD8/Z8)*100,0)</f>
        <v>6.9183245737288832</v>
      </c>
      <c r="AE26" s="40">
        <f>IF(Z8&gt;0,(AE8/Z8)*100,0)</f>
        <v>59.051767122424359</v>
      </c>
      <c r="AF26" s="40">
        <f>IF(Z8&gt;0,(AF8/Z8)*100,0)</f>
        <v>65.970091696153247</v>
      </c>
    </row>
    <row r="27" spans="1:32" x14ac:dyDescent="0.2">
      <c r="A27" t="str">
        <f>$A$9</f>
        <v>Professional occupations</v>
      </c>
      <c r="B27" s="18">
        <f t="shared" si="8"/>
        <v>16.775761884444677</v>
      </c>
      <c r="C27" s="18">
        <f t="shared" si="8"/>
        <v>18.285095310325325</v>
      </c>
      <c r="D27" s="18">
        <f t="shared" si="8"/>
        <v>19.569623578379332</v>
      </c>
      <c r="E27" s="18">
        <f t="shared" si="8"/>
        <v>20.45075796915523</v>
      </c>
      <c r="F27" s="18">
        <f t="shared" si="8"/>
        <v>22.00564429066457</v>
      </c>
      <c r="G27" s="11"/>
      <c r="H27" s="40">
        <f t="shared" ref="H27:H36" si="11">IF(D9&gt;0,(H9/D9)*100,0)</f>
        <v>16.394006260726826</v>
      </c>
      <c r="I27" s="40">
        <f t="shared" ref="I27:I36" si="12">IF(D9&gt;0,(I9/D9)*100,0)</f>
        <v>48.874927234521195</v>
      </c>
      <c r="J27" s="40">
        <f t="shared" ref="J27:J36" si="13">IF(D9&gt;0,(J9/D9)*100,0)</f>
        <v>65.268933495248021</v>
      </c>
      <c r="L27" t="str">
        <f>$A$9</f>
        <v>Professional occupations</v>
      </c>
      <c r="M27" s="18">
        <f t="shared" ref="M27:Q27" si="14">M9/M$18*100</f>
        <v>16.97173059844263</v>
      </c>
      <c r="N27" s="18">
        <f t="shared" si="14"/>
        <v>18.369281327602117</v>
      </c>
      <c r="O27" s="18">
        <f t="shared" si="14"/>
        <v>19.391743912973215</v>
      </c>
      <c r="P27" s="18">
        <f t="shared" si="14"/>
        <v>21.071031937671098</v>
      </c>
      <c r="Q27" s="18">
        <f t="shared" si="14"/>
        <v>22.758216589867654</v>
      </c>
      <c r="R27" s="11"/>
      <c r="S27" s="40">
        <f t="shared" ref="S27:S34" si="15">IF(O9&gt;0,(S9/O9)*100,0)</f>
        <v>19.710580853439268</v>
      </c>
      <c r="T27" s="40">
        <f t="shared" ref="T27:T34" si="16">IF(O9&gt;0,(T9/O9)*100,0)</f>
        <v>41.324534247377542</v>
      </c>
      <c r="U27" s="40">
        <f t="shared" ref="U27:U34" si="17">IF(O9&gt;0,(U9/O9)*100,0)</f>
        <v>61.035115100816803</v>
      </c>
      <c r="W27" t="str">
        <f>$A$9</f>
        <v>Professional occupations</v>
      </c>
      <c r="X27" s="18">
        <f t="shared" ref="X27:AB27" si="18">X9/X$18*100</f>
        <v>16.5518735898657</v>
      </c>
      <c r="Y27" s="18">
        <f t="shared" si="18"/>
        <v>18.195969901194566</v>
      </c>
      <c r="Z27" s="18">
        <f t="shared" si="18"/>
        <v>19.764986473664884</v>
      </c>
      <c r="AA27" s="18">
        <f t="shared" si="18"/>
        <v>19.776137815244251</v>
      </c>
      <c r="AB27" s="18">
        <f t="shared" si="18"/>
        <v>21.20395067796694</v>
      </c>
      <c r="AC27" s="11"/>
      <c r="AD27" s="40">
        <f t="shared" ref="AD27:AD34" si="19">IF(Z9&gt;0,(AD9/Z9)*100,0)</f>
        <v>12.820242058790111</v>
      </c>
      <c r="AE27" s="40">
        <f t="shared" ref="AE27:AE34" si="20">IF(Z9&gt;0,(AE9/Z9)*100,0)</f>
        <v>57.010828723756234</v>
      </c>
      <c r="AF27" s="40">
        <f t="shared" ref="AF27:AF34" si="21">IF(Z9&gt;0,(AF9/Z9)*100,0)</f>
        <v>69.831070782546348</v>
      </c>
    </row>
    <row r="28" spans="1:32" x14ac:dyDescent="0.2">
      <c r="A28" t="str">
        <f>$A$10</f>
        <v>Associate professional occupations</v>
      </c>
      <c r="B28" s="18">
        <f t="shared" si="8"/>
        <v>10.750866807448402</v>
      </c>
      <c r="C28" s="18">
        <f t="shared" si="8"/>
        <v>11.248641722167081</v>
      </c>
      <c r="D28" s="18">
        <f t="shared" si="8"/>
        <v>11.933178557846981</v>
      </c>
      <c r="E28" s="18">
        <f t="shared" si="8"/>
        <v>12.380230657703803</v>
      </c>
      <c r="F28" s="18">
        <f t="shared" si="8"/>
        <v>13.097642043167184</v>
      </c>
      <c r="G28" s="11"/>
      <c r="H28" s="40">
        <f t="shared" si="11"/>
        <v>13.609847867429728</v>
      </c>
      <c r="I28" s="40">
        <f t="shared" si="12"/>
        <v>49.705173468146015</v>
      </c>
      <c r="J28" s="40">
        <f t="shared" si="13"/>
        <v>63.315021335575736</v>
      </c>
      <c r="L28" t="str">
        <f>$A$10</f>
        <v>Associate professional occupations</v>
      </c>
      <c r="M28" s="18">
        <f t="shared" ref="M28:Q28" si="22">M10/M$18*100</f>
        <v>11.301267358005381</v>
      </c>
      <c r="N28" s="18">
        <f t="shared" si="22"/>
        <v>11.776581315733274</v>
      </c>
      <c r="O28" s="18">
        <f t="shared" si="22"/>
        <v>12.410500889633019</v>
      </c>
      <c r="P28" s="18">
        <f t="shared" si="22"/>
        <v>11.713003978755316</v>
      </c>
      <c r="Q28" s="18">
        <f t="shared" si="22"/>
        <v>11.86726231454163</v>
      </c>
      <c r="R28" s="11"/>
      <c r="S28" s="40">
        <f t="shared" si="15"/>
        <v>-2.4623223066448277</v>
      </c>
      <c r="T28" s="40">
        <f t="shared" si="16"/>
        <v>35.798137853890502</v>
      </c>
      <c r="U28" s="40">
        <f t="shared" si="17"/>
        <v>33.335815547245673</v>
      </c>
      <c r="W28" t="str">
        <f>$A$10</f>
        <v>Associate professional occupations</v>
      </c>
      <c r="X28" s="18">
        <f t="shared" ref="X28:AB28" si="23">X10/X$18*100</f>
        <v>10.122050921047142</v>
      </c>
      <c r="Y28" s="18">
        <f t="shared" si="23"/>
        <v>10.689726669585335</v>
      </c>
      <c r="Z28" s="18">
        <f t="shared" si="23"/>
        <v>11.408941723303446</v>
      </c>
      <c r="AA28" s="18">
        <f t="shared" si="23"/>
        <v>13.105917350509477</v>
      </c>
      <c r="AB28" s="18">
        <f t="shared" si="23"/>
        <v>14.408330160011593</v>
      </c>
      <c r="AC28" s="11"/>
      <c r="AD28" s="40">
        <f t="shared" si="19"/>
        <v>32.811307757845036</v>
      </c>
      <c r="AE28" s="40">
        <f t="shared" si="20"/>
        <v>66.319941956128616</v>
      </c>
      <c r="AF28" s="40">
        <f t="shared" si="21"/>
        <v>99.131249713973659</v>
      </c>
    </row>
    <row r="29" spans="1:32" x14ac:dyDescent="0.2">
      <c r="A29" t="str">
        <f>$A$11</f>
        <v>Administrative and secretarial occupations</v>
      </c>
      <c r="B29" s="18">
        <f t="shared" si="8"/>
        <v>10.240410371723357</v>
      </c>
      <c r="C29" s="18">
        <f t="shared" si="8"/>
        <v>9.643676373794456</v>
      </c>
      <c r="D29" s="18">
        <f t="shared" si="8"/>
        <v>9.9354447284243346</v>
      </c>
      <c r="E29" s="18">
        <f t="shared" si="8"/>
        <v>9.8064776745205613</v>
      </c>
      <c r="F29" s="18">
        <f t="shared" si="8"/>
        <v>9.0402592340431926</v>
      </c>
      <c r="G29" s="11"/>
      <c r="H29" s="40">
        <f t="shared" si="11"/>
        <v>-5.8169884950322253</v>
      </c>
      <c r="I29" s="40">
        <f t="shared" si="12"/>
        <v>49.659388771387881</v>
      </c>
      <c r="J29" s="40">
        <f t="shared" si="13"/>
        <v>43.842400276355654</v>
      </c>
      <c r="L29" t="str">
        <f>$A$11</f>
        <v>Administrative and secretarial occupations</v>
      </c>
      <c r="M29" s="18">
        <f t="shared" ref="M29:Q29" si="24">M11/M$18*100</f>
        <v>4.04503862617221</v>
      </c>
      <c r="N29" s="18">
        <f t="shared" si="24"/>
        <v>3.6911499486721087</v>
      </c>
      <c r="O29" s="18">
        <f t="shared" si="24"/>
        <v>4.3945848514894248</v>
      </c>
      <c r="P29" s="18">
        <f t="shared" si="24"/>
        <v>4.5199181895739446</v>
      </c>
      <c r="Q29" s="18">
        <f t="shared" si="24"/>
        <v>4.9102829565531518</v>
      </c>
      <c r="R29" s="11"/>
      <c r="S29" s="40">
        <f t="shared" si="15"/>
        <v>13.972439433268985</v>
      </c>
      <c r="T29" s="40">
        <f t="shared" si="16"/>
        <v>38.755284033733574</v>
      </c>
      <c r="U29" s="40">
        <f t="shared" si="17"/>
        <v>52.727723467002562</v>
      </c>
      <c r="W29" t="str">
        <f>$A$11</f>
        <v>Administrative and secretarial occupations</v>
      </c>
      <c r="X29" s="18">
        <f t="shared" ref="X29:AB29" si="25">X11/X$18*100</f>
        <v>17.31843413427541</v>
      </c>
      <c r="Y29" s="18">
        <f t="shared" si="25"/>
        <v>15.945451539809627</v>
      </c>
      <c r="Z29" s="18">
        <f t="shared" si="25"/>
        <v>16.020898203154434</v>
      </c>
      <c r="AA29" s="18">
        <f t="shared" si="25"/>
        <v>15.556226582938464</v>
      </c>
      <c r="AB29" s="18">
        <f t="shared" si="25"/>
        <v>13.439804109349755</v>
      </c>
      <c r="AC29" s="11"/>
      <c r="AD29" s="40">
        <f t="shared" si="19"/>
        <v>-11.778824318299719</v>
      </c>
      <c r="AE29" s="40">
        <f t="shared" si="20"/>
        <v>52.944399458970061</v>
      </c>
      <c r="AF29" s="40">
        <f t="shared" si="21"/>
        <v>41.165575140670349</v>
      </c>
    </row>
    <row r="30" spans="1:32" x14ac:dyDescent="0.2">
      <c r="A30" t="str">
        <f>$A$12</f>
        <v>Skilled trades occupations</v>
      </c>
      <c r="B30" s="18">
        <f t="shared" si="8"/>
        <v>11.07885049054623</v>
      </c>
      <c r="C30" s="18">
        <f t="shared" si="8"/>
        <v>10.167530731431137</v>
      </c>
      <c r="D30" s="18">
        <f t="shared" si="8"/>
        <v>9.4267091935209972</v>
      </c>
      <c r="E30" s="18">
        <f t="shared" si="8"/>
        <v>8.9916979844617249</v>
      </c>
      <c r="F30" s="18">
        <f t="shared" si="8"/>
        <v>8.1129511854474288</v>
      </c>
      <c r="G30" s="11"/>
      <c r="H30" s="40">
        <f t="shared" si="11"/>
        <v>-10.916401154703307</v>
      </c>
      <c r="I30" s="40">
        <f t="shared" si="12"/>
        <v>40.271827528367155</v>
      </c>
      <c r="J30" s="40">
        <f t="shared" si="13"/>
        <v>29.355426373663846</v>
      </c>
      <c r="L30" t="str">
        <f>$A$12</f>
        <v>Skilled trades occupations</v>
      </c>
      <c r="M30" s="18">
        <f t="shared" ref="M30:Q30" si="26">M12/M$18*100</f>
        <v>18.24735955202955</v>
      </c>
      <c r="N30" s="18">
        <f t="shared" si="26"/>
        <v>16.840915049090217</v>
      </c>
      <c r="O30" s="18">
        <f t="shared" si="26"/>
        <v>15.419668356219782</v>
      </c>
      <c r="P30" s="18">
        <f t="shared" si="26"/>
        <v>14.678415789769856</v>
      </c>
      <c r="Q30" s="18">
        <f t="shared" si="26"/>
        <v>13.185045597753486</v>
      </c>
      <c r="R30" s="11"/>
      <c r="S30" s="40">
        <f t="shared" si="15"/>
        <v>-12.779658654898448</v>
      </c>
      <c r="T30" s="40">
        <f t="shared" si="16"/>
        <v>36.948038808850505</v>
      </c>
      <c r="U30" s="40">
        <f t="shared" si="17"/>
        <v>24.168380153952057</v>
      </c>
      <c r="W30" t="str">
        <f>$A$12</f>
        <v>Skilled trades occupations</v>
      </c>
      <c r="X30" s="18">
        <f t="shared" ref="X30:AB30" si="27">X12/X$18*100</f>
        <v>2.8890469463627841</v>
      </c>
      <c r="Y30" s="18">
        <f t="shared" si="27"/>
        <v>3.1026032430269823</v>
      </c>
      <c r="Z30" s="18">
        <f t="shared" si="27"/>
        <v>2.8447210237109317</v>
      </c>
      <c r="AA30" s="18">
        <f t="shared" si="27"/>
        <v>2.806730315667747</v>
      </c>
      <c r="AB30" s="18">
        <f t="shared" si="27"/>
        <v>2.7097949735444598</v>
      </c>
      <c r="AC30" s="11"/>
      <c r="AD30" s="40">
        <f t="shared" si="19"/>
        <v>0.17596016676478254</v>
      </c>
      <c r="AE30" s="40">
        <f t="shared" si="20"/>
        <v>60.05903645104037</v>
      </c>
      <c r="AF30" s="40">
        <f t="shared" si="21"/>
        <v>60.234996617805145</v>
      </c>
    </row>
    <row r="31" spans="1:32" x14ac:dyDescent="0.2">
      <c r="A31" t="str">
        <f>$A$13</f>
        <v>Caring, leisure and other service occupations</v>
      </c>
      <c r="B31" s="18">
        <f t="shared" si="8"/>
        <v>11.008896403928157</v>
      </c>
      <c r="C31" s="18">
        <f t="shared" si="8"/>
        <v>11.395879662476574</v>
      </c>
      <c r="D31" s="18">
        <f t="shared" si="8"/>
        <v>11.041478118790838</v>
      </c>
      <c r="E31" s="18">
        <f t="shared" si="8"/>
        <v>10.999400138336886</v>
      </c>
      <c r="F31" s="18">
        <f t="shared" si="8"/>
        <v>11.339141587537908</v>
      </c>
      <c r="G31" s="11"/>
      <c r="H31" s="40">
        <f t="shared" si="11"/>
        <v>6.299681283775767</v>
      </c>
      <c r="I31" s="40">
        <f t="shared" si="12"/>
        <v>55.570751556018308</v>
      </c>
      <c r="J31" s="40">
        <f t="shared" si="13"/>
        <v>61.870432839794077</v>
      </c>
      <c r="L31" t="str">
        <f>$A$13</f>
        <v>Caring, leisure and other service occupations</v>
      </c>
      <c r="M31" s="18">
        <f t="shared" ref="M31:Q31" si="28">M13/M$18*100</f>
        <v>3.7741874783608931</v>
      </c>
      <c r="N31" s="18">
        <f t="shared" si="28"/>
        <v>4.006189285973651</v>
      </c>
      <c r="O31" s="18">
        <f t="shared" si="28"/>
        <v>4.0045516723914929</v>
      </c>
      <c r="P31" s="18">
        <f t="shared" si="28"/>
        <v>4.3214225213233624</v>
      </c>
      <c r="Q31" s="18">
        <f t="shared" si="28"/>
        <v>4.8326008411739885</v>
      </c>
      <c r="R31" s="11"/>
      <c r="S31" s="40">
        <f t="shared" si="15"/>
        <v>23.094373490976576</v>
      </c>
      <c r="T31" s="40">
        <f t="shared" si="16"/>
        <v>48.446929768313467</v>
      </c>
      <c r="U31" s="40">
        <f t="shared" si="17"/>
        <v>71.541303259290046</v>
      </c>
      <c r="W31" t="str">
        <f>$A$13</f>
        <v>Caring, leisure and other service occupations</v>
      </c>
      <c r="X31" s="18">
        <f t="shared" ref="X31:AB31" si="29">X13/X$18*100</f>
        <v>19.274331279096774</v>
      </c>
      <c r="Y31" s="18">
        <f t="shared" si="29"/>
        <v>19.219140572776553</v>
      </c>
      <c r="Z31" s="18">
        <f t="shared" si="29"/>
        <v>18.770041815721861</v>
      </c>
      <c r="AA31" s="18">
        <f t="shared" si="29"/>
        <v>18.262478256193415</v>
      </c>
      <c r="AB31" s="18">
        <f t="shared" si="29"/>
        <v>18.270372198391627</v>
      </c>
      <c r="AC31" s="11"/>
      <c r="AD31" s="40">
        <f t="shared" si="19"/>
        <v>2.3643935683320398</v>
      </c>
      <c r="AE31" s="40">
        <f t="shared" si="20"/>
        <v>57.239986575171919</v>
      </c>
      <c r="AF31" s="40">
        <f t="shared" si="21"/>
        <v>59.604380143503967</v>
      </c>
    </row>
    <row r="32" spans="1:32" x14ac:dyDescent="0.2">
      <c r="A32" t="str">
        <f>$A$14</f>
        <v>Sales and customer service occupations</v>
      </c>
      <c r="B32" s="18">
        <f t="shared" si="8"/>
        <v>9.2439413823017382</v>
      </c>
      <c r="C32" s="18">
        <f t="shared" si="8"/>
        <v>8.4539218986634985</v>
      </c>
      <c r="D32" s="18">
        <f t="shared" si="8"/>
        <v>8.3185179696423077</v>
      </c>
      <c r="E32" s="18">
        <f t="shared" si="8"/>
        <v>8.1836689681052945</v>
      </c>
      <c r="F32" s="18">
        <f t="shared" si="8"/>
        <v>7.97908437779369</v>
      </c>
      <c r="H32" s="40">
        <f t="shared" si="11"/>
        <v>-0.71443789226142818</v>
      </c>
      <c r="I32" s="40">
        <f t="shared" si="12"/>
        <v>46.61730067780713</v>
      </c>
      <c r="J32" s="40">
        <f t="shared" si="13"/>
        <v>45.902862785545707</v>
      </c>
      <c r="L32" t="str">
        <f>$A$14</f>
        <v>Sales and customer service occupations</v>
      </c>
      <c r="M32" s="18">
        <f t="shared" ref="M32:Q32" si="30">M14/M$18*100</f>
        <v>6.18244003237354</v>
      </c>
      <c r="N32" s="18">
        <f t="shared" si="30"/>
        <v>5.8589198701957024</v>
      </c>
      <c r="O32" s="18">
        <f t="shared" si="30"/>
        <v>5.9135629908186456</v>
      </c>
      <c r="P32" s="18">
        <f t="shared" si="30"/>
        <v>6.0052619895568622</v>
      </c>
      <c r="Q32" s="18">
        <f t="shared" si="30"/>
        <v>6.0092311197037711</v>
      </c>
      <c r="S32" s="40">
        <f t="shared" si="15"/>
        <v>3.6527573066906944</v>
      </c>
      <c r="T32" s="40">
        <f t="shared" si="16"/>
        <v>33.790736567242526</v>
      </c>
      <c r="U32" s="40">
        <f t="shared" si="17"/>
        <v>37.443493873933221</v>
      </c>
      <c r="W32" t="str">
        <f>$A$14</f>
        <v>Sales and customer service occupations</v>
      </c>
      <c r="X32" s="18">
        <f t="shared" ref="X32:AB32" si="31">X14/X$18*100</f>
        <v>12.741613546920044</v>
      </c>
      <c r="Y32" s="18">
        <f t="shared" si="31"/>
        <v>11.201178806207789</v>
      </c>
      <c r="Z32" s="18">
        <f t="shared" si="31"/>
        <v>10.959848369166446</v>
      </c>
      <c r="AA32" s="18">
        <f t="shared" si="31"/>
        <v>10.552940170418317</v>
      </c>
      <c r="AB32" s="18">
        <f t="shared" si="31"/>
        <v>10.077512364891581</v>
      </c>
      <c r="AD32" s="40">
        <f t="shared" si="19"/>
        <v>-3.3024306965368897</v>
      </c>
      <c r="AE32" s="40">
        <f t="shared" si="20"/>
        <v>54.218301803126224</v>
      </c>
      <c r="AF32" s="40">
        <f t="shared" si="21"/>
        <v>50.915871106589329</v>
      </c>
    </row>
    <row r="33" spans="1:32" x14ac:dyDescent="0.2">
      <c r="A33" t="str">
        <f>$A$15</f>
        <v>Process, plant and machine operatives</v>
      </c>
      <c r="B33" s="18">
        <f t="shared" si="8"/>
        <v>8.9157428881824785</v>
      </c>
      <c r="C33" s="18">
        <f t="shared" si="8"/>
        <v>8.659967010002438</v>
      </c>
      <c r="D33" s="18">
        <f t="shared" si="8"/>
        <v>8.0663245759909117</v>
      </c>
      <c r="E33" s="18">
        <f t="shared" si="8"/>
        <v>8.0041885114954248</v>
      </c>
      <c r="F33" s="18">
        <f t="shared" si="8"/>
        <v>7.3671679580500999</v>
      </c>
      <c r="G33" s="11"/>
      <c r="H33" s="40">
        <f t="shared" si="11"/>
        <v>-5.4625512254765534</v>
      </c>
      <c r="I33" s="40">
        <f t="shared" si="12"/>
        <v>45.616742216562159</v>
      </c>
      <c r="J33" s="40">
        <f t="shared" si="13"/>
        <v>40.154190991085606</v>
      </c>
      <c r="L33" t="str">
        <f>$A$15</f>
        <v>Process, plant and machine operatives</v>
      </c>
      <c r="M33" s="18">
        <f t="shared" ref="M33:Q33" si="32">M15/M$18*100</f>
        <v>14.121711863809905</v>
      </c>
      <c r="N33" s="18">
        <f t="shared" si="32"/>
        <v>14.064742188205074</v>
      </c>
      <c r="O33" s="18">
        <f t="shared" si="32"/>
        <v>13.138340970142703</v>
      </c>
      <c r="P33" s="18">
        <f t="shared" si="32"/>
        <v>12.772471501146718</v>
      </c>
      <c r="Q33" s="18">
        <f t="shared" si="32"/>
        <v>11.587652532441734</v>
      </c>
      <c r="R33" s="11"/>
      <c r="S33" s="40">
        <f t="shared" si="15"/>
        <v>-10.036547396658483</v>
      </c>
      <c r="T33" s="40">
        <f t="shared" si="16"/>
        <v>43.398254636237255</v>
      </c>
      <c r="U33" s="40">
        <f t="shared" si="17"/>
        <v>33.361707239578777</v>
      </c>
      <c r="W33" t="str">
        <f>$A$15</f>
        <v>Process, plant and machine operatives</v>
      </c>
      <c r="X33" s="18">
        <f t="shared" ref="X33:AB33" si="33">X15/X$18*100</f>
        <v>2.9680816936689931</v>
      </c>
      <c r="Y33" s="18">
        <f t="shared" si="33"/>
        <v>2.9380809462723794</v>
      </c>
      <c r="Z33" s="18">
        <f t="shared" si="33"/>
        <v>2.4957957275420264</v>
      </c>
      <c r="AA33" s="18">
        <f t="shared" si="33"/>
        <v>2.8181256301747797</v>
      </c>
      <c r="AB33" s="18">
        <f t="shared" si="33"/>
        <v>2.8712071987161991</v>
      </c>
      <c r="AC33" s="11"/>
      <c r="AD33" s="40">
        <f t="shared" si="19"/>
        <v>20.982418091780414</v>
      </c>
      <c r="AE33" s="40">
        <f t="shared" si="20"/>
        <v>58.44312724111451</v>
      </c>
      <c r="AF33" s="40">
        <f t="shared" si="21"/>
        <v>79.425545332894927</v>
      </c>
    </row>
    <row r="34" spans="1:32" x14ac:dyDescent="0.2">
      <c r="A34" t="str">
        <f>$A$16</f>
        <v>Elementary occupations</v>
      </c>
      <c r="B34" s="18">
        <f t="shared" si="8"/>
        <v>12.868675837247126</v>
      </c>
      <c r="C34" s="18">
        <f t="shared" si="8"/>
        <v>11.981766484979033</v>
      </c>
      <c r="D34" s="18">
        <f t="shared" si="8"/>
        <v>11.043710130125827</v>
      </c>
      <c r="E34" s="18">
        <f t="shared" si="8"/>
        <v>11.308600691035071</v>
      </c>
      <c r="F34" s="18">
        <f t="shared" si="8"/>
        <v>10.560408464616572</v>
      </c>
      <c r="G34" s="11"/>
      <c r="H34" s="40">
        <f t="shared" si="11"/>
        <v>-1.0206225517542018</v>
      </c>
      <c r="I34" s="40">
        <f t="shared" si="12"/>
        <v>47.536544698847997</v>
      </c>
      <c r="J34" s="40">
        <f t="shared" si="13"/>
        <v>46.515922147093796</v>
      </c>
      <c r="L34" t="str">
        <f>$A$16</f>
        <v>Elementary occupations</v>
      </c>
      <c r="M34" s="18">
        <f t="shared" ref="M34:Q34" si="34">M16/M$18*100</f>
        <v>13.499939105012256</v>
      </c>
      <c r="N34" s="18">
        <f t="shared" si="34"/>
        <v>12.281348812561102</v>
      </c>
      <c r="O34" s="18">
        <f t="shared" si="34"/>
        <v>11.604034384086393</v>
      </c>
      <c r="P34" s="18">
        <f t="shared" si="34"/>
        <v>12.177292394581238</v>
      </c>
      <c r="Q34" s="18">
        <f t="shared" si="34"/>
        <v>11.470715520102454</v>
      </c>
      <c r="R34" s="11"/>
      <c r="S34" s="40">
        <f t="shared" si="15"/>
        <v>0.83067654383074696</v>
      </c>
      <c r="T34" s="40">
        <f t="shared" si="16"/>
        <v>38.798579798927861</v>
      </c>
      <c r="U34" s="40">
        <f t="shared" si="17"/>
        <v>39.629256342758609</v>
      </c>
      <c r="W34" t="str">
        <f>$A$16</f>
        <v>Elementary occupations</v>
      </c>
      <c r="X34" s="18">
        <f t="shared" ref="X34:AB34" si="35">X16/X$18*100</f>
        <v>12.147476756195035</v>
      </c>
      <c r="Y34" s="18">
        <f t="shared" si="35"/>
        <v>11.664606956855659</v>
      </c>
      <c r="Z34" s="18">
        <f t="shared" si="35"/>
        <v>10.428313376918986</v>
      </c>
      <c r="AA34" s="18">
        <f t="shared" si="35"/>
        <v>10.363797329143724</v>
      </c>
      <c r="AB34" s="18">
        <f t="shared" si="35"/>
        <v>9.5906845553663391</v>
      </c>
      <c r="AC34" s="11"/>
      <c r="AD34" s="40">
        <f t="shared" si="19"/>
        <v>-3.2831158503303004</v>
      </c>
      <c r="AE34" s="40">
        <f t="shared" si="20"/>
        <v>58.215309181803732</v>
      </c>
      <c r="AF34" s="40">
        <f t="shared" si="21"/>
        <v>54.932193331473421</v>
      </c>
    </row>
    <row r="35" spans="1:32" x14ac:dyDescent="0.2">
      <c r="B35" s="18"/>
      <c r="C35" s="18"/>
      <c r="D35" s="18"/>
      <c r="E35" s="18"/>
      <c r="F35" s="18"/>
      <c r="G35" s="11"/>
      <c r="H35" s="40"/>
      <c r="I35" s="40"/>
      <c r="J35" s="40"/>
      <c r="M35" s="18"/>
      <c r="N35" s="18"/>
      <c r="O35" s="18"/>
      <c r="P35" s="18"/>
      <c r="Q35" s="18"/>
      <c r="R35" s="11"/>
      <c r="S35" s="40"/>
      <c r="T35" s="40"/>
      <c r="U35" s="40"/>
      <c r="X35" s="18"/>
      <c r="Y35" s="18"/>
      <c r="Z35" s="18"/>
      <c r="AA35" s="18"/>
      <c r="AB35" s="18"/>
      <c r="AC35" s="11"/>
      <c r="AD35" s="40"/>
      <c r="AE35" s="40"/>
      <c r="AF35" s="40"/>
    </row>
    <row r="36" spans="1:32" x14ac:dyDescent="0.2">
      <c r="A36" s="24" t="str">
        <f>$A$18</f>
        <v>All occupations</v>
      </c>
      <c r="B36" s="26">
        <f>B18/B$18*100</f>
        <v>100</v>
      </c>
      <c r="C36" s="26">
        <f>C18/C$18*100</f>
        <v>100</v>
      </c>
      <c r="D36" s="26">
        <f>D18/D$18*100</f>
        <v>100</v>
      </c>
      <c r="E36" s="26">
        <f>E18/E$18*100</f>
        <v>100</v>
      </c>
      <c r="F36" s="26">
        <f>F18/F$18*100</f>
        <v>100</v>
      </c>
      <c r="G36" s="11"/>
      <c r="H36" s="43">
        <f t="shared" si="11"/>
        <v>3.5092115102603092</v>
      </c>
      <c r="I36" s="43">
        <f t="shared" si="12"/>
        <v>48.468442157338806</v>
      </c>
      <c r="J36" s="43">
        <f t="shared" si="13"/>
        <v>51.977653667599121</v>
      </c>
      <c r="L36" s="24" t="str">
        <f>$A$18</f>
        <v>All occupations</v>
      </c>
      <c r="M36" s="26">
        <f>M18/M$18*100</f>
        <v>100</v>
      </c>
      <c r="N36" s="26">
        <f>N18/N$18*100</f>
        <v>100</v>
      </c>
      <c r="O36" s="26">
        <f>O18/O$18*100</f>
        <v>100</v>
      </c>
      <c r="P36" s="26">
        <f>P18/P$18*100</f>
        <v>100</v>
      </c>
      <c r="Q36" s="26">
        <f>Q18/Q$18*100</f>
        <v>100</v>
      </c>
      <c r="R36" s="11"/>
      <c r="S36" s="43">
        <f t="shared" ref="S36" si="36">IF(O18&gt;0,(S18/O18)*100,0)</f>
        <v>2.0025852384537934</v>
      </c>
      <c r="T36" s="43">
        <f t="shared" ref="T36" si="37">IF(O18&gt;0,(T18/O18)*100,0)</f>
        <v>40.194535169953014</v>
      </c>
      <c r="U36" s="43">
        <f t="shared" ref="U36" si="38">IF(O18&gt;0,(U18/O18)*100,0)</f>
        <v>42.197120408406811</v>
      </c>
      <c r="W36" s="24" t="str">
        <f>$A$18</f>
        <v>All occupations</v>
      </c>
      <c r="X36" s="26">
        <f>X18/X$18*100</f>
        <v>100</v>
      </c>
      <c r="Y36" s="26">
        <f>Y18/Y$18*100</f>
        <v>100</v>
      </c>
      <c r="Z36" s="26">
        <f>Z18/Z$18*100</f>
        <v>100</v>
      </c>
      <c r="AA36" s="26">
        <f>AA18/AA$18*100</f>
        <v>100</v>
      </c>
      <c r="AB36" s="26">
        <f>AB18/AB$18*100</f>
        <v>100</v>
      </c>
      <c r="AC36" s="11"/>
      <c r="AD36" s="43">
        <f t="shared" ref="AD36" si="39">IF(Z18&gt;0,(AD18/Z18)*100,0)</f>
        <v>5.1639193145580728</v>
      </c>
      <c r="AE36" s="43">
        <f t="shared" ref="AE36" si="40">IF(Z18&gt;0,(AE18/Z18)*100,0)</f>
        <v>57.555565301451438</v>
      </c>
      <c r="AF36" s="43">
        <f t="shared" ref="AF36" si="41">IF(Z18&gt;0,(AF18/Z18)*100,0)</f>
        <v>62.71948461600951</v>
      </c>
    </row>
    <row r="37" spans="1:32" x14ac:dyDescent="0.2">
      <c r="B37" s="18"/>
      <c r="C37" s="18"/>
      <c r="D37" s="18"/>
      <c r="E37" s="18"/>
      <c r="F37" s="18"/>
      <c r="G37" s="11"/>
      <c r="M37" s="18"/>
      <c r="N37" s="18"/>
      <c r="O37" s="18"/>
      <c r="P37" s="18"/>
      <c r="Q37" s="18"/>
      <c r="R37" s="11"/>
      <c r="X37" s="18"/>
      <c r="Y37" s="18"/>
      <c r="Z37" s="18"/>
      <c r="AA37" s="18"/>
      <c r="AB37" s="18"/>
      <c r="AC37" s="11"/>
    </row>
    <row r="38" spans="1:32" x14ac:dyDescent="0.2">
      <c r="B38" s="18"/>
      <c r="C38" s="18"/>
      <c r="D38" s="18"/>
      <c r="E38" s="18"/>
      <c r="F38" s="18"/>
      <c r="G38" s="11"/>
      <c r="M38" s="18"/>
      <c r="N38" s="18"/>
      <c r="O38" s="18"/>
      <c r="P38" s="18"/>
      <c r="Q38" s="18"/>
      <c r="R38" s="11"/>
      <c r="X38" s="18"/>
      <c r="Y38" s="18"/>
      <c r="Z38" s="18"/>
      <c r="AA38" s="18"/>
      <c r="AB38" s="18"/>
      <c r="AC38" s="11"/>
    </row>
    <row r="39" spans="1:32" ht="15.75" x14ac:dyDescent="0.25">
      <c r="A39" s="19" t="str">
        <f>CONCATENATE(A$1," (Continued)")</f>
        <v>Occupation Table 1  Employment Change by Occupation Group (SOC 2020) and Replacement Demand, 2015-2035, Greater Lincolnshire (Continued)</v>
      </c>
      <c r="B39" s="18"/>
      <c r="C39" s="18"/>
      <c r="D39" s="18"/>
      <c r="E39" s="18"/>
      <c r="F39" s="18"/>
      <c r="G39" s="11"/>
      <c r="L39" s="19" t="str">
        <f>CONCATENATE(L$1," (Continued)")</f>
        <v>Occupation Table 1.1  Males: Employment Change by Occupation Group (SOC 2020) and Replacement Demand, 2015-2035, Greater Lincolnshire (Continued)</v>
      </c>
      <c r="M39" s="18"/>
      <c r="N39" s="18"/>
      <c r="O39" s="18"/>
      <c r="P39" s="18"/>
      <c r="Q39" s="18"/>
      <c r="R39" s="11"/>
      <c r="W39" s="19" t="str">
        <f>CONCATENATE(W$1," (Continued)")</f>
        <v>Occupation Table 1.2  Females: Employment Change by Occupation Group (SOC 2020) and Replacement Demand, 2015-2035, Greater Lincolnshire (Continued)</v>
      </c>
      <c r="X39" s="18"/>
      <c r="Y39" s="18"/>
      <c r="Z39" s="18"/>
      <c r="AA39" s="18"/>
      <c r="AB39" s="18"/>
      <c r="AC39" s="11"/>
    </row>
    <row r="40" spans="1:32" x14ac:dyDescent="0.2">
      <c r="B40" s="18"/>
      <c r="C40" s="18"/>
      <c r="D40" s="18"/>
      <c r="E40" s="18"/>
      <c r="F40" s="18"/>
      <c r="G40" s="11"/>
      <c r="M40" s="18"/>
      <c r="N40" s="18"/>
      <c r="O40" s="18"/>
      <c r="P40" s="18"/>
      <c r="Q40" s="18"/>
      <c r="R40" s="11"/>
      <c r="X40" s="18"/>
      <c r="Y40" s="18"/>
      <c r="Z40" s="18"/>
      <c r="AA40" s="18"/>
      <c r="AB40" s="18"/>
      <c r="AC40" s="11"/>
    </row>
    <row r="41" spans="1:32" x14ac:dyDescent="0.2">
      <c r="B41" s="18"/>
      <c r="C41" s="18"/>
      <c r="D41" s="18"/>
      <c r="E41" s="18"/>
      <c r="F41" s="16" t="s">
        <v>38</v>
      </c>
      <c r="G41" s="11"/>
      <c r="J41" s="16" t="s">
        <v>38</v>
      </c>
      <c r="M41" s="18"/>
      <c r="N41" s="18"/>
      <c r="O41" s="18"/>
      <c r="P41" s="18"/>
      <c r="Q41" s="16" t="s">
        <v>38</v>
      </c>
      <c r="R41" s="11"/>
      <c r="U41" s="16" t="s">
        <v>38</v>
      </c>
      <c r="X41" s="18"/>
      <c r="Y41" s="18"/>
      <c r="Z41" s="18"/>
      <c r="AA41" s="18"/>
      <c r="AB41" s="16" t="s">
        <v>38</v>
      </c>
      <c r="AC41" s="11"/>
      <c r="AF41" s="16" t="s">
        <v>38</v>
      </c>
    </row>
    <row r="42" spans="1:32" x14ac:dyDescent="0.2">
      <c r="A42" s="36"/>
      <c r="B42" s="66"/>
      <c r="C42" s="66"/>
      <c r="D42" s="66"/>
      <c r="E42" s="66"/>
      <c r="F42" s="66"/>
      <c r="G42" s="11"/>
      <c r="H42" s="28" t="str">
        <f>H4</f>
        <v>2020-2035</v>
      </c>
      <c r="I42" s="36"/>
      <c r="J42" s="36"/>
      <c r="L42" s="36"/>
      <c r="M42" s="66"/>
      <c r="N42" s="66"/>
      <c r="O42" s="66"/>
      <c r="P42" s="66"/>
      <c r="Q42" s="66"/>
      <c r="R42" s="11"/>
      <c r="S42" s="28" t="str">
        <f>S4</f>
        <v>2020-2035</v>
      </c>
      <c r="T42" s="36"/>
      <c r="U42" s="36"/>
      <c r="W42" s="36"/>
      <c r="X42" s="66"/>
      <c r="Y42" s="66"/>
      <c r="Z42" s="66"/>
      <c r="AA42" s="66"/>
      <c r="AB42" s="66"/>
      <c r="AC42" s="11"/>
      <c r="AD42" s="28" t="str">
        <f>AD4</f>
        <v>2020-2035</v>
      </c>
      <c r="AE42" s="36"/>
      <c r="AF42" s="36"/>
    </row>
    <row r="43" spans="1:32" x14ac:dyDescent="0.2">
      <c r="H43" t="str">
        <f>H5</f>
        <v>Net</v>
      </c>
      <c r="I43" t="str">
        <f>I5</f>
        <v>Replacement</v>
      </c>
      <c r="J43" t="str">
        <f>J5</f>
        <v>Total</v>
      </c>
      <c r="S43" t="str">
        <f>S5</f>
        <v>Net</v>
      </c>
      <c r="T43" t="str">
        <f>T5</f>
        <v>Replacement</v>
      </c>
      <c r="U43" t="str">
        <f>U5</f>
        <v>Total</v>
      </c>
      <c r="AD43" t="str">
        <f>AD5</f>
        <v>Net</v>
      </c>
      <c r="AE43" t="str">
        <f>AE5</f>
        <v>Replacement</v>
      </c>
      <c r="AF43" t="str">
        <f>AF5</f>
        <v>Total</v>
      </c>
    </row>
    <row r="44" spans="1:32" x14ac:dyDescent="0.2">
      <c r="A44" s="41" t="s">
        <v>39</v>
      </c>
      <c r="B44" s="64" t="str">
        <f>CONCATENATE(B$6,"-",C$6)</f>
        <v>2015-2019</v>
      </c>
      <c r="C44" s="64" t="str">
        <f>CONCATENATE(C$6,"-",D$6)</f>
        <v>2019-2020</v>
      </c>
      <c r="D44" s="64" t="str">
        <f>CONCATENATE(D$6,"-",E$6)</f>
        <v>2020-2025</v>
      </c>
      <c r="E44" s="64" t="str">
        <f>CONCATENATE(E$6,"-",F$6)</f>
        <v>2025-2035</v>
      </c>
      <c r="F44" s="64" t="str">
        <f>CONCATENATE(D$6,"-",F$6)</f>
        <v>2020-2035</v>
      </c>
      <c r="H44" s="24" t="str">
        <f>H6</f>
        <v>Change</v>
      </c>
      <c r="I44" s="24" t="str">
        <f>I6</f>
        <v>Demand</v>
      </c>
      <c r="J44" s="24" t="str">
        <f>J6</f>
        <v>Requirement</v>
      </c>
      <c r="L44" s="41" t="s">
        <v>39</v>
      </c>
      <c r="M44" s="64" t="str">
        <f>CONCATENATE(M$6,"-",N$6)</f>
        <v>2015-2019</v>
      </c>
      <c r="N44" s="64" t="str">
        <f>CONCATENATE(N$6,"-",O$6)</f>
        <v>2019-2020</v>
      </c>
      <c r="O44" s="64" t="str">
        <f>CONCATENATE(O$6,"-",P$6)</f>
        <v>2020-2025</v>
      </c>
      <c r="P44" s="64" t="str">
        <f>CONCATENATE(P$6,"-",Q$6)</f>
        <v>2025-2035</v>
      </c>
      <c r="Q44" s="64" t="str">
        <f>CONCATENATE(O$6,"-",Q$6)</f>
        <v>2020-2035</v>
      </c>
      <c r="S44" s="24" t="str">
        <f>S6</f>
        <v>Change</v>
      </c>
      <c r="T44" s="24" t="str">
        <f>T6</f>
        <v>Demand</v>
      </c>
      <c r="U44" s="24" t="str">
        <f>U6</f>
        <v>Requirement</v>
      </c>
      <c r="W44" s="41" t="s">
        <v>39</v>
      </c>
      <c r="X44" s="64" t="str">
        <f>CONCATENATE(X$6,"-",Y$6)</f>
        <v>2015-2019</v>
      </c>
      <c r="Y44" s="64" t="str">
        <f>CONCATENATE(Y$6,"-",Z$6)</f>
        <v>2019-2020</v>
      </c>
      <c r="Z44" s="64" t="str">
        <f>CONCATENATE(Z$6,"-",AA$6)</f>
        <v>2020-2025</v>
      </c>
      <c r="AA44" s="64" t="str">
        <f>CONCATENATE(AA$6,"-",AB$6)</f>
        <v>2025-2035</v>
      </c>
      <c r="AB44" s="64" t="str">
        <f>CONCATENATE(Z$6,"-",AB$6)</f>
        <v>2020-2035</v>
      </c>
      <c r="AD44" s="24" t="str">
        <f>AD6</f>
        <v>Change</v>
      </c>
      <c r="AE44" s="24" t="str">
        <f>AE6</f>
        <v>Demand</v>
      </c>
      <c r="AF44" s="24" t="str">
        <f>AF6</f>
        <v>Requirement</v>
      </c>
    </row>
    <row r="45" spans="1:32" x14ac:dyDescent="0.2">
      <c r="A45" s="1"/>
      <c r="B45" s="20"/>
      <c r="C45" s="20"/>
      <c r="D45" s="20"/>
      <c r="E45" s="20"/>
      <c r="F45" s="20"/>
      <c r="L45" s="1"/>
      <c r="M45" s="20"/>
      <c r="N45" s="20"/>
      <c r="O45" s="20"/>
      <c r="P45" s="20"/>
      <c r="Q45" s="20"/>
      <c r="W45" s="1"/>
      <c r="X45" s="20"/>
      <c r="Y45" s="20"/>
      <c r="Z45" s="20"/>
      <c r="AA45" s="20"/>
      <c r="AB45" s="20"/>
    </row>
    <row r="46" spans="1:32" x14ac:dyDescent="0.2">
      <c r="A46" t="str">
        <f>$A$8</f>
        <v>Managers, directors and senior officials</v>
      </c>
      <c r="B46" s="18">
        <f t="shared" ref="B46:E54" si="42">IF(C$6-B$6 &lt;&gt; 0,(EXP(LN(C8/B8)/(C$6-B$6))-1)*100,0)</f>
        <v>3.3714651272099605</v>
      </c>
      <c r="C46" s="18">
        <f t="shared" si="42"/>
        <v>5.1546189164777934</v>
      </c>
      <c r="D46" s="18">
        <f t="shared" si="42"/>
        <v>-1.3170568805956462</v>
      </c>
      <c r="E46" s="18">
        <f t="shared" si="42"/>
        <v>0.85330461471615493</v>
      </c>
      <c r="F46" s="18">
        <f>IF(F$6-D$6 &lt;&gt; 0,(EXP(LN(F8/D8)/(F$6-D$6))-1)*100,0)</f>
        <v>0.12459826275421637</v>
      </c>
      <c r="H46" s="18">
        <f>IF($F$6-$D$6 &lt;&gt; 0,(EXP(LN(1+(H26/100))/($F$6-$D$6))-1)*100,0)</f>
        <v>0.12459826275421637</v>
      </c>
      <c r="I46" s="18">
        <f>IF($F$6-$D$6 &lt;&gt; 0,(EXP(LN(1+(I26/100))/($F$6-$D$6))-1)*100,0)</f>
        <v>2.7256545079910266</v>
      </c>
      <c r="J46" s="18">
        <f>IF($F$6-$D$6 &lt;&gt; 0,(EXP(LN(1+(J26/100))/($F$6-$D$6))-1)*100,0)</f>
        <v>2.8114094869078121</v>
      </c>
      <c r="L46" t="str">
        <f>$A$8</f>
        <v>Managers, directors and senior officials</v>
      </c>
      <c r="M46" s="18">
        <f t="shared" ref="M46:M54" si="43">IF(N$6-M$6 &lt;&gt; 0,(EXP(LN(N8/M8)/(N$6-M$6))-1)*100,0)</f>
        <v>2.2309353037788915</v>
      </c>
      <c r="N46" s="18">
        <f t="shared" ref="N46:N54" si="44">IF(O$6-N$6 &lt;&gt; 0,(EXP(LN(O8/N8)/(O$6-N$6))-1)*100,0)</f>
        <v>6.7592662098888701</v>
      </c>
      <c r="O46" s="18">
        <f t="shared" ref="O46:O54" si="45">IF(P$6-O$6 &lt;&gt; 0,(EXP(LN(P8/O8)/(P$6-O$6))-1)*100,0)</f>
        <v>-1.3552379550200389</v>
      </c>
      <c r="P46" s="18">
        <f t="shared" ref="P46:P54" si="46">IF(Q$6-P$6 &lt;&gt; 0,(EXP(LN(Q8/P8)/(Q$6-P$6))-1)*100,0)</f>
        <v>0.62861609105071548</v>
      </c>
      <c r="Q46" s="18">
        <f>IF(Q$6-O$6 &lt;&gt; 0,(EXP(LN(Q8/O8)/(Q$6-O$6))-1)*100,0)</f>
        <v>-3.7062478600069504E-2</v>
      </c>
      <c r="S46" s="18">
        <f>IF($F$6-$D$6 &lt;&gt; 0,(EXP(LN(1+(S26/100))/($F$6-$D$6))-1)*100,0)</f>
        <v>-3.7062478600069504E-2</v>
      </c>
      <c r="T46" s="18">
        <f>IF($F$6-$D$6 &lt;&gt; 0,(EXP(LN(1+(T26/100))/($F$6-$D$6))-1)*100,0)</f>
        <v>2.5149506833849644</v>
      </c>
      <c r="U46" s="18">
        <f>IF($F$6-$D$6 &lt;&gt; 0,(EXP(LN(1+(U26/100))/($F$6-$D$6))-1)*100,0)</f>
        <v>2.4887952056290352</v>
      </c>
      <c r="W46" t="str">
        <f>$A$8</f>
        <v>Managers, directors and senior officials</v>
      </c>
      <c r="X46" s="18">
        <f t="shared" ref="X46:X54" si="47">IF(Y$6-X$6 &lt;&gt; 0,(EXP(LN(Y8/X8)/(Y$6-X$6))-1)*100,0)</f>
        <v>5.8210117450360199</v>
      </c>
      <c r="Y46" s="18">
        <f t="shared" ref="Y46:Y54" si="48">IF(Z$6-Y$6 &lt;&gt; 0,(EXP(LN(Z8/Y8)/(Z$6-Y$6))-1)*100,0)</f>
        <v>1.9923399969304034</v>
      </c>
      <c r="Z46" s="18">
        <f t="shared" ref="Z46:Z54" si="49">IF(AA$6-Z$6 &lt;&gt; 0,(EXP(LN(AA8/Z8)/(AA$6-Z$6))-1)*100,0)</f>
        <v>-1.2384828380220259</v>
      </c>
      <c r="AA46" s="18">
        <f t="shared" ref="AA46:AA54" si="50">IF(AB$6-AA$6 &lt;&gt; 0,(EXP(LN(AB8/AA8)/(AB$6-AA$6))-1)*100,0)</f>
        <v>1.3004414682355137</v>
      </c>
      <c r="AB46" s="18">
        <f>IF(AB$6-Z$6 &lt;&gt; 0,(EXP(LN(AB8/Z8)/(AB$6-Z$6))-1)*100,0)</f>
        <v>0.44696281401368498</v>
      </c>
      <c r="AD46" s="18">
        <f>IF($F$6-$D$6 &lt;&gt; 0,(EXP(LN(1+(AD26/100))/($F$6-$D$6))-1)*100,0)</f>
        <v>0.44696281401368498</v>
      </c>
      <c r="AE46" s="18">
        <f>IF($F$6-$D$6 &lt;&gt; 0,(EXP(LN(1+(AE26/100))/($F$6-$D$6))-1)*100,0)</f>
        <v>3.1420834704149581</v>
      </c>
      <c r="AF46" s="18">
        <f>IF($F$6-$D$6 &lt;&gt; 0,(EXP(LN(1+(AF26/100))/($F$6-$D$6))-1)*100,0)</f>
        <v>3.4352707519957004</v>
      </c>
    </row>
    <row r="47" spans="1:32" x14ac:dyDescent="0.2">
      <c r="A47" t="str">
        <f>$A$9</f>
        <v>Professional occupations</v>
      </c>
      <c r="B47" s="18">
        <f t="shared" si="42"/>
        <v>2.7908884115774857</v>
      </c>
      <c r="C47" s="18">
        <f t="shared" si="42"/>
        <v>7.2497733074175397</v>
      </c>
      <c r="D47" s="18">
        <f t="shared" si="42"/>
        <v>1.1003217420321398</v>
      </c>
      <c r="E47" s="18">
        <f t="shared" si="42"/>
        <v>0.97568146772075703</v>
      </c>
      <c r="F47" s="18">
        <f>IF(F$6-D$6 &lt;&gt; 0,(EXP(LN(F9/D9)/(F$6-D$6))-1)*100,0)</f>
        <v>1.0172111429947783</v>
      </c>
      <c r="H47" s="18">
        <f t="shared" ref="H47:J56" si="51">IF($F$6-$D$6 &lt;&gt; 0,(EXP(LN(1+(H27/100))/($F$6-$D$6))-1)*100,0)</f>
        <v>1.0172111429947783</v>
      </c>
      <c r="I47" s="18">
        <f t="shared" si="51"/>
        <v>2.688411908599897</v>
      </c>
      <c r="J47" s="18">
        <f t="shared" si="51"/>
        <v>3.4060816136158634</v>
      </c>
      <c r="L47" t="str">
        <f>$A$9</f>
        <v>Professional occupations</v>
      </c>
      <c r="M47" s="18">
        <f t="shared" si="43"/>
        <v>1.6841996190409159</v>
      </c>
      <c r="N47" s="18">
        <f t="shared" si="44"/>
        <v>7.6743909136891997</v>
      </c>
      <c r="O47" s="18">
        <f t="shared" si="45"/>
        <v>1.7971838675275631</v>
      </c>
      <c r="P47" s="18">
        <f t="shared" si="46"/>
        <v>0.91259443693874065</v>
      </c>
      <c r="Q47" s="18">
        <f>IF(Q$6-O$6 &lt;&gt; 0,(EXP(LN(Q9/O9)/(Q$6-O$6))-1)*100,0)</f>
        <v>1.2066001719471586</v>
      </c>
      <c r="S47" s="18">
        <f t="shared" ref="S47:U47" si="52">IF($F$6-$D$6 &lt;&gt; 0,(EXP(LN(1+(S27/100))/($F$6-$D$6))-1)*100,0)</f>
        <v>1.2066001719471586</v>
      </c>
      <c r="T47" s="18">
        <f t="shared" si="52"/>
        <v>2.3327167904272139</v>
      </c>
      <c r="U47" s="18">
        <f t="shared" si="52"/>
        <v>3.227332737045141</v>
      </c>
      <c r="W47" t="str">
        <f>$A$9</f>
        <v>Professional occupations</v>
      </c>
      <c r="X47" s="18">
        <f t="shared" si="47"/>
        <v>4.0434503357067664</v>
      </c>
      <c r="Y47" s="18">
        <f t="shared" si="48"/>
        <v>6.7959607325217108</v>
      </c>
      <c r="Z47" s="18">
        <f t="shared" si="49"/>
        <v>0.32726482004306057</v>
      </c>
      <c r="AA47" s="18">
        <f t="shared" si="50"/>
        <v>1.0483476997425578</v>
      </c>
      <c r="AB47" s="18">
        <f>IF(AB$6-Z$6 &lt;&gt; 0,(EXP(LN(AB9/Z9)/(AB$6-Z$6))-1)*100,0)</f>
        <v>0.80741272227871086</v>
      </c>
      <c r="AD47" s="18">
        <f t="shared" ref="AD47:AF47" si="53">IF($F$6-$D$6 &lt;&gt; 0,(EXP(LN(1+(AD27/100))/($F$6-$D$6))-1)*100,0)</f>
        <v>0.80741272227871086</v>
      </c>
      <c r="AE47" s="18">
        <f t="shared" si="53"/>
        <v>3.0533166799671774</v>
      </c>
      <c r="AF47" s="18">
        <f t="shared" si="53"/>
        <v>3.5939699522268054</v>
      </c>
    </row>
    <row r="48" spans="1:32" x14ac:dyDescent="0.2">
      <c r="A48" t="str">
        <f>$A$10</f>
        <v>Associate professional occupations</v>
      </c>
      <c r="B48" s="18">
        <f t="shared" si="42"/>
        <v>1.7454569422561628</v>
      </c>
      <c r="C48" s="18">
        <f t="shared" si="42"/>
        <v>6.3083050479719072</v>
      </c>
      <c r="D48" s="18">
        <f t="shared" si="42"/>
        <v>0.95356728452768991</v>
      </c>
      <c r="E48" s="18">
        <f t="shared" si="42"/>
        <v>0.80469570177195138</v>
      </c>
      <c r="F48" s="18">
        <f t="shared" ref="F48:F56" si="54">IF(F$6-D$6 &lt;&gt; 0,(EXP(LN(F10/D10)/(F$6-D$6))-1)*100,0)</f>
        <v>0.85429515401460598</v>
      </c>
      <c r="H48" s="18">
        <f t="shared" si="51"/>
        <v>0.85429515401460598</v>
      </c>
      <c r="I48" s="18">
        <f t="shared" si="51"/>
        <v>2.7264911123070723</v>
      </c>
      <c r="J48" s="18">
        <f t="shared" si="51"/>
        <v>3.3241264235074786</v>
      </c>
      <c r="L48" t="str">
        <f>$A$10</f>
        <v>Associate professional occupations</v>
      </c>
      <c r="M48" s="18">
        <f t="shared" si="43"/>
        <v>0.72446909972898599</v>
      </c>
      <c r="N48" s="18">
        <f t="shared" si="44"/>
        <v>7.4874591375472699</v>
      </c>
      <c r="O48" s="18">
        <f t="shared" si="45"/>
        <v>-1.0313212694688101</v>
      </c>
      <c r="P48" s="18">
        <f>IF(Q$6-P$6 &lt;&gt; 0,(EXP(LN(Q10/P10)/(Q$6-P$6))-1)*100,0)</f>
        <v>0.26938586440281576</v>
      </c>
      <c r="Q48" s="18">
        <f t="shared" ref="Q48:Q54" si="55">IF(Q$6-O$6 &lt;&gt; 0,(EXP(LN(Q10/O10)/(Q$6-O$6))-1)*100,0)</f>
        <v>-0.16607157996476607</v>
      </c>
      <c r="S48" s="18">
        <f t="shared" ref="S48:U48" si="56">IF($F$6-$D$6 &lt;&gt; 0,(EXP(LN(1+(S28/100))/($F$6-$D$6))-1)*100,0)</f>
        <v>-0.16607157996476607</v>
      </c>
      <c r="T48" s="18">
        <f t="shared" si="56"/>
        <v>2.0609455692583101</v>
      </c>
      <c r="U48" s="18">
        <f t="shared" si="56"/>
        <v>1.9365164640769317</v>
      </c>
      <c r="W48" t="str">
        <f>$A$10</f>
        <v>Associate professional occupations</v>
      </c>
      <c r="X48" s="18">
        <f t="shared" si="47"/>
        <v>3.0047505083982129</v>
      </c>
      <c r="Y48" s="18">
        <f t="shared" si="48"/>
        <v>4.9330451845386092</v>
      </c>
      <c r="Z48" s="18">
        <f t="shared" si="49"/>
        <v>3.1369759297370736</v>
      </c>
      <c r="AA48" s="18">
        <f t="shared" si="50"/>
        <v>1.3016008847434923</v>
      </c>
      <c r="AB48" s="18">
        <f t="shared" ref="AB48:AB54" si="57">IF(AB$6-Z$6 &lt;&gt; 0,(EXP(LN(AB10/Z10)/(AB$6-Z$6))-1)*100,0)</f>
        <v>1.9097345140652422</v>
      </c>
      <c r="AD48" s="18">
        <f t="shared" ref="AD48:AF48" si="58">IF($F$6-$D$6 &lt;&gt; 0,(EXP(LN(1+(AD28/100))/($F$6-$D$6))-1)*100,0)</f>
        <v>1.9097345140652422</v>
      </c>
      <c r="AE48" s="18">
        <f t="shared" si="58"/>
        <v>3.4497919658493803</v>
      </c>
      <c r="AF48" s="18">
        <f t="shared" si="58"/>
        <v>4.6990227299217535</v>
      </c>
    </row>
    <row r="49" spans="1:32" x14ac:dyDescent="0.2">
      <c r="A49" t="str">
        <f>$A$11</f>
        <v>Administrative and secretarial occupations</v>
      </c>
      <c r="B49" s="18">
        <f t="shared" si="42"/>
        <v>-0.89805171349243151</v>
      </c>
      <c r="C49" s="18">
        <f t="shared" si="42"/>
        <v>3.2418607176059044</v>
      </c>
      <c r="D49" s="18">
        <f t="shared" si="42"/>
        <v>-4.7814000821611025E-2</v>
      </c>
      <c r="E49" s="18">
        <f t="shared" si="42"/>
        <v>-0.57373873533133057</v>
      </c>
      <c r="F49" s="18">
        <f t="shared" si="54"/>
        <v>-0.39873868858705253</v>
      </c>
      <c r="H49" s="18">
        <f t="shared" si="51"/>
        <v>-0.39873868858705253</v>
      </c>
      <c r="I49" s="18">
        <f t="shared" si="51"/>
        <v>2.7243963405047866</v>
      </c>
      <c r="J49" s="18">
        <f t="shared" si="51"/>
        <v>2.4532630248419007</v>
      </c>
      <c r="L49" t="str">
        <f>$A$11</f>
        <v>Administrative and secretarial occupations</v>
      </c>
      <c r="M49" s="18">
        <f t="shared" si="43"/>
        <v>-2.5634901367505791</v>
      </c>
      <c r="N49" s="18">
        <f t="shared" si="44"/>
        <v>21.435003048334323</v>
      </c>
      <c r="O49" s="18">
        <f t="shared" si="45"/>
        <v>0.68494104827818703</v>
      </c>
      <c r="P49" s="18">
        <f t="shared" si="46"/>
        <v>0.97124804094808059</v>
      </c>
      <c r="Q49" s="18">
        <f t="shared" si="55"/>
        <v>0.87572203079870903</v>
      </c>
      <c r="S49" s="18">
        <f t="shared" ref="S49:U49" si="59">IF($F$6-$D$6 &lt;&gt; 0,(EXP(LN(1+(S29/100))/($F$6-$D$6))-1)*100,0)</f>
        <v>0.87572203079870903</v>
      </c>
      <c r="T49" s="18">
        <f t="shared" si="59"/>
        <v>2.2076262599091345</v>
      </c>
      <c r="U49" s="18">
        <f t="shared" si="59"/>
        <v>2.863475008924965</v>
      </c>
      <c r="W49" t="str">
        <f>$A$11</f>
        <v>Administrative and secretarial occupations</v>
      </c>
      <c r="X49" s="18">
        <f t="shared" si="47"/>
        <v>-0.46752952182650409</v>
      </c>
      <c r="Y49" s="18">
        <f t="shared" si="48"/>
        <v>-1.2166945633434456</v>
      </c>
      <c r="Z49" s="18">
        <f t="shared" si="49"/>
        <v>-0.2728379154791849</v>
      </c>
      <c r="AA49" s="18">
        <f t="shared" si="50"/>
        <v>-1.1104151176905441</v>
      </c>
      <c r="AB49" s="18">
        <f t="shared" si="57"/>
        <v>-0.83200726541914349</v>
      </c>
      <c r="AD49" s="18">
        <f t="shared" ref="AD49:AF49" si="60">IF($F$6-$D$6 &lt;&gt; 0,(EXP(LN(1+(AD29/100))/($F$6-$D$6))-1)*100,0)</f>
        <v>-0.83200726541914349</v>
      </c>
      <c r="AE49" s="18">
        <f t="shared" si="60"/>
        <v>2.8731974537015148</v>
      </c>
      <c r="AF49" s="18">
        <f t="shared" si="60"/>
        <v>2.3250393021597482</v>
      </c>
    </row>
    <row r="50" spans="1:32" x14ac:dyDescent="0.2">
      <c r="A50" t="str">
        <f>$A$12</f>
        <v>Skilled trades occupations</v>
      </c>
      <c r="B50" s="18">
        <f t="shared" si="42"/>
        <v>-1.5351839610878493</v>
      </c>
      <c r="C50" s="18">
        <f t="shared" si="42"/>
        <v>-7.0914343965972515</v>
      </c>
      <c r="D50" s="18">
        <f t="shared" si="42"/>
        <v>-0.7287545265190265</v>
      </c>
      <c r="E50" s="18">
        <f t="shared" si="42"/>
        <v>-0.78712381370044104</v>
      </c>
      <c r="F50" s="18">
        <f t="shared" si="54"/>
        <v>-0.76767119895284619</v>
      </c>
      <c r="H50" s="18">
        <f t="shared" si="51"/>
        <v>-0.76767119895284619</v>
      </c>
      <c r="I50" s="18">
        <f t="shared" si="51"/>
        <v>2.2817218149860707</v>
      </c>
      <c r="J50" s="18">
        <f t="shared" si="51"/>
        <v>1.7307649486700383</v>
      </c>
      <c r="L50" t="str">
        <f>$A$12</f>
        <v>Skilled trades occupations</v>
      </c>
      <c r="M50" s="18">
        <f t="shared" si="43"/>
        <v>-2.2867677791303387</v>
      </c>
      <c r="N50" s="18">
        <f t="shared" si="44"/>
        <v>-6.6107108027149248</v>
      </c>
      <c r="O50" s="18">
        <f t="shared" si="45"/>
        <v>-0.86139429240512655</v>
      </c>
      <c r="P50" s="18">
        <f t="shared" si="46"/>
        <v>-0.93040790105762827</v>
      </c>
      <c r="Q50" s="18">
        <f t="shared" si="55"/>
        <v>-0.90740870456104128</v>
      </c>
      <c r="S50" s="18">
        <f t="shared" ref="S50:U50" si="61">IF($F$6-$D$6 &lt;&gt; 0,(EXP(LN(1+(S30/100))/($F$6-$D$6))-1)*100,0)</f>
        <v>-0.90740870456104128</v>
      </c>
      <c r="T50" s="18">
        <f t="shared" si="61"/>
        <v>2.1183340507175741</v>
      </c>
      <c r="U50" s="18">
        <f t="shared" si="61"/>
        <v>1.4535857034400301</v>
      </c>
      <c r="W50" t="str">
        <f>$A$12</f>
        <v>Skilled trades occupations</v>
      </c>
      <c r="X50" s="18">
        <f t="shared" si="47"/>
        <v>3.4369353169100281</v>
      </c>
      <c r="Y50" s="18">
        <f t="shared" si="48"/>
        <v>-9.8538972905686695</v>
      </c>
      <c r="Z50" s="18">
        <f t="shared" si="49"/>
        <v>4.656481480063146E-2</v>
      </c>
      <c r="AA50" s="18">
        <f t="shared" si="50"/>
        <v>-5.6962723111508851E-3</v>
      </c>
      <c r="AB50" s="18">
        <f t="shared" si="57"/>
        <v>1.1721056077207415E-2</v>
      </c>
      <c r="AD50" s="18">
        <f t="shared" ref="AD50:AF50" si="62">IF($F$6-$D$6 &lt;&gt; 0,(EXP(LN(1+(AD30/100))/($F$6-$D$6))-1)*100,0)</f>
        <v>1.1721056077207415E-2</v>
      </c>
      <c r="AE50" s="18">
        <f t="shared" si="62"/>
        <v>3.1855016463731456</v>
      </c>
      <c r="AF50" s="18">
        <f t="shared" si="62"/>
        <v>3.1930602032089528</v>
      </c>
    </row>
    <row r="51" spans="1:32" x14ac:dyDescent="0.2">
      <c r="A51" t="str">
        <f>$A$13</f>
        <v>Caring, leisure and other service occupations</v>
      </c>
      <c r="B51" s="18">
        <f t="shared" si="42"/>
        <v>1.4733254630268977</v>
      </c>
      <c r="C51" s="18">
        <f t="shared" si="42"/>
        <v>-2.9064230682059544</v>
      </c>
      <c r="D51" s="18">
        <f t="shared" si="42"/>
        <v>0.13721468329781494</v>
      </c>
      <c r="E51" s="18">
        <f t="shared" si="42"/>
        <v>0.54383413405341141</v>
      </c>
      <c r="F51" s="18">
        <f t="shared" si="54"/>
        <v>0.40811118875707653</v>
      </c>
      <c r="H51" s="18">
        <f t="shared" si="51"/>
        <v>0.40811118875707653</v>
      </c>
      <c r="I51" s="18">
        <f t="shared" si="51"/>
        <v>2.9900328458365211</v>
      </c>
      <c r="J51" s="18">
        <f t="shared" si="51"/>
        <v>3.2629438468783079</v>
      </c>
      <c r="L51" t="str">
        <f>$A$13</f>
        <v>Caring, leisure and other service occupations</v>
      </c>
      <c r="M51" s="18">
        <f t="shared" si="43"/>
        <v>1.190318866634632</v>
      </c>
      <c r="N51" s="18">
        <f t="shared" si="44"/>
        <v>1.9553826055348056</v>
      </c>
      <c r="O51" s="18">
        <f t="shared" si="45"/>
        <v>1.6568251165670844</v>
      </c>
      <c r="P51" s="18">
        <f t="shared" si="46"/>
        <v>1.2641098029041675</v>
      </c>
      <c r="Q51" s="18">
        <f t="shared" si="55"/>
        <v>1.3948460488025338</v>
      </c>
      <c r="S51" s="18">
        <f t="shared" ref="S51:U51" si="63">IF($F$6-$D$6 &lt;&gt; 0,(EXP(LN(1+(S31/100))/($F$6-$D$6))-1)*100,0)</f>
        <v>1.3948460488025338</v>
      </c>
      <c r="T51" s="18">
        <f t="shared" si="63"/>
        <v>2.6687043349632678</v>
      </c>
      <c r="U51" s="18">
        <f t="shared" si="63"/>
        <v>3.6631926759298716</v>
      </c>
      <c r="W51" t="str">
        <f>$A$13</f>
        <v>Caring, leisure and other service occupations</v>
      </c>
      <c r="X51" s="18">
        <f t="shared" si="47"/>
        <v>1.5363143190839201</v>
      </c>
      <c r="Y51" s="18">
        <f t="shared" si="48"/>
        <v>-3.9793167068975399</v>
      </c>
      <c r="Z51" s="18">
        <f t="shared" si="49"/>
        <v>-0.23254930223973735</v>
      </c>
      <c r="AA51" s="18">
        <f t="shared" si="50"/>
        <v>0.35071108713957688</v>
      </c>
      <c r="AB51" s="18">
        <f t="shared" si="57"/>
        <v>0.15591306549687101</v>
      </c>
      <c r="AD51" s="18">
        <f t="shared" ref="AD51:AF51" si="64">IF($F$6-$D$6 &lt;&gt; 0,(EXP(LN(1+(AD31/100))/($F$6-$D$6))-1)*100,0)</f>
        <v>0.15591306549687101</v>
      </c>
      <c r="AE51" s="18">
        <f t="shared" si="64"/>
        <v>3.063336968544883</v>
      </c>
      <c r="AF51" s="18">
        <f t="shared" si="64"/>
        <v>3.1659354317135291</v>
      </c>
    </row>
    <row r="52" spans="1:32" x14ac:dyDescent="0.2">
      <c r="A52" t="str">
        <f>$A$14</f>
        <v>Sales and customer service occupations</v>
      </c>
      <c r="B52" s="18">
        <f t="shared" si="42"/>
        <v>-1.6212867411538046</v>
      </c>
      <c r="C52" s="18">
        <f t="shared" si="42"/>
        <v>-1.3950159797736172</v>
      </c>
      <c r="D52" s="18">
        <f t="shared" si="42"/>
        <v>-0.11332211452914631</v>
      </c>
      <c r="E52" s="18">
        <f t="shared" si="42"/>
        <v>-1.5005909782872529E-2</v>
      </c>
      <c r="F52" s="18">
        <f t="shared" si="54"/>
        <v>-4.7788725599950954E-2</v>
      </c>
      <c r="H52" s="18">
        <f t="shared" si="51"/>
        <v>-4.7788725599950954E-2</v>
      </c>
      <c r="I52" s="18">
        <f t="shared" si="51"/>
        <v>2.5838548217193003</v>
      </c>
      <c r="J52" s="18">
        <f t="shared" si="51"/>
        <v>2.5504540442290446</v>
      </c>
      <c r="L52" t="str">
        <f>$A$14</f>
        <v>Sales and customer service occupations</v>
      </c>
      <c r="M52" s="18">
        <f t="shared" si="43"/>
        <v>-1.6382205332233557</v>
      </c>
      <c r="N52" s="18">
        <f t="shared" si="44"/>
        <v>2.9483501080000751</v>
      </c>
      <c r="O52" s="18">
        <f t="shared" si="45"/>
        <v>0.42885759366091403</v>
      </c>
      <c r="P52" s="18">
        <f t="shared" si="46"/>
        <v>0.14489711076293155</v>
      </c>
      <c r="Q52" s="18">
        <f t="shared" si="55"/>
        <v>0.23946128251539633</v>
      </c>
      <c r="S52" s="18">
        <f t="shared" ref="S52:U52" si="65">IF($F$6-$D$6 &lt;&gt; 0,(EXP(LN(1+(S32/100))/($F$6-$D$6))-1)*100,0)</f>
        <v>0.23946128251539633</v>
      </c>
      <c r="T52" s="18">
        <f t="shared" si="65"/>
        <v>1.959665728652582</v>
      </c>
      <c r="U52" s="18">
        <f t="shared" si="65"/>
        <v>2.1429223662046804</v>
      </c>
      <c r="W52" t="str">
        <f>$A$14</f>
        <v>Sales and customer service occupations</v>
      </c>
      <c r="X52" s="18">
        <f t="shared" si="47"/>
        <v>-1.6119033442999364</v>
      </c>
      <c r="Y52" s="18">
        <f t="shared" si="48"/>
        <v>-3.8001641524835317</v>
      </c>
      <c r="Z52" s="18">
        <f t="shared" si="49"/>
        <v>-0.44025701934129469</v>
      </c>
      <c r="AA52" s="18">
        <f t="shared" si="50"/>
        <v>-0.11513836578294079</v>
      </c>
      <c r="AB52" s="18">
        <f t="shared" si="57"/>
        <v>-0.22362904559162233</v>
      </c>
      <c r="AD52" s="18">
        <f t="shared" ref="AD52:AF52" si="66">IF($F$6-$D$6 &lt;&gt; 0,(EXP(LN(1+(AD32/100))/($F$6-$D$6))-1)*100,0)</f>
        <v>-0.22362904559162233</v>
      </c>
      <c r="AE52" s="18">
        <f t="shared" si="66"/>
        <v>2.9300999353260027</v>
      </c>
      <c r="AF52" s="18">
        <f t="shared" si="66"/>
        <v>2.7816679063686234</v>
      </c>
    </row>
    <row r="53" spans="1:32" x14ac:dyDescent="0.2">
      <c r="A53" t="str">
        <f>$A$15</f>
        <v>Process, plant and machine operatives</v>
      </c>
      <c r="B53" s="18">
        <f t="shared" si="42"/>
        <v>-0.12873489985151254</v>
      </c>
      <c r="C53" s="18">
        <f t="shared" si="42"/>
        <v>-6.6593985487536926</v>
      </c>
      <c r="D53" s="18">
        <f t="shared" si="42"/>
        <v>5.8842214625309808E-2</v>
      </c>
      <c r="E53" s="18">
        <f t="shared" si="42"/>
        <v>-0.58941004451810164</v>
      </c>
      <c r="F53" s="18">
        <f t="shared" si="54"/>
        <v>-0.37379395565542151</v>
      </c>
      <c r="H53" s="18">
        <f t="shared" si="51"/>
        <v>-0.37379395565542151</v>
      </c>
      <c r="I53" s="18">
        <f t="shared" si="51"/>
        <v>2.5370347597305054</v>
      </c>
      <c r="J53" s="18">
        <f t="shared" si="51"/>
        <v>2.2760011228922128</v>
      </c>
      <c r="L53" t="str">
        <f>$A$15</f>
        <v>Process, plant and machine operatives</v>
      </c>
      <c r="M53" s="18">
        <f t="shared" si="43"/>
        <v>-0.4083166824695672</v>
      </c>
      <c r="N53" s="18">
        <f t="shared" si="44"/>
        <v>-4.7211569852593787</v>
      </c>
      <c r="O53" s="18">
        <f t="shared" si="45"/>
        <v>-0.44367451571407646</v>
      </c>
      <c r="P53" s="18">
        <f t="shared" si="46"/>
        <v>-0.83185673077889044</v>
      </c>
      <c r="Q53" s="18">
        <f t="shared" si="55"/>
        <v>-0.70263112559671992</v>
      </c>
      <c r="S53" s="18">
        <f t="shared" ref="S53:U53" si="67">IF($F$6-$D$6 &lt;&gt; 0,(EXP(LN(1+(S33/100))/($F$6-$D$6))-1)*100,0)</f>
        <v>-0.70263112559671992</v>
      </c>
      <c r="T53" s="18">
        <f t="shared" si="67"/>
        <v>2.4321427480885616</v>
      </c>
      <c r="U53" s="18">
        <f t="shared" si="67"/>
        <v>1.9378359744018914</v>
      </c>
      <c r="W53" t="str">
        <f>$A$15</f>
        <v>Process, plant and machine operatives</v>
      </c>
      <c r="X53" s="18">
        <f t="shared" si="47"/>
        <v>1.3513902665521993</v>
      </c>
      <c r="Y53" s="18">
        <f t="shared" si="48"/>
        <v>-16.482248130823017</v>
      </c>
      <c r="Z53" s="18">
        <f t="shared" si="49"/>
        <v>2.7827523770289631</v>
      </c>
      <c r="AA53" s="18">
        <f t="shared" si="50"/>
        <v>0.53380138377439046</v>
      </c>
      <c r="AB53" s="18">
        <f t="shared" si="57"/>
        <v>1.2779302489412059</v>
      </c>
      <c r="AD53" s="18">
        <f t="shared" ref="AD53:AF53" si="68">IF($F$6-$D$6 &lt;&gt; 0,(EXP(LN(1+(AD33/100))/($F$6-$D$6))-1)*100,0)</f>
        <v>1.2779302489412059</v>
      </c>
      <c r="AE53" s="18">
        <f t="shared" si="68"/>
        <v>3.1157235965950436</v>
      </c>
      <c r="AF53" s="18">
        <f t="shared" si="68"/>
        <v>3.974207381122441</v>
      </c>
    </row>
    <row r="54" spans="1:32" x14ac:dyDescent="0.2">
      <c r="A54" t="str">
        <f>$A$16</f>
        <v>Elementary occupations</v>
      </c>
      <c r="B54" s="18">
        <f t="shared" si="42"/>
        <v>-1.179368842643802</v>
      </c>
      <c r="C54" s="18">
        <f t="shared" si="42"/>
        <v>-7.635456758640002</v>
      </c>
      <c r="D54" s="18">
        <f t="shared" si="42"/>
        <v>0.68990344306285589</v>
      </c>
      <c r="E54" s="18">
        <f t="shared" si="42"/>
        <v>-0.44535923229244156</v>
      </c>
      <c r="F54" s="18">
        <f t="shared" si="54"/>
        <v>-6.8367726321361122E-2</v>
      </c>
      <c r="H54" s="18">
        <f t="shared" si="51"/>
        <v>-6.8367726321361122E-2</v>
      </c>
      <c r="I54" s="18">
        <f t="shared" si="51"/>
        <v>2.6266077564153445</v>
      </c>
      <c r="J54" s="18">
        <f t="shared" si="51"/>
        <v>2.5791245214988878</v>
      </c>
      <c r="L54" t="str">
        <f>$A$16</f>
        <v>Elementary occupations</v>
      </c>
      <c r="M54" s="18">
        <f t="shared" si="43"/>
        <v>-2.6377661387985807</v>
      </c>
      <c r="N54" s="18">
        <f t="shared" si="44"/>
        <v>-3.6280464363115605</v>
      </c>
      <c r="O54" s="18">
        <f t="shared" si="45"/>
        <v>1.0904946458443865</v>
      </c>
      <c r="P54" s="18">
        <f t="shared" si="46"/>
        <v>-0.45851686014881654</v>
      </c>
      <c r="Q54" s="18">
        <f t="shared" si="55"/>
        <v>5.516490451940026E-2</v>
      </c>
      <c r="S54" s="18">
        <f t="shared" ref="S54:U54" si="69">IF($F$6-$D$6 &lt;&gt; 0,(EXP(LN(1+(S34/100))/($F$6-$D$6))-1)*100,0)</f>
        <v>5.516490451940026E-2</v>
      </c>
      <c r="T54" s="18">
        <f t="shared" si="69"/>
        <v>2.2097520711572338</v>
      </c>
      <c r="U54" s="18">
        <f t="shared" si="69"/>
        <v>2.2504186874527932</v>
      </c>
      <c r="W54" t="str">
        <f>$A$16</f>
        <v>Elementary occupations</v>
      </c>
      <c r="X54" s="18">
        <f t="shared" si="47"/>
        <v>0.58396282680885925</v>
      </c>
      <c r="Y54" s="18">
        <f t="shared" si="48"/>
        <v>-12.102306477772839</v>
      </c>
      <c r="Z54" s="18">
        <f t="shared" si="49"/>
        <v>0.19151608153591404</v>
      </c>
      <c r="AA54" s="18">
        <f t="shared" si="50"/>
        <v>-0.42856743274380937</v>
      </c>
      <c r="AB54" s="18">
        <f t="shared" si="57"/>
        <v>-0.22230051468320466</v>
      </c>
      <c r="AD54" s="18">
        <f t="shared" ref="AD54:AF54" si="70">IF($F$6-$D$6 &lt;&gt; 0,(EXP(LN(1+(AD34/100))/($F$6-$D$6))-1)*100,0)</f>
        <v>-0.22230051468320466</v>
      </c>
      <c r="AE54" s="18">
        <f t="shared" si="70"/>
        <v>3.1058326020960036</v>
      </c>
      <c r="AF54" s="18">
        <f t="shared" si="70"/>
        <v>2.961796416052942</v>
      </c>
    </row>
    <row r="55" spans="1:32" x14ac:dyDescent="0.2">
      <c r="B55" s="18"/>
      <c r="C55" s="18"/>
      <c r="D55" s="18"/>
      <c r="E55" s="18"/>
      <c r="F55" s="18"/>
      <c r="H55" s="18"/>
      <c r="I55" s="18"/>
      <c r="J55" s="18"/>
      <c r="M55" s="18"/>
      <c r="N55" s="18"/>
      <c r="O55" s="18"/>
      <c r="P55" s="18"/>
      <c r="Q55" s="18"/>
      <c r="S55" s="18"/>
      <c r="T55" s="18"/>
      <c r="U55" s="18"/>
      <c r="X55" s="18"/>
      <c r="Y55" s="18"/>
      <c r="Z55" s="18"/>
      <c r="AA55" s="18"/>
      <c r="AB55" s="18"/>
      <c r="AD55" s="18"/>
      <c r="AE55" s="18"/>
      <c r="AF55" s="18"/>
    </row>
    <row r="56" spans="1:32" x14ac:dyDescent="0.2">
      <c r="A56" s="24" t="str">
        <f>$A$18</f>
        <v>All occupations</v>
      </c>
      <c r="B56" s="26">
        <f>IF(C$6-B$6 &lt;&gt; 0,(EXP(LN(C18/B18)/(C$6-B$6))-1)*100,0)</f>
        <v>0.60067062186752729</v>
      </c>
      <c r="C56" s="26">
        <f>IF(D$6-C$6 &lt;&gt; 0,(EXP(LN(D18/C18)/(D$6-C$6))-1)*100,0)</f>
        <v>0.21001779020024536</v>
      </c>
      <c r="D56" s="26">
        <f>IF(E$6-D$6 &lt;&gt; 0,(EXP(LN(E18/D18)/(E$6-D$6))-1)*100,0)</f>
        <v>0.2137122903617783</v>
      </c>
      <c r="E56" s="26">
        <f>IF(F$6-E$6 &lt;&gt; 0,(EXP(LN(F18/E18)/(F$6-E$6))-1)*100,0)</f>
        <v>0.23844593453650198</v>
      </c>
      <c r="F56" s="26">
        <f t="shared" si="54"/>
        <v>0.23020070827648453</v>
      </c>
      <c r="H56" s="26">
        <f t="shared" si="51"/>
        <v>0.23020070827648453</v>
      </c>
      <c r="I56" s="26">
        <f t="shared" ref="I56" si="71">IF($F$6-$D$6 &lt;&gt; 0,(EXP(LN(1+(I36/100))/($F$6-$D$6))-1)*100,0)</f>
        <v>2.6696961595657598</v>
      </c>
      <c r="J56" s="26">
        <f t="shared" ref="J56" si="72">IF($F$6-$D$6 &lt;&gt; 0,(EXP(LN(1+(J36/100))/($F$6-$D$6))-1)*100,0)</f>
        <v>2.8297189996571159</v>
      </c>
      <c r="L56" s="24" t="str">
        <f>$A$18</f>
        <v>All occupations</v>
      </c>
      <c r="M56" s="26">
        <f>IF(N$6-M$6 &lt;&gt; 0,(EXP(LN(N18/M18)/(N$6-M$6))-1)*100,0)</f>
        <v>-0.30761970467831912</v>
      </c>
      <c r="N56" s="26">
        <f>IF(O$6-N$6 &lt;&gt; 0,(EXP(LN(O18/N18)/(O$6-N$6))-1)*100,0)</f>
        <v>1.9970760416515132</v>
      </c>
      <c r="O56" s="26">
        <f>IF(P$6-O$6 &lt;&gt; 0,(EXP(LN(P18/O18)/(P$6-O$6))-1)*100,0)</f>
        <v>0.12026170748111742</v>
      </c>
      <c r="P56" s="26">
        <f>IF(Q$6-P$6 &lt;&gt; 0,(EXP(LN(Q18/P18)/(Q$6-P$6))-1)*100,0)</f>
        <v>0.13828051845521383</v>
      </c>
      <c r="Q56" s="26">
        <f t="shared" ref="Q56" si="73">IF(Q$6-O$6 &lt;&gt; 0,(EXP(LN(Q18/O18)/(Q$6-O$6))-1)*100,0)</f>
        <v>0.13227388783982885</v>
      </c>
      <c r="S56" s="26">
        <f t="shared" ref="S56:U56" si="74">IF($F$6-$D$6 &lt;&gt; 0,(EXP(LN(1+(S36/100))/($F$6-$D$6))-1)*100,0)</f>
        <v>0.13227388783982885</v>
      </c>
      <c r="T56" s="26">
        <f t="shared" si="74"/>
        <v>2.2779635744216709</v>
      </c>
      <c r="U56" s="26">
        <f t="shared" si="74"/>
        <v>2.3747183879633704</v>
      </c>
      <c r="W56" s="24" t="str">
        <f>$A$18</f>
        <v>All occupations</v>
      </c>
      <c r="X56" s="26">
        <f>IF(Y$6-X$6 &lt;&gt; 0,(EXP(LN(Y18/X18)/(Y$6-X$6))-1)*100,0)</f>
        <v>1.6091302228793625</v>
      </c>
      <c r="Y56" s="26">
        <f>IF(Z$6-Y$6 &lt;&gt; 0,(EXP(LN(Z18/Y18)/(Z$6-Y$6))-1)*100,0)</f>
        <v>-1.68189137658451</v>
      </c>
      <c r="Z56" s="26">
        <f>IF(AA$6-Z$6 &lt;&gt; 0,(EXP(LN(AA18/Z18)/(AA$6-Z$6))-1)*100,0)</f>
        <v>0.315947786971571</v>
      </c>
      <c r="AA56" s="26">
        <f>IF(AB$6-AA$6 &lt;&gt; 0,(EXP(LN(AB18/AA18)/(AB$6-AA$6))-1)*100,0)</f>
        <v>0.3463744662698387</v>
      </c>
      <c r="AB56" s="26">
        <f t="shared" ref="AB56" si="75">IF(AB$6-Z$6 &lt;&gt; 0,(EXP(LN(AB18/Z18)/(AB$6-Z$6))-1)*100,0)</f>
        <v>0.33623121456747285</v>
      </c>
      <c r="AD56" s="26">
        <f t="shared" ref="AD56:AF56" si="76">IF($F$6-$D$6 &lt;&gt; 0,(EXP(LN(1+(AD36/100))/($F$6-$D$6))-1)*100,0)</f>
        <v>0.33623121456747285</v>
      </c>
      <c r="AE56" s="26">
        <f t="shared" si="76"/>
        <v>3.0771138600786729</v>
      </c>
      <c r="AF56" s="26">
        <f t="shared" si="76"/>
        <v>3.2989651247028684</v>
      </c>
    </row>
    <row r="57" spans="1:32" x14ac:dyDescent="0.2">
      <c r="B57" s="18"/>
      <c r="C57" s="18"/>
      <c r="D57" s="18"/>
      <c r="E57" s="18"/>
      <c r="F57" s="18"/>
      <c r="M57" s="18"/>
      <c r="N57" s="18"/>
      <c r="O57" s="18"/>
      <c r="P57" s="18"/>
      <c r="Q57" s="18"/>
      <c r="X57" s="18"/>
      <c r="Y57" s="18"/>
      <c r="Z57" s="18"/>
      <c r="AA57" s="18"/>
      <c r="AB57" s="18"/>
    </row>
    <row r="58" spans="1:32" x14ac:dyDescent="0.2">
      <c r="B58" s="18"/>
      <c r="C58" s="18"/>
      <c r="D58" s="18"/>
      <c r="E58" s="18"/>
      <c r="F58" s="18"/>
      <c r="M58" s="18"/>
      <c r="N58" s="18"/>
      <c r="O58" s="18"/>
      <c r="P58" s="18"/>
      <c r="Q58" s="18"/>
      <c r="X58" s="18"/>
      <c r="Y58" s="18"/>
      <c r="Z58" s="18"/>
      <c r="AA58" s="18"/>
      <c r="AB58" s="18"/>
    </row>
    <row r="59" spans="1:32" x14ac:dyDescent="0.2">
      <c r="B59" s="18"/>
      <c r="C59" s="18"/>
      <c r="D59" s="18"/>
      <c r="E59" s="18"/>
      <c r="F59" s="16" t="s">
        <v>36</v>
      </c>
      <c r="M59" s="18"/>
      <c r="N59" s="18"/>
      <c r="O59" s="18"/>
      <c r="P59" s="18"/>
      <c r="Q59" s="16" t="s">
        <v>36</v>
      </c>
      <c r="X59" s="18"/>
      <c r="Y59" s="18"/>
      <c r="Z59" s="18"/>
      <c r="AA59" s="18"/>
      <c r="AB59" s="16" t="s">
        <v>36</v>
      </c>
    </row>
    <row r="60" spans="1:32" x14ac:dyDescent="0.2">
      <c r="A60" s="36"/>
      <c r="B60" s="66"/>
      <c r="C60" s="66"/>
      <c r="D60" s="66"/>
      <c r="E60" s="66"/>
      <c r="F60" s="66"/>
      <c r="L60" s="36"/>
      <c r="M60" s="66"/>
      <c r="N60" s="66"/>
      <c r="O60" s="66"/>
      <c r="P60" s="66"/>
      <c r="Q60" s="66"/>
      <c r="W60" s="36"/>
      <c r="X60" s="66"/>
      <c r="Y60" s="66"/>
      <c r="Z60" s="66"/>
      <c r="AA60" s="66"/>
      <c r="AB60" s="66"/>
    </row>
    <row r="62" spans="1:32" x14ac:dyDescent="0.2">
      <c r="A62" s="41" t="s">
        <v>19</v>
      </c>
      <c r="B62" s="64" t="str">
        <f>CONCATENATE(B$6,"-",C$6)</f>
        <v>2015-2019</v>
      </c>
      <c r="C62" s="64" t="str">
        <f>CONCATENATE(C$6,"-",D$6)</f>
        <v>2019-2020</v>
      </c>
      <c r="D62" s="64" t="str">
        <f>CONCATENATE(D$6,"-",E$6)</f>
        <v>2020-2025</v>
      </c>
      <c r="E62" s="64" t="str">
        <f>CONCATENATE(E$6,"-",F$6)</f>
        <v>2025-2035</v>
      </c>
      <c r="F62" s="64" t="str">
        <f>CONCATENATE(D$6,"-",F$6)</f>
        <v>2020-2035</v>
      </c>
      <c r="L62" s="41" t="s">
        <v>19</v>
      </c>
      <c r="M62" s="64" t="str">
        <f>CONCATENATE(M$6,"-",N$6)</f>
        <v>2015-2019</v>
      </c>
      <c r="N62" s="64" t="str">
        <f>CONCATENATE(N$6,"-",O$6)</f>
        <v>2019-2020</v>
      </c>
      <c r="O62" s="64" t="str">
        <f>CONCATENATE(O$6,"-",P$6)</f>
        <v>2020-2025</v>
      </c>
      <c r="P62" s="64" t="str">
        <f>CONCATENATE(P$6,"-",Q$6)</f>
        <v>2025-2035</v>
      </c>
      <c r="Q62" s="64" t="str">
        <f>CONCATENATE(O$6,"-",Q$6)</f>
        <v>2020-2035</v>
      </c>
      <c r="W62" s="41" t="s">
        <v>19</v>
      </c>
      <c r="X62" s="64" t="str">
        <f>CONCATENATE(X$6,"-",Y$6)</f>
        <v>2015-2019</v>
      </c>
      <c r="Y62" s="64" t="str">
        <f>CONCATENATE(Y$6,"-",Z$6)</f>
        <v>2019-2020</v>
      </c>
      <c r="Z62" s="64" t="str">
        <f>CONCATENATE(Z$6,"-",AA$6)</f>
        <v>2020-2025</v>
      </c>
      <c r="AA62" s="64" t="str">
        <f>CONCATENATE(AA$6,"-",AB$6)</f>
        <v>2025-2035</v>
      </c>
      <c r="AB62" s="64" t="str">
        <f>CONCATENATE(Z$6,"-",AB$6)</f>
        <v>2020-2035</v>
      </c>
    </row>
    <row r="63" spans="1:32" x14ac:dyDescent="0.2">
      <c r="A63" s="1"/>
      <c r="B63" s="20"/>
      <c r="C63" s="20"/>
      <c r="D63" s="20"/>
      <c r="E63" s="20"/>
      <c r="F63" s="20"/>
      <c r="L63" s="1"/>
      <c r="M63" s="20"/>
      <c r="N63" s="20"/>
      <c r="O63" s="20"/>
      <c r="P63" s="20"/>
      <c r="Q63" s="20"/>
      <c r="W63" s="1"/>
      <c r="X63" s="20"/>
      <c r="Y63" s="20"/>
      <c r="Z63" s="20"/>
      <c r="AA63" s="20"/>
      <c r="AB63" s="20"/>
    </row>
    <row r="64" spans="1:32" x14ac:dyDescent="0.2">
      <c r="A64" t="str">
        <f>$A$8</f>
        <v>Managers, directors and senior officials</v>
      </c>
      <c r="B64" s="27">
        <f t="shared" ref="B64:E72" si="77">C8-B8</f>
        <v>6.4861191284456012</v>
      </c>
      <c r="C64" s="27">
        <f t="shared" si="77"/>
        <v>2.6915726331275778</v>
      </c>
      <c r="D64" s="27">
        <f t="shared" si="77"/>
        <v>-3.521867014739442</v>
      </c>
      <c r="E64" s="27">
        <f t="shared" si="77"/>
        <v>4.5570876766389219</v>
      </c>
      <c r="F64" s="27">
        <f>F8-D8</f>
        <v>1.0352206618994799</v>
      </c>
      <c r="L64" t="str">
        <f>$A$8</f>
        <v>Managers, directors and senior officials</v>
      </c>
      <c r="M64" s="27">
        <f t="shared" ref="M64:M72" si="78">N8-M8</f>
        <v>2.9261362765572194</v>
      </c>
      <c r="N64" s="27">
        <f t="shared" ref="N64:N72" si="79">O8-N8</f>
        <v>2.3413742369902053</v>
      </c>
      <c r="O64" s="27">
        <f t="shared" ref="O64:O72" si="80">P8-O8</f>
        <v>-2.4388851007042263</v>
      </c>
      <c r="P64" s="27">
        <f t="shared" ref="P64:P72" si="81">Q8-P8</f>
        <v>2.2338273405556635</v>
      </c>
      <c r="Q64" s="27">
        <f>Q8-O8</f>
        <v>-0.20505776014856281</v>
      </c>
      <c r="W64" t="str">
        <f>$A$8</f>
        <v>Managers, directors and senior officials</v>
      </c>
      <c r="X64" s="27">
        <f t="shared" ref="X64:X72" si="82">Y8-X8</f>
        <v>3.559982851888428</v>
      </c>
      <c r="Y64" s="27">
        <f t="shared" ref="Y64:Y72" si="83">Z8-Y8</f>
        <v>0.35019839613736181</v>
      </c>
      <c r="Z64" s="27">
        <f t="shared" ref="Z64:Z72" si="84">AA8-Z8</f>
        <v>-1.0829819140352264</v>
      </c>
      <c r="AA64" s="27">
        <f t="shared" ref="AA64:AA72" si="85">AB8-AA8</f>
        <v>2.3232603360833188</v>
      </c>
      <c r="AB64" s="27">
        <f>AB8-Z8</f>
        <v>1.2402784220480925</v>
      </c>
    </row>
    <row r="65" spans="1:31" x14ac:dyDescent="0.2">
      <c r="A65" t="str">
        <f>$A$9</f>
        <v>Professional occupations</v>
      </c>
      <c r="B65" s="27">
        <f t="shared" si="77"/>
        <v>9.7945423715772222</v>
      </c>
      <c r="C65" s="27">
        <f t="shared" si="77"/>
        <v>6.8106257400610843</v>
      </c>
      <c r="D65" s="27">
        <f t="shared" si="77"/>
        <v>5.6663807319860382</v>
      </c>
      <c r="E65" s="27">
        <f t="shared" si="77"/>
        <v>10.851109858173203</v>
      </c>
      <c r="F65" s="27">
        <f t="shared" ref="F65:F72" si="86">F9-D9</f>
        <v>16.517490590159241</v>
      </c>
      <c r="L65" t="str">
        <f>$A$9</f>
        <v>Professional occupations</v>
      </c>
      <c r="M65" s="27">
        <f t="shared" si="78"/>
        <v>3.1363711350739365</v>
      </c>
      <c r="N65" s="27">
        <f t="shared" si="79"/>
        <v>3.7245669285498053</v>
      </c>
      <c r="O65" s="27">
        <f t="shared" si="80"/>
        <v>4.867613809218291</v>
      </c>
      <c r="P65" s="27">
        <f t="shared" si="81"/>
        <v>5.4325400475999785</v>
      </c>
      <c r="Q65" s="27">
        <f t="shared" ref="Q65:Q72" si="87">Q9-O9</f>
        <v>10.30015385681827</v>
      </c>
      <c r="W65" t="str">
        <f>$A$9</f>
        <v>Professional occupations</v>
      </c>
      <c r="X65" s="27">
        <f t="shared" si="82"/>
        <v>6.6581712365032786</v>
      </c>
      <c r="Y65" s="27">
        <f t="shared" si="83"/>
        <v>3.0860588115114069</v>
      </c>
      <c r="Z65" s="27">
        <f t="shared" si="84"/>
        <v>0.79876692276761929</v>
      </c>
      <c r="AA65" s="27">
        <f t="shared" si="85"/>
        <v>5.4185698105733948</v>
      </c>
      <c r="AB65" s="27">
        <f t="shared" ref="AB65:AB72" si="88">AB9-Z9</f>
        <v>6.2173367333410141</v>
      </c>
    </row>
    <row r="66" spans="1:31" x14ac:dyDescent="0.2">
      <c r="A66" t="str">
        <f>$A$10</f>
        <v>Associate professional occupations</v>
      </c>
      <c r="B66" s="27">
        <f t="shared" si="77"/>
        <v>3.8648111808073224</v>
      </c>
      <c r="C66" s="27">
        <f t="shared" si="77"/>
        <v>3.6456765158383888</v>
      </c>
      <c r="D66" s="27">
        <f t="shared" si="77"/>
        <v>2.9856331273460057</v>
      </c>
      <c r="E66" s="27">
        <f t="shared" si="77"/>
        <v>5.3758998915897678</v>
      </c>
      <c r="F66" s="27">
        <f t="shared" si="86"/>
        <v>8.3615330189357735</v>
      </c>
      <c r="L66" t="str">
        <f>$A$10</f>
        <v>Associate professional occupations</v>
      </c>
      <c r="M66" s="27">
        <f t="shared" si="78"/>
        <v>0.88555485688192093</v>
      </c>
      <c r="N66" s="27">
        <f t="shared" si="79"/>
        <v>2.3296645996379794</v>
      </c>
      <c r="O66" s="27">
        <f t="shared" si="80"/>
        <v>-1.6893628046466809</v>
      </c>
      <c r="P66" s="27">
        <f t="shared" si="81"/>
        <v>0.86586654395864926</v>
      </c>
      <c r="Q66" s="27">
        <f t="shared" si="87"/>
        <v>-0.82349626068803161</v>
      </c>
      <c r="W66" t="str">
        <f>$A$10</f>
        <v>Associate professional occupations</v>
      </c>
      <c r="X66" s="27">
        <f t="shared" si="82"/>
        <v>2.9792563239254797</v>
      </c>
      <c r="Y66" s="27">
        <f t="shared" si="83"/>
        <v>1.3160119162003951</v>
      </c>
      <c r="Z66" s="27">
        <f t="shared" si="84"/>
        <v>4.6749959319926759</v>
      </c>
      <c r="AA66" s="27">
        <f t="shared" si="85"/>
        <v>4.5100333476310652</v>
      </c>
      <c r="AB66" s="27">
        <f t="shared" si="88"/>
        <v>9.1850292796237412</v>
      </c>
    </row>
    <row r="67" spans="1:31" x14ac:dyDescent="0.2">
      <c r="A67" t="str">
        <f>$A$11</f>
        <v>Administrative and secretarial occupations</v>
      </c>
      <c r="B67" s="27">
        <f t="shared" si="77"/>
        <v>-1.8204800864941575</v>
      </c>
      <c r="C67" s="27">
        <f t="shared" si="77"/>
        <v>1.6062100534674641</v>
      </c>
      <c r="D67" s="27">
        <f t="shared" si="77"/>
        <v>-0.12217253715361664</v>
      </c>
      <c r="E67" s="27">
        <f t="shared" si="77"/>
        <v>-2.853341585578427</v>
      </c>
      <c r="F67" s="27">
        <f t="shared" si="86"/>
        <v>-2.9755141227320436</v>
      </c>
      <c r="L67" t="str">
        <f>$A$11</f>
        <v>Administrative and secretarial occupations</v>
      </c>
      <c r="M67" s="27">
        <f t="shared" si="78"/>
        <v>-1.0675095515390716</v>
      </c>
      <c r="N67" s="27">
        <f t="shared" si="79"/>
        <v>2.0903785381644493</v>
      </c>
      <c r="O67" s="27">
        <f t="shared" si="80"/>
        <v>0.41116652623231431</v>
      </c>
      <c r="P67" s="27">
        <f t="shared" si="81"/>
        <v>1.2435267876323834</v>
      </c>
      <c r="Q67" s="27">
        <f t="shared" si="87"/>
        <v>1.6546933138646978</v>
      </c>
      <c r="W67" t="str">
        <f>$A$11</f>
        <v>Administrative and secretarial occupations</v>
      </c>
      <c r="X67" s="27">
        <f t="shared" si="82"/>
        <v>-0.75297053495496868</v>
      </c>
      <c r="Y67" s="27">
        <f t="shared" si="83"/>
        <v>-0.48416848469698692</v>
      </c>
      <c r="Z67" s="27">
        <f t="shared" si="84"/>
        <v>-0.53333906338596648</v>
      </c>
      <c r="AA67" s="27">
        <f t="shared" si="85"/>
        <v>-4.0968683732107962</v>
      </c>
      <c r="AB67" s="27">
        <f t="shared" si="88"/>
        <v>-4.6302074365967627</v>
      </c>
    </row>
    <row r="68" spans="1:31" x14ac:dyDescent="0.2">
      <c r="A68" t="str">
        <f>$A$12</f>
        <v>Skilled trades occupations</v>
      </c>
      <c r="B68" s="27">
        <f t="shared" si="77"/>
        <v>-3.3347520654599663</v>
      </c>
      <c r="C68" s="27">
        <f t="shared" si="77"/>
        <v>-3.7043749902613001</v>
      </c>
      <c r="D68" s="27">
        <f t="shared" si="77"/>
        <v>-1.742842145639699</v>
      </c>
      <c r="E68" s="27">
        <f t="shared" si="77"/>
        <v>-3.5552083803519139</v>
      </c>
      <c r="F68" s="27">
        <f t="shared" si="86"/>
        <v>-5.2980505259916129</v>
      </c>
      <c r="L68" t="str">
        <f>$A$12</f>
        <v>Skilled trades occupations</v>
      </c>
      <c r="M68" s="27">
        <f t="shared" si="78"/>
        <v>-4.3136930411329146</v>
      </c>
      <c r="N68" s="27">
        <f t="shared" si="79"/>
        <v>-2.9413963131377443</v>
      </c>
      <c r="O68" s="27">
        <f t="shared" si="80"/>
        <v>-1.7591082542010597</v>
      </c>
      <c r="P68" s="27">
        <f t="shared" si="81"/>
        <v>-3.5512241755581329</v>
      </c>
      <c r="Q68" s="27">
        <f t="shared" si="87"/>
        <v>-5.3103324297591925</v>
      </c>
      <c r="W68" t="str">
        <f>$A$12</f>
        <v>Skilled trades occupations</v>
      </c>
      <c r="X68" s="27">
        <f t="shared" si="82"/>
        <v>0.97894097567294303</v>
      </c>
      <c r="Y68" s="27">
        <f t="shared" si="83"/>
        <v>-0.76297867712350786</v>
      </c>
      <c r="Z68" s="27">
        <f t="shared" si="84"/>
        <v>1.6266108561397097E-2</v>
      </c>
      <c r="AA68" s="27">
        <f t="shared" si="85"/>
        <v>-3.9842047938334346E-3</v>
      </c>
      <c r="AB68" s="27">
        <f t="shared" si="88"/>
        <v>1.2281903767563662E-2</v>
      </c>
    </row>
    <row r="69" spans="1:31" x14ac:dyDescent="0.2">
      <c r="A69" t="str">
        <f>$A$13</f>
        <v>Caring, leisure and other service occupations</v>
      </c>
      <c r="B69" s="27">
        <f t="shared" si="77"/>
        <v>3.3269802997955154</v>
      </c>
      <c r="C69" s="27">
        <f t="shared" si="77"/>
        <v>-1.7016570860306928</v>
      </c>
      <c r="D69" s="27">
        <f t="shared" si="77"/>
        <v>0.39108047917498112</v>
      </c>
      <c r="E69" s="27">
        <f t="shared" si="77"/>
        <v>3.1900677171163068</v>
      </c>
      <c r="F69" s="27">
        <f t="shared" si="86"/>
        <v>3.5811481962912879</v>
      </c>
      <c r="L69" t="str">
        <f>$A$13</f>
        <v>Caring, leisure and other service occupations</v>
      </c>
      <c r="M69" s="27">
        <f t="shared" si="78"/>
        <v>0.48931109952880192</v>
      </c>
      <c r="N69" s="27">
        <f t="shared" si="79"/>
        <v>0.20696786165689929</v>
      </c>
      <c r="O69" s="27">
        <f t="shared" si="80"/>
        <v>0.9240986718926063</v>
      </c>
      <c r="P69" s="27">
        <f t="shared" si="81"/>
        <v>1.568127824729002</v>
      </c>
      <c r="Q69" s="27">
        <f t="shared" si="87"/>
        <v>2.4922264966216083</v>
      </c>
      <c r="W69" t="str">
        <f>$A$13</f>
        <v>Caring, leisure and other service occupations</v>
      </c>
      <c r="X69" s="27">
        <f t="shared" si="82"/>
        <v>2.8376692002667525</v>
      </c>
      <c r="Y69" s="27">
        <f t="shared" si="83"/>
        <v>-1.9086249476876276</v>
      </c>
      <c r="Z69" s="27">
        <f t="shared" si="84"/>
        <v>-0.53301819271761275</v>
      </c>
      <c r="AA69" s="27">
        <f t="shared" si="85"/>
        <v>1.6219398923873172</v>
      </c>
      <c r="AB69" s="27">
        <f t="shared" si="88"/>
        <v>1.0889216996697044</v>
      </c>
    </row>
    <row r="70" spans="1:31" x14ac:dyDescent="0.2">
      <c r="A70" t="str">
        <f>$A$14</f>
        <v>Sales and customer service occupations</v>
      </c>
      <c r="B70" s="27">
        <f t="shared" si="77"/>
        <v>-2.9346957888071543</v>
      </c>
      <c r="C70" s="27">
        <f t="shared" si="77"/>
        <v>-0.60590254108254982</v>
      </c>
      <c r="D70" s="27">
        <f t="shared" si="77"/>
        <v>-0.24211563147542137</v>
      </c>
      <c r="E70" s="27">
        <f t="shared" si="77"/>
        <v>-6.3860069941640063E-2</v>
      </c>
      <c r="F70" s="27">
        <f t="shared" si="86"/>
        <v>-0.30597570141706143</v>
      </c>
      <c r="L70" t="str">
        <f>$A$14</f>
        <v>Sales and customer service occupations</v>
      </c>
      <c r="M70" s="27">
        <f t="shared" si="78"/>
        <v>-1.0572987714444775</v>
      </c>
      <c r="N70" s="27">
        <f t="shared" si="79"/>
        <v>0.45639020161446808</v>
      </c>
      <c r="O70" s="27">
        <f t="shared" si="80"/>
        <v>0.34465513729572628</v>
      </c>
      <c r="P70" s="27">
        <f t="shared" si="81"/>
        <v>0.23744468589586987</v>
      </c>
      <c r="Q70" s="27">
        <f t="shared" si="87"/>
        <v>0.58209982319159614</v>
      </c>
      <c r="W70" t="str">
        <f>$A$14</f>
        <v>Sales and customer service occupations</v>
      </c>
      <c r="X70" s="27">
        <f t="shared" si="82"/>
        <v>-1.877397017362636</v>
      </c>
      <c r="Y70" s="27">
        <f t="shared" si="83"/>
        <v>-1.062292742697057</v>
      </c>
      <c r="Z70" s="27">
        <f t="shared" si="84"/>
        <v>-0.58677076877109258</v>
      </c>
      <c r="AA70" s="27">
        <f t="shared" si="85"/>
        <v>-0.30130475583748506</v>
      </c>
      <c r="AB70" s="27">
        <f t="shared" si="88"/>
        <v>-0.88807552460857764</v>
      </c>
    </row>
    <row r="71" spans="1:31" x14ac:dyDescent="0.2">
      <c r="A71" t="str">
        <f>$A$15</f>
        <v>Process, plant and machine operatives</v>
      </c>
      <c r="B71" s="27">
        <f t="shared" si="77"/>
        <v>-0.22984600565863644</v>
      </c>
      <c r="C71" s="27">
        <f t="shared" si="77"/>
        <v>-2.9628973453487006</v>
      </c>
      <c r="D71" s="27">
        <f t="shared" si="77"/>
        <v>0.1223269940083398</v>
      </c>
      <c r="E71" s="27">
        <f t="shared" si="77"/>
        <v>-2.3908736486648223</v>
      </c>
      <c r="F71" s="27">
        <f t="shared" si="86"/>
        <v>-2.2685466546564825</v>
      </c>
      <c r="L71" t="str">
        <f>$A$15</f>
        <v>Process, plant and machine operatives</v>
      </c>
      <c r="M71" s="27">
        <f t="shared" si="78"/>
        <v>-0.61316231154854961</v>
      </c>
      <c r="N71" s="27">
        <f t="shared" si="79"/>
        <v>-1.754364850116751</v>
      </c>
      <c r="O71" s="27">
        <f t="shared" si="80"/>
        <v>-0.77848230178040723</v>
      </c>
      <c r="P71" s="27">
        <f t="shared" si="81"/>
        <v>-2.7749847294164738</v>
      </c>
      <c r="Q71" s="27">
        <f t="shared" si="87"/>
        <v>-3.553467031196881</v>
      </c>
      <c r="W71" t="str">
        <f>$A$15</f>
        <v>Process, plant and machine operatives</v>
      </c>
      <c r="X71" s="27">
        <f t="shared" si="82"/>
        <v>0.38331630588996202</v>
      </c>
      <c r="Y71" s="27">
        <f t="shared" si="83"/>
        <v>-1.2085324952318732</v>
      </c>
      <c r="Z71" s="27">
        <f t="shared" si="84"/>
        <v>0.90080929578864133</v>
      </c>
      <c r="AA71" s="27">
        <f t="shared" si="85"/>
        <v>0.38411108075169231</v>
      </c>
      <c r="AB71" s="27">
        <f t="shared" si="88"/>
        <v>1.2849203765403336</v>
      </c>
    </row>
    <row r="72" spans="1:31" x14ac:dyDescent="0.2">
      <c r="A72" t="str">
        <f>$A$16</f>
        <v>Elementary occupations</v>
      </c>
      <c r="B72" s="27">
        <f t="shared" si="77"/>
        <v>-2.9916790342061219</v>
      </c>
      <c r="C72" s="27">
        <f t="shared" si="77"/>
        <v>-4.7002529797710366</v>
      </c>
      <c r="D72" s="27">
        <f t="shared" si="77"/>
        <v>1.9885759964928909</v>
      </c>
      <c r="E72" s="27">
        <f t="shared" si="77"/>
        <v>-2.5688814589817781</v>
      </c>
      <c r="F72" s="27">
        <f t="shared" si="86"/>
        <v>-0.58030546248888726</v>
      </c>
      <c r="L72" t="str">
        <f>$A$16</f>
        <v>Elementary occupations</v>
      </c>
      <c r="M72" s="27">
        <f t="shared" si="78"/>
        <v>-3.6618425458862873</v>
      </c>
      <c r="N72" s="27">
        <f t="shared" si="79"/>
        <v>-1.1772226335416249</v>
      </c>
      <c r="O72" s="27">
        <f t="shared" si="80"/>
        <v>1.742616013310645</v>
      </c>
      <c r="P72" s="27">
        <f t="shared" si="81"/>
        <v>-1.4828583455892286</v>
      </c>
      <c r="Q72" s="27">
        <f t="shared" si="87"/>
        <v>0.2597576677214164</v>
      </c>
      <c r="W72" t="str">
        <f>$A$16</f>
        <v>Elementary occupations</v>
      </c>
      <c r="X72" s="27">
        <f t="shared" si="82"/>
        <v>0.67016351168009081</v>
      </c>
      <c r="Y72" s="27">
        <f t="shared" si="83"/>
        <v>-3.5230303462293513</v>
      </c>
      <c r="Z72" s="27">
        <f t="shared" si="84"/>
        <v>0.24595998318224943</v>
      </c>
      <c r="AA72" s="27">
        <f t="shared" si="85"/>
        <v>-1.0860231133926028</v>
      </c>
      <c r="AB72" s="27">
        <f t="shared" si="88"/>
        <v>-0.84006313021035339</v>
      </c>
    </row>
    <row r="73" spans="1:31" x14ac:dyDescent="0.2">
      <c r="B73" s="27"/>
      <c r="C73" s="27"/>
      <c r="D73" s="27"/>
      <c r="E73" s="27"/>
      <c r="F73" s="27"/>
      <c r="M73" s="27"/>
      <c r="N73" s="27"/>
      <c r="O73" s="27"/>
      <c r="P73" s="27"/>
      <c r="Q73" s="27"/>
      <c r="X73" s="27"/>
      <c r="Y73" s="27"/>
      <c r="Z73" s="27"/>
      <c r="AA73" s="27"/>
      <c r="AB73" s="27"/>
    </row>
    <row r="74" spans="1:31" x14ac:dyDescent="0.2">
      <c r="A74" s="24" t="str">
        <f>$A$18</f>
        <v>All occupations</v>
      </c>
      <c r="B74" s="29">
        <f>C18-B18</f>
        <v>12.160999999999603</v>
      </c>
      <c r="C74" s="29">
        <f t="shared" ref="C74" si="89">D18-C18</f>
        <v>1.0790000000001783</v>
      </c>
      <c r="D74" s="29">
        <f>E18-D18</f>
        <v>5.5250000000000909</v>
      </c>
      <c r="E74" s="29">
        <f>F18-E18</f>
        <v>12.541999999999575</v>
      </c>
      <c r="F74" s="29">
        <f>F18-D18</f>
        <v>18.066999999999666</v>
      </c>
      <c r="L74" s="24" t="str">
        <f>$A$18</f>
        <v>All occupations</v>
      </c>
      <c r="M74" s="29">
        <f>N18-M18</f>
        <v>-3.2761328535094663</v>
      </c>
      <c r="N74" s="29">
        <f t="shared" ref="N74" si="90">O18-N18</f>
        <v>5.2763585698176598</v>
      </c>
      <c r="O74" s="29">
        <f>P18-O18</f>
        <v>1.6243116966172693</v>
      </c>
      <c r="P74" s="29">
        <f>Q18-P18</f>
        <v>3.7722659798076847</v>
      </c>
      <c r="Q74" s="29">
        <f>Q18-O18</f>
        <v>5.396577676424954</v>
      </c>
      <c r="W74" s="24" t="str">
        <f>$A$18</f>
        <v>All occupations</v>
      </c>
      <c r="X74" s="29">
        <f>Y18-X18</f>
        <v>15.437132853509326</v>
      </c>
      <c r="Y74" s="29">
        <f t="shared" ref="Y74" si="91">Z18-Y18</f>
        <v>-4.1973585698172258</v>
      </c>
      <c r="Z74" s="29">
        <f>AA18-Z18</f>
        <v>3.9006883033826796</v>
      </c>
      <c r="AA74" s="29">
        <f>AB18-AA18</f>
        <v>8.7697340201921179</v>
      </c>
      <c r="AB74" s="29">
        <f>AB18-Z18</f>
        <v>12.670422323574797</v>
      </c>
    </row>
    <row r="78" spans="1:31" x14ac:dyDescent="0.2">
      <c r="D78" s="1" t="s">
        <v>13</v>
      </c>
      <c r="H78" s="41" t="s">
        <v>44</v>
      </c>
      <c r="O78" s="1" t="s">
        <v>13</v>
      </c>
      <c r="S78" s="41" t="s">
        <v>44</v>
      </c>
      <c r="Z78" s="1" t="s">
        <v>13</v>
      </c>
      <c r="AD78" s="41" t="s">
        <v>44</v>
      </c>
    </row>
    <row r="79" spans="1:31" x14ac:dyDescent="0.2">
      <c r="A79" s="22"/>
      <c r="B79" s="23">
        <f>B6</f>
        <v>2015</v>
      </c>
      <c r="C79" s="23">
        <f>C6</f>
        <v>2019</v>
      </c>
      <c r="D79" s="23">
        <f>D6</f>
        <v>2020</v>
      </c>
      <c r="E79" s="23">
        <f>E6</f>
        <v>2025</v>
      </c>
      <c r="F79" s="23">
        <f>F6</f>
        <v>2035</v>
      </c>
      <c r="H79" s="75" t="str">
        <f>CONCATENATE(B$6,"-",D$6)</f>
        <v>2015-2020</v>
      </c>
      <c r="I79" s="75" t="str">
        <f>F44</f>
        <v>2020-2035</v>
      </c>
      <c r="L79" s="22"/>
      <c r="M79" s="23">
        <f>M6</f>
        <v>2015</v>
      </c>
      <c r="N79" s="23">
        <f>N6</f>
        <v>2019</v>
      </c>
      <c r="O79" s="23">
        <f>O6</f>
        <v>2020</v>
      </c>
      <c r="P79" s="23">
        <f>P6</f>
        <v>2025</v>
      </c>
      <c r="Q79" s="23">
        <f>Q6</f>
        <v>2035</v>
      </c>
      <c r="S79" s="75" t="str">
        <f>CONCATENATE(M$6,"-",O$6)</f>
        <v>2015-2020</v>
      </c>
      <c r="T79" s="75" t="str">
        <f>Q44</f>
        <v>2020-2035</v>
      </c>
      <c r="W79" s="22"/>
      <c r="X79" s="23">
        <f>X6</f>
        <v>2015</v>
      </c>
      <c r="Y79" s="23">
        <f>Y6</f>
        <v>2019</v>
      </c>
      <c r="Z79" s="23">
        <f>Z6</f>
        <v>2020</v>
      </c>
      <c r="AA79" s="23">
        <f>AA6</f>
        <v>2025</v>
      </c>
      <c r="AB79" s="23">
        <f>AB6</f>
        <v>2035</v>
      </c>
      <c r="AD79" s="75" t="str">
        <f>CONCATENATE(X$6,"-",Z$6)</f>
        <v>2015-2020</v>
      </c>
      <c r="AE79" s="75" t="str">
        <f>AB44</f>
        <v>2020-2035</v>
      </c>
    </row>
    <row r="80" spans="1:31" x14ac:dyDescent="0.2">
      <c r="A80" t="str">
        <f t="shared" ref="A80:F88" si="92">A8</f>
        <v>Managers, directors and senior officials</v>
      </c>
      <c r="B80" s="11">
        <f t="shared" si="92"/>
        <v>45.730595176532695</v>
      </c>
      <c r="C80" s="11">
        <f t="shared" si="92"/>
        <v>52.216714304978296</v>
      </c>
      <c r="D80" s="11">
        <f t="shared" si="92"/>
        <v>54.908286938105874</v>
      </c>
      <c r="E80" s="11">
        <f t="shared" si="92"/>
        <v>51.386419923366432</v>
      </c>
      <c r="F80" s="11">
        <f t="shared" si="92"/>
        <v>55.943507600005354</v>
      </c>
      <c r="H80" s="40">
        <f>IF(D$6-B$6 &lt;&gt; 0,(EXP(LN(D8/B8)/(D$6-B$6))-1)*100,0)</f>
        <v>3.725660303447631</v>
      </c>
      <c r="I80" s="40">
        <f t="shared" ref="I80:I88" si="93">F46</f>
        <v>0.12459826275421637</v>
      </c>
      <c r="L80" t="str">
        <f t="shared" ref="L80:Q88" si="94">L8</f>
        <v>Managers, directors and senior officials</v>
      </c>
      <c r="M80" s="11">
        <f t="shared" si="94"/>
        <v>31.713337362826191</v>
      </c>
      <c r="N80" s="11">
        <f t="shared" si="94"/>
        <v>34.639473639383411</v>
      </c>
      <c r="O80" s="11">
        <f t="shared" si="94"/>
        <v>36.980847876373616</v>
      </c>
      <c r="P80" s="11">
        <f t="shared" si="94"/>
        <v>34.54196277566939</v>
      </c>
      <c r="Q80" s="11">
        <f t="shared" si="94"/>
        <v>36.775790116225053</v>
      </c>
      <c r="S80" s="40">
        <f t="shared" ref="S80:S88" si="95">IF(O$6-M$6 &lt;&gt; 0,(EXP(LN(O8/M8)/(O$6-M$6))-1)*100,0)</f>
        <v>3.1209685293916545</v>
      </c>
      <c r="T80" s="40">
        <f t="shared" ref="T80:T88" si="96">Q46</f>
        <v>-3.7062478600069504E-2</v>
      </c>
      <c r="W80" t="str">
        <f t="shared" ref="W80:AB88" si="97">W8</f>
        <v>Managers, directors and senior officials</v>
      </c>
      <c r="X80" s="11">
        <f t="shared" si="97"/>
        <v>14.017257813706454</v>
      </c>
      <c r="Y80" s="11">
        <f t="shared" si="97"/>
        <v>17.577240665594882</v>
      </c>
      <c r="Z80" s="11">
        <f t="shared" si="97"/>
        <v>17.927439061732244</v>
      </c>
      <c r="AA80" s="11">
        <f t="shared" si="97"/>
        <v>16.844457147697018</v>
      </c>
      <c r="AB80" s="11">
        <f t="shared" si="97"/>
        <v>19.167717483780336</v>
      </c>
      <c r="AD80" s="40">
        <f t="shared" ref="AD80:AD88" si="98">IF(Z$6-X$6 &lt;&gt; 0,(EXP(LN(Z8/X8)/(Z$6-X$6))-1)*100,0)</f>
        <v>5.0439486568897074</v>
      </c>
      <c r="AE80" s="40">
        <f t="shared" ref="AE80:AE88" si="99">AB46</f>
        <v>0.44696281401368498</v>
      </c>
    </row>
    <row r="81" spans="1:31" x14ac:dyDescent="0.2">
      <c r="A81" t="str">
        <f t="shared" si="92"/>
        <v>Professional occupations</v>
      </c>
      <c r="B81" s="11">
        <f t="shared" si="92"/>
        <v>84.148060400468779</v>
      </c>
      <c r="C81" s="11">
        <f t="shared" si="92"/>
        <v>93.942602772046001</v>
      </c>
      <c r="D81" s="11">
        <f t="shared" si="92"/>
        <v>100.75322851210709</v>
      </c>
      <c r="E81" s="11">
        <f t="shared" si="92"/>
        <v>106.41960924409312</v>
      </c>
      <c r="F81" s="11">
        <f t="shared" si="92"/>
        <v>117.27071910226633</v>
      </c>
      <c r="H81" s="40">
        <f t="shared" ref="H81:H88" si="100">IF(D$6-B$6 &lt;&gt; 0,(EXP(LN(D9/B9)/(D$6-B$6))-1)*100,0)</f>
        <v>3.6675828025585666</v>
      </c>
      <c r="I81" s="40">
        <f t="shared" si="93"/>
        <v>1.0172111429947783</v>
      </c>
      <c r="L81" t="str">
        <f t="shared" si="94"/>
        <v>Professional occupations</v>
      </c>
      <c r="M81" s="11">
        <f t="shared" si="94"/>
        <v>45.396039716008829</v>
      </c>
      <c r="N81" s="11">
        <f t="shared" si="94"/>
        <v>48.532410851082766</v>
      </c>
      <c r="O81" s="11">
        <f t="shared" si="94"/>
        <v>52.256977779632571</v>
      </c>
      <c r="P81" s="11">
        <f t="shared" si="94"/>
        <v>57.124591588850862</v>
      </c>
      <c r="Q81" s="11">
        <f t="shared" si="94"/>
        <v>62.557131636450841</v>
      </c>
      <c r="S81" s="40">
        <f t="shared" si="95"/>
        <v>2.8549658634770214</v>
      </c>
      <c r="T81" s="40">
        <f t="shared" si="96"/>
        <v>1.2066001719471586</v>
      </c>
      <c r="W81" t="str">
        <f t="shared" si="97"/>
        <v>Professional occupations</v>
      </c>
      <c r="X81" s="11">
        <f t="shared" si="97"/>
        <v>38.752020684459907</v>
      </c>
      <c r="Y81" s="11">
        <f t="shared" si="97"/>
        <v>45.410191920963186</v>
      </c>
      <c r="Z81" s="11">
        <f t="shared" si="97"/>
        <v>48.496250732474593</v>
      </c>
      <c r="AA81" s="11">
        <f t="shared" si="97"/>
        <v>49.295017655242212</v>
      </c>
      <c r="AB81" s="11">
        <f t="shared" si="97"/>
        <v>54.713587465815607</v>
      </c>
      <c r="AD81" s="40">
        <f t="shared" si="98"/>
        <v>4.5882177062898766</v>
      </c>
      <c r="AE81" s="40">
        <f t="shared" si="99"/>
        <v>0.80741272227871086</v>
      </c>
    </row>
    <row r="82" spans="1:31" x14ac:dyDescent="0.2">
      <c r="A82" t="str">
        <f t="shared" si="92"/>
        <v>Associate professional occupations</v>
      </c>
      <c r="B82" s="11">
        <f t="shared" si="92"/>
        <v>53.926885449501597</v>
      </c>
      <c r="C82" s="11">
        <f t="shared" si="92"/>
        <v>57.79169663030892</v>
      </c>
      <c r="D82" s="11">
        <f t="shared" si="92"/>
        <v>61.437373146147308</v>
      </c>
      <c r="E82" s="11">
        <f t="shared" si="92"/>
        <v>64.423006273493314</v>
      </c>
      <c r="F82" s="11">
        <f t="shared" si="92"/>
        <v>69.798906165083082</v>
      </c>
      <c r="H82" s="40">
        <f t="shared" si="100"/>
        <v>2.6420837278857245</v>
      </c>
      <c r="I82" s="40">
        <f t="shared" si="93"/>
        <v>0.85429515401460598</v>
      </c>
      <c r="L82" t="str">
        <f t="shared" si="94"/>
        <v>Associate professional occupations</v>
      </c>
      <c r="M82" s="11">
        <f t="shared" si="94"/>
        <v>30.228666360773108</v>
      </c>
      <c r="N82" s="11">
        <f t="shared" si="94"/>
        <v>31.114221217655029</v>
      </c>
      <c r="O82" s="11">
        <f t="shared" si="94"/>
        <v>33.443885817293008</v>
      </c>
      <c r="P82" s="11">
        <f t="shared" si="94"/>
        <v>31.754523012646327</v>
      </c>
      <c r="Q82" s="11">
        <f t="shared" si="94"/>
        <v>32.620389556604977</v>
      </c>
      <c r="S82" s="40">
        <f t="shared" si="95"/>
        <v>2.0421378890677078</v>
      </c>
      <c r="T82" s="40">
        <f t="shared" si="96"/>
        <v>-0.16607157996476607</v>
      </c>
      <c r="W82" t="str">
        <f t="shared" si="97"/>
        <v>Associate professional occupations</v>
      </c>
      <c r="X82" s="11">
        <f t="shared" si="97"/>
        <v>23.698219088728433</v>
      </c>
      <c r="Y82" s="11">
        <f t="shared" si="97"/>
        <v>26.677475412653912</v>
      </c>
      <c r="Z82" s="11">
        <f t="shared" si="97"/>
        <v>27.993487328854307</v>
      </c>
      <c r="AA82" s="11">
        <f t="shared" si="97"/>
        <v>32.668483260846983</v>
      </c>
      <c r="AB82" s="11">
        <f t="shared" si="97"/>
        <v>37.178516608478049</v>
      </c>
      <c r="AD82" s="40">
        <f t="shared" si="98"/>
        <v>3.3875535793625122</v>
      </c>
      <c r="AE82" s="40">
        <f t="shared" si="99"/>
        <v>1.9097345140652422</v>
      </c>
    </row>
    <row r="83" spans="1:31" x14ac:dyDescent="0.2">
      <c r="A83" t="str">
        <f t="shared" si="92"/>
        <v>Administrative and secretarial occupations</v>
      </c>
      <c r="B83" s="11">
        <f t="shared" si="92"/>
        <v>51.366410445082977</v>
      </c>
      <c r="C83" s="11">
        <f t="shared" si="92"/>
        <v>49.545930358588819</v>
      </c>
      <c r="D83" s="11">
        <f t="shared" si="92"/>
        <v>51.152140412056283</v>
      </c>
      <c r="E83" s="11">
        <f t="shared" si="92"/>
        <v>51.029967874902667</v>
      </c>
      <c r="F83" s="11">
        <f t="shared" si="92"/>
        <v>48.17662628932424</v>
      </c>
      <c r="H83" s="40">
        <f t="shared" si="100"/>
        <v>-8.3567627689740132E-2</v>
      </c>
      <c r="I83" s="40">
        <f t="shared" si="93"/>
        <v>-0.39873868858705253</v>
      </c>
      <c r="L83" t="str">
        <f t="shared" si="94"/>
        <v>Administrative and secretarial occupations</v>
      </c>
      <c r="M83" s="11">
        <f t="shared" si="94"/>
        <v>10.819682357163604</v>
      </c>
      <c r="N83" s="11">
        <f t="shared" si="94"/>
        <v>9.7521728056245323</v>
      </c>
      <c r="O83" s="11">
        <f t="shared" si="94"/>
        <v>11.842551343788982</v>
      </c>
      <c r="P83" s="11">
        <f t="shared" si="94"/>
        <v>12.253717870021296</v>
      </c>
      <c r="Q83" s="11">
        <f t="shared" si="94"/>
        <v>13.497244657653679</v>
      </c>
      <c r="S83" s="40">
        <f t="shared" si="95"/>
        <v>1.8230620371673778</v>
      </c>
      <c r="T83" s="40">
        <f t="shared" si="96"/>
        <v>0.87572203079870903</v>
      </c>
      <c r="W83" t="str">
        <f t="shared" si="97"/>
        <v>Administrative and secretarial occupations</v>
      </c>
      <c r="X83" s="11">
        <f t="shared" si="97"/>
        <v>40.546728087919305</v>
      </c>
      <c r="Y83" s="11">
        <f t="shared" si="97"/>
        <v>39.793757552964337</v>
      </c>
      <c r="Z83" s="11">
        <f t="shared" si="97"/>
        <v>39.30958906826735</v>
      </c>
      <c r="AA83" s="11">
        <f t="shared" si="97"/>
        <v>38.776250004881383</v>
      </c>
      <c r="AB83" s="11">
        <f t="shared" si="97"/>
        <v>34.679381631670587</v>
      </c>
      <c r="AD83" s="40">
        <f t="shared" si="98"/>
        <v>-0.61781568584389213</v>
      </c>
      <c r="AE83" s="40">
        <f t="shared" si="99"/>
        <v>-0.83200726541914349</v>
      </c>
    </row>
    <row r="84" spans="1:31" x14ac:dyDescent="0.2">
      <c r="A84" t="str">
        <f t="shared" si="92"/>
        <v>Skilled trades occupations</v>
      </c>
      <c r="B84" s="11">
        <f t="shared" si="92"/>
        <v>55.572068003104462</v>
      </c>
      <c r="C84" s="11">
        <f t="shared" si="92"/>
        <v>52.237315937644496</v>
      </c>
      <c r="D84" s="11">
        <f t="shared" si="92"/>
        <v>48.532940947383196</v>
      </c>
      <c r="E84" s="11">
        <f t="shared" si="92"/>
        <v>46.790098801743497</v>
      </c>
      <c r="F84" s="11">
        <f t="shared" si="92"/>
        <v>43.234890421391583</v>
      </c>
      <c r="H84" s="40">
        <f t="shared" si="100"/>
        <v>-2.6724009271615778</v>
      </c>
      <c r="I84" s="40">
        <f t="shared" si="93"/>
        <v>-0.76767119895284619</v>
      </c>
      <c r="L84" t="str">
        <f t="shared" si="94"/>
        <v>Skilled trades occupations</v>
      </c>
      <c r="M84" s="11">
        <f t="shared" si="94"/>
        <v>48.808096153272601</v>
      </c>
      <c r="N84" s="11">
        <f t="shared" si="94"/>
        <v>44.494403112139686</v>
      </c>
      <c r="O84" s="11">
        <f t="shared" si="94"/>
        <v>41.553006799001942</v>
      </c>
      <c r="P84" s="11">
        <f t="shared" si="94"/>
        <v>39.793898544800882</v>
      </c>
      <c r="Q84" s="11">
        <f t="shared" si="94"/>
        <v>36.242674369242749</v>
      </c>
      <c r="S84" s="40">
        <f t="shared" si="95"/>
        <v>-3.167283058720527</v>
      </c>
      <c r="T84" s="40">
        <f t="shared" si="96"/>
        <v>-0.90740870456104128</v>
      </c>
      <c r="W84" t="str">
        <f t="shared" si="97"/>
        <v>Skilled trades occupations</v>
      </c>
      <c r="X84" s="11">
        <f t="shared" si="97"/>
        <v>6.7639718498318206</v>
      </c>
      <c r="Y84" s="11">
        <f t="shared" si="97"/>
        <v>7.7429128255047637</v>
      </c>
      <c r="Z84" s="11">
        <f t="shared" si="97"/>
        <v>6.9799341483812558</v>
      </c>
      <c r="AA84" s="11">
        <f t="shared" si="97"/>
        <v>6.9962002569426529</v>
      </c>
      <c r="AB84" s="11">
        <f t="shared" si="97"/>
        <v>6.9922160521488195</v>
      </c>
      <c r="AD84" s="40">
        <f t="shared" si="98"/>
        <v>0.63056399953265174</v>
      </c>
      <c r="AE84" s="40">
        <f t="shared" si="99"/>
        <v>1.1721056077207415E-2</v>
      </c>
    </row>
    <row r="85" spans="1:31" x14ac:dyDescent="0.2">
      <c r="A85" t="str">
        <f t="shared" si="92"/>
        <v>Caring, leisure and other service occupations</v>
      </c>
      <c r="B85" s="11">
        <f t="shared" si="92"/>
        <v>55.221174806923877</v>
      </c>
      <c r="C85" s="11">
        <f t="shared" si="92"/>
        <v>58.548155106719392</v>
      </c>
      <c r="D85" s="11">
        <f t="shared" si="92"/>
        <v>56.846498020688699</v>
      </c>
      <c r="E85" s="11">
        <f t="shared" si="92"/>
        <v>57.23757849986368</v>
      </c>
      <c r="F85" s="11">
        <f t="shared" si="92"/>
        <v>60.427646216979987</v>
      </c>
      <c r="H85" s="40">
        <f t="shared" si="100"/>
        <v>0.58184893647519331</v>
      </c>
      <c r="I85" s="40">
        <f t="shared" si="93"/>
        <v>0.40811118875707653</v>
      </c>
      <c r="L85" t="str">
        <f t="shared" si="94"/>
        <v>Caring, leisure and other service occupations</v>
      </c>
      <c r="M85" s="11">
        <f t="shared" si="94"/>
        <v>10.095208833862603</v>
      </c>
      <c r="N85" s="11">
        <f t="shared" si="94"/>
        <v>10.584519933391405</v>
      </c>
      <c r="O85" s="11">
        <f t="shared" si="94"/>
        <v>10.791487795048305</v>
      </c>
      <c r="P85" s="11">
        <f t="shared" si="94"/>
        <v>11.715586466940911</v>
      </c>
      <c r="Q85" s="11">
        <f t="shared" si="94"/>
        <v>13.283714291669913</v>
      </c>
      <c r="S85" s="40">
        <f t="shared" si="95"/>
        <v>1.3428709527582683</v>
      </c>
      <c r="T85" s="40">
        <f t="shared" si="96"/>
        <v>1.3948460488025338</v>
      </c>
      <c r="W85" t="str">
        <f t="shared" si="97"/>
        <v>Caring, leisure and other service occupations</v>
      </c>
      <c r="X85" s="11">
        <f t="shared" si="97"/>
        <v>45.125965973061255</v>
      </c>
      <c r="Y85" s="11">
        <f t="shared" si="97"/>
        <v>47.963635173328008</v>
      </c>
      <c r="Z85" s="11">
        <f t="shared" si="97"/>
        <v>46.05501022564038</v>
      </c>
      <c r="AA85" s="11">
        <f t="shared" si="97"/>
        <v>45.521992032922768</v>
      </c>
      <c r="AB85" s="11">
        <f t="shared" si="97"/>
        <v>47.143931925310085</v>
      </c>
      <c r="AD85" s="40">
        <f>IF(Z$6-X$6 &lt;&gt; 0,(EXP(LN(Z13/X13)/(Z$6-X$6))-1)*100,0)</f>
        <v>0.40840638396431039</v>
      </c>
      <c r="AE85" s="40">
        <f t="shared" si="99"/>
        <v>0.15591306549687101</v>
      </c>
    </row>
    <row r="86" spans="1:31" x14ac:dyDescent="0.2">
      <c r="A86" t="str">
        <f t="shared" si="92"/>
        <v>Sales and customer service occupations</v>
      </c>
      <c r="B86" s="11">
        <f t="shared" si="92"/>
        <v>46.36807217069466</v>
      </c>
      <c r="C86" s="11">
        <f t="shared" si="92"/>
        <v>43.433376381887506</v>
      </c>
      <c r="D86" s="11">
        <f t="shared" si="92"/>
        <v>42.827473840804956</v>
      </c>
      <c r="E86" s="11">
        <f t="shared" si="92"/>
        <v>42.585358209329534</v>
      </c>
      <c r="F86" s="11">
        <f t="shared" si="92"/>
        <v>42.521498139387894</v>
      </c>
      <c r="H86" s="40">
        <f t="shared" si="100"/>
        <v>-1.5760741652843135</v>
      </c>
      <c r="I86" s="40">
        <f t="shared" si="93"/>
        <v>-4.7788725599950954E-2</v>
      </c>
      <c r="L86" t="str">
        <f t="shared" si="94"/>
        <v>Sales and customer service occupations</v>
      </c>
      <c r="M86" s="11">
        <f t="shared" si="94"/>
        <v>16.536810528752209</v>
      </c>
      <c r="N86" s="11">
        <f t="shared" si="94"/>
        <v>15.479511757307732</v>
      </c>
      <c r="O86" s="11">
        <f t="shared" si="94"/>
        <v>15.9359019589222</v>
      </c>
      <c r="P86" s="11">
        <f t="shared" si="94"/>
        <v>16.280557096217926</v>
      </c>
      <c r="Q86" s="11">
        <f t="shared" si="94"/>
        <v>16.518001782113796</v>
      </c>
      <c r="S86" s="40">
        <f t="shared" si="95"/>
        <v>-0.73755240478560191</v>
      </c>
      <c r="T86" s="40">
        <f t="shared" si="96"/>
        <v>0.23946128251539633</v>
      </c>
      <c r="W86" t="str">
        <f t="shared" si="97"/>
        <v>Sales and customer service occupations</v>
      </c>
      <c r="X86" s="11">
        <f t="shared" si="97"/>
        <v>29.831261641942405</v>
      </c>
      <c r="Y86" s="11">
        <f t="shared" si="97"/>
        <v>27.953864624579769</v>
      </c>
      <c r="Z86" s="11">
        <f t="shared" si="97"/>
        <v>26.891571881882712</v>
      </c>
      <c r="AA86" s="11">
        <f t="shared" si="97"/>
        <v>26.304801113111619</v>
      </c>
      <c r="AB86" s="11">
        <f t="shared" si="97"/>
        <v>26.003496357274134</v>
      </c>
      <c r="AD86" s="40">
        <f t="shared" si="98"/>
        <v>-2.0535018354255197</v>
      </c>
      <c r="AE86" s="40">
        <f t="shared" si="99"/>
        <v>-0.22362904559162233</v>
      </c>
    </row>
    <row r="87" spans="1:31" x14ac:dyDescent="0.2">
      <c r="A87" t="str">
        <f t="shared" si="92"/>
        <v>Process, plant and machine operatives</v>
      </c>
      <c r="B87" s="11">
        <f t="shared" si="92"/>
        <v>44.721812114267756</v>
      </c>
      <c r="C87" s="11">
        <f t="shared" si="92"/>
        <v>44.49196610860912</v>
      </c>
      <c r="D87" s="11">
        <f t="shared" si="92"/>
        <v>41.529068763260419</v>
      </c>
      <c r="E87" s="11">
        <f t="shared" si="92"/>
        <v>41.651395757268759</v>
      </c>
      <c r="F87" s="11">
        <f t="shared" si="92"/>
        <v>39.260522108603936</v>
      </c>
      <c r="H87" s="40">
        <f t="shared" si="100"/>
        <v>-1.4704362294704287</v>
      </c>
      <c r="I87" s="40">
        <f t="shared" si="93"/>
        <v>-0.37379395565542151</v>
      </c>
      <c r="L87" t="str">
        <f t="shared" si="94"/>
        <v>Process, plant and machine operatives</v>
      </c>
      <c r="M87" s="11">
        <f t="shared" si="94"/>
        <v>37.772800417087325</v>
      </c>
      <c r="N87" s="11">
        <f t="shared" si="94"/>
        <v>37.159638105538775</v>
      </c>
      <c r="O87" s="11">
        <f t="shared" si="94"/>
        <v>35.405273255422024</v>
      </c>
      <c r="P87" s="11">
        <f t="shared" si="94"/>
        <v>34.626790953641617</v>
      </c>
      <c r="Q87" s="11">
        <f t="shared" si="94"/>
        <v>31.851806224225143</v>
      </c>
      <c r="S87" s="40">
        <f t="shared" si="95"/>
        <v>-1.2862266211254192</v>
      </c>
      <c r="T87" s="40">
        <f t="shared" si="96"/>
        <v>-0.70263112559671992</v>
      </c>
      <c r="W87" t="str">
        <f t="shared" si="97"/>
        <v>Process, plant and machine operatives</v>
      </c>
      <c r="X87" s="11">
        <f t="shared" si="97"/>
        <v>6.9490116971803726</v>
      </c>
      <c r="Y87" s="11">
        <f t="shared" si="97"/>
        <v>7.3323280030703346</v>
      </c>
      <c r="Z87" s="11">
        <f t="shared" si="97"/>
        <v>6.1237955078384614</v>
      </c>
      <c r="AA87" s="11">
        <f t="shared" si="97"/>
        <v>7.0246048036271027</v>
      </c>
      <c r="AB87" s="11">
        <f t="shared" si="97"/>
        <v>7.408715884378795</v>
      </c>
      <c r="AD87" s="40">
        <f t="shared" si="98"/>
        <v>-2.496652229097307</v>
      </c>
      <c r="AE87" s="40">
        <f t="shared" si="99"/>
        <v>1.2779302489412059</v>
      </c>
    </row>
    <row r="88" spans="1:31" x14ac:dyDescent="0.2">
      <c r="A88" t="str">
        <f t="shared" si="92"/>
        <v>Elementary occupations</v>
      </c>
      <c r="B88" s="11">
        <f t="shared" si="92"/>
        <v>64.549921433423492</v>
      </c>
      <c r="C88" s="11">
        <f t="shared" si="92"/>
        <v>61.55824239921737</v>
      </c>
      <c r="D88" s="11">
        <f t="shared" si="92"/>
        <v>56.857989419446334</v>
      </c>
      <c r="E88" s="11">
        <f t="shared" si="92"/>
        <v>58.846565415939224</v>
      </c>
      <c r="F88" s="11">
        <f t="shared" si="92"/>
        <v>56.277683956957446</v>
      </c>
      <c r="H88" s="40">
        <f t="shared" si="100"/>
        <v>-2.5057155715052626</v>
      </c>
      <c r="I88" s="40">
        <f t="shared" si="93"/>
        <v>-6.8367726321361122E-2</v>
      </c>
      <c r="L88" t="str">
        <f t="shared" si="94"/>
        <v>Elementary occupations</v>
      </c>
      <c r="M88" s="11">
        <f t="shared" si="94"/>
        <v>36.109680637463875</v>
      </c>
      <c r="N88" s="11">
        <f t="shared" si="94"/>
        <v>32.447838091577587</v>
      </c>
      <c r="O88" s="11">
        <f t="shared" si="94"/>
        <v>31.270615458035962</v>
      </c>
      <c r="P88" s="11">
        <f t="shared" si="94"/>
        <v>33.013231471346607</v>
      </c>
      <c r="Q88" s="11">
        <f t="shared" si="94"/>
        <v>31.530373125757379</v>
      </c>
      <c r="S88" s="40">
        <f t="shared" si="95"/>
        <v>-2.836632929583438</v>
      </c>
      <c r="T88" s="40">
        <f t="shared" si="96"/>
        <v>5.516490451940026E-2</v>
      </c>
      <c r="W88" t="str">
        <f t="shared" si="97"/>
        <v>Elementary occupations</v>
      </c>
      <c r="X88" s="11">
        <f t="shared" si="97"/>
        <v>28.440240795959674</v>
      </c>
      <c r="Y88" s="11">
        <f t="shared" si="97"/>
        <v>29.110404307639765</v>
      </c>
      <c r="Z88" s="11">
        <f t="shared" si="97"/>
        <v>25.587373961410414</v>
      </c>
      <c r="AA88" s="11">
        <f t="shared" si="97"/>
        <v>25.833333944592663</v>
      </c>
      <c r="AB88" s="11">
        <f t="shared" si="97"/>
        <v>24.74731083120006</v>
      </c>
      <c r="AD88" s="40">
        <f t="shared" si="98"/>
        <v>-2.0919300496093474</v>
      </c>
      <c r="AE88" s="40">
        <f t="shared" si="99"/>
        <v>-0.22230051468320466</v>
      </c>
    </row>
    <row r="89" spans="1:31" x14ac:dyDescent="0.2">
      <c r="B89" s="11"/>
      <c r="C89" s="11"/>
      <c r="D89" s="11"/>
      <c r="E89" s="11"/>
      <c r="F89" s="11"/>
      <c r="H89" s="40"/>
      <c r="I89" s="40"/>
      <c r="M89" s="11"/>
      <c r="N89" s="11"/>
      <c r="O89" s="11"/>
      <c r="P89" s="11"/>
      <c r="Q89" s="11"/>
      <c r="S89" s="40"/>
      <c r="T89" s="40"/>
      <c r="X89" s="11"/>
      <c r="Y89" s="11"/>
      <c r="Z89" s="11"/>
      <c r="AA89" s="11"/>
      <c r="AB89" s="11"/>
      <c r="AD89" s="40"/>
      <c r="AE89" s="40"/>
    </row>
    <row r="90" spans="1:31" x14ac:dyDescent="0.2">
      <c r="A90" s="24" t="str">
        <f t="shared" ref="A90:F90" si="101">A18</f>
        <v>All occupations</v>
      </c>
      <c r="B90" s="34">
        <f t="shared" si="101"/>
        <v>501.60500000000036</v>
      </c>
      <c r="C90" s="34">
        <f t="shared" si="101"/>
        <v>513.76599999999996</v>
      </c>
      <c r="D90" s="34">
        <f t="shared" si="101"/>
        <v>514.84500000000014</v>
      </c>
      <c r="E90" s="34">
        <f t="shared" si="101"/>
        <v>520.37000000000023</v>
      </c>
      <c r="F90" s="34">
        <f t="shared" si="101"/>
        <v>532.91199999999981</v>
      </c>
      <c r="H90" s="43">
        <f>IF(D$6-B$6 &lt;&gt; 0,(EXP(LN(D18/B18)/(D$6-B$6))-1)*100,0)</f>
        <v>0.52241841326519101</v>
      </c>
      <c r="I90" s="43">
        <f>F56</f>
        <v>0.23020070827648453</v>
      </c>
      <c r="L90" s="24" t="str">
        <f t="shared" ref="L90:Q90" si="102">L18</f>
        <v>All occupations</v>
      </c>
      <c r="M90" s="34">
        <f t="shared" si="102"/>
        <v>267.48032236721036</v>
      </c>
      <c r="N90" s="34">
        <f t="shared" si="102"/>
        <v>264.2041895137009</v>
      </c>
      <c r="O90" s="34">
        <f t="shared" si="102"/>
        <v>269.48054808351856</v>
      </c>
      <c r="P90" s="34">
        <f t="shared" si="102"/>
        <v>271.10485978013583</v>
      </c>
      <c r="Q90" s="34">
        <f t="shared" si="102"/>
        <v>274.87712575994351</v>
      </c>
      <c r="S90" s="43">
        <f>IF(O$6-M$6 &lt;&gt; 0,(EXP(LN(O18/M18)/(O$6-M$6))-1)*100,0)</f>
        <v>0.14911521754656931</v>
      </c>
      <c r="T90" s="43">
        <f>Q56</f>
        <v>0.13227388783982885</v>
      </c>
      <c r="W90" s="24" t="str">
        <f t="shared" ref="W90:AB90" si="103">W18</f>
        <v>All occupations</v>
      </c>
      <c r="X90" s="34">
        <f t="shared" si="103"/>
        <v>234.12467763278963</v>
      </c>
      <c r="Y90" s="34">
        <f t="shared" si="103"/>
        <v>249.56181048629895</v>
      </c>
      <c r="Z90" s="34">
        <f t="shared" si="103"/>
        <v>245.36445191648173</v>
      </c>
      <c r="AA90" s="34">
        <f t="shared" si="103"/>
        <v>249.26514021986441</v>
      </c>
      <c r="AB90" s="34">
        <f t="shared" si="103"/>
        <v>258.03487424005652</v>
      </c>
      <c r="AD90" s="43">
        <f>IF(Z$6-X$6 &lt;&gt; 0,(EXP(LN(Z18/X18)/(Z$6-X$6))-1)*100,0)</f>
        <v>0.94222889258974707</v>
      </c>
      <c r="AE90" s="43">
        <f>AB56</f>
        <v>0.33623121456747285</v>
      </c>
    </row>
  </sheetData>
  <phoneticPr fontId="4" type="noConversion"/>
  <pageMargins left="0.39370078740157483" right="0.39370078740157483" top="0.78740157480314965" bottom="0.78740157480314965" header="0.51181102362204722" footer="0.51181102362204722"/>
  <pageSetup paperSize="9" scale="73" fitToHeight="0" orientation="landscape" r:id="rId1"/>
  <headerFooter alignWithMargins="0"/>
  <rowBreaks count="1" manualBreakCount="1">
    <brk id="38" max="31" man="1"/>
  </rowBreaks>
  <colBreaks count="2" manualBreakCount="2">
    <brk id="11" max="89" man="1"/>
    <brk id="22" max="89" man="1"/>
  </colBreaks>
  <ignoredErrors>
    <ignoredError sqref="C45 C57:C61 C63" formula="1"/>
  </ignoredErrors>
  <drawing r:id="rId2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F00-000000000000}">
  <sheetPr codeName="Sheet42"/>
  <dimension ref="A1:AF182"/>
  <sheetViews>
    <sheetView showGridLines="0" zoomScale="85" zoomScaleNormal="85" workbookViewId="0"/>
  </sheetViews>
  <sheetFormatPr defaultColWidth="9.140625" defaultRowHeight="12.75" x14ac:dyDescent="0.2"/>
  <cols>
    <col min="1" max="1" width="55.7109375" customWidth="1"/>
    <col min="2" max="6" width="10" customWidth="1"/>
    <col min="7" max="7" width="6.7109375" customWidth="1"/>
    <col min="8" max="10" width="13" customWidth="1"/>
    <col min="12" max="12" width="55.7109375" customWidth="1"/>
    <col min="13" max="17" width="10" customWidth="1"/>
    <col min="18" max="18" width="6.7109375" customWidth="1"/>
    <col min="19" max="21" width="13" customWidth="1"/>
    <col min="23" max="23" width="55.7109375" customWidth="1"/>
    <col min="24" max="28" width="10" customWidth="1"/>
    <col min="29" max="29" width="6.7109375" customWidth="1"/>
    <col min="30" max="32" width="13" customWidth="1"/>
  </cols>
  <sheetData>
    <row r="1" spans="1:32" ht="15.75" x14ac:dyDescent="0.25">
      <c r="A1" s="19" t="str">
        <f>CONCATENATE("Occupation Table 2  Employment Change by Occupation (SOC 2020) and Replacement Demand, ",B$6,"-",F$6,", ",Info!B5)</f>
        <v>Occupation Table 2  Employment Change by Occupation (SOC 2020) and Replacement Demand, 2015-2035, Greater Lincolnshire</v>
      </c>
      <c r="L1" s="19" t="str">
        <f>CONCATENATE("Occupation Table 2.1  Males: Employment Change by Occupation (SOC 2020) and Replacement Demand, ",M$6,"-",Q$6,", ",Info!B5)</f>
        <v>Occupation Table 2.1  Males: Employment Change by Occupation (SOC 2020) and Replacement Demand, 2015-2035, Greater Lincolnshire</v>
      </c>
      <c r="W1" s="19" t="str">
        <f>CONCATENATE("Occupation Table 2.2  Females: Employment Change by Occupation (SOC 2020) and Replacement Demand, ",X$6,"-",AB$6,", ",Info!B5)</f>
        <v>Occupation Table 2.2  Females: Employment Change by Occupation (SOC 2020) and Replacement Demand, 2015-2035, Greater Lincolnshire</v>
      </c>
    </row>
    <row r="2" spans="1:32" ht="12.75" customHeight="1" x14ac:dyDescent="0.2">
      <c r="A2" s="182" t="s">
        <v>518</v>
      </c>
      <c r="D2" s="340"/>
      <c r="G2" s="86"/>
      <c r="J2" s="86"/>
      <c r="M2" s="86"/>
      <c r="P2" s="86"/>
      <c r="S2" s="86"/>
      <c r="V2" s="86"/>
    </row>
    <row r="3" spans="1:32" x14ac:dyDescent="0.2">
      <c r="F3" s="16" t="s">
        <v>36</v>
      </c>
      <c r="J3" s="16" t="s">
        <v>36</v>
      </c>
      <c r="Q3" s="16" t="s">
        <v>36</v>
      </c>
      <c r="U3" s="16" t="s">
        <v>36</v>
      </c>
      <c r="AB3" s="16" t="s">
        <v>36</v>
      </c>
      <c r="AF3" s="16" t="s">
        <v>36</v>
      </c>
    </row>
    <row r="4" spans="1:32" x14ac:dyDescent="0.2">
      <c r="A4" s="36"/>
      <c r="B4" s="36"/>
      <c r="C4" s="36"/>
      <c r="D4" s="36"/>
      <c r="E4" s="36"/>
      <c r="F4" s="36"/>
      <c r="H4" s="99" t="str">
        <f>CONCATENATE(D6,"-",F6)</f>
        <v>2020-2035</v>
      </c>
      <c r="I4" s="36"/>
      <c r="J4" s="36"/>
      <c r="L4" s="28" t="s">
        <v>104</v>
      </c>
      <c r="M4" s="36"/>
      <c r="N4" s="36"/>
      <c r="O4" s="36"/>
      <c r="P4" s="36"/>
      <c r="Q4" s="36"/>
      <c r="S4" s="99" t="str">
        <f>CONCATENATE(O6,"-",Q6)</f>
        <v>2020-2035</v>
      </c>
      <c r="T4" s="36"/>
      <c r="U4" s="36"/>
      <c r="W4" s="28" t="s">
        <v>105</v>
      </c>
      <c r="X4" s="36"/>
      <c r="Y4" s="36"/>
      <c r="Z4" s="36"/>
      <c r="AA4" s="36"/>
      <c r="AB4" s="36"/>
      <c r="AD4" s="99" t="str">
        <f>CONCATENATE(Z6,"-",AB6)</f>
        <v>2020-2035</v>
      </c>
      <c r="AE4" s="36"/>
      <c r="AF4" s="36"/>
    </row>
    <row r="5" spans="1:32" x14ac:dyDescent="0.2">
      <c r="H5" s="16" t="s">
        <v>30</v>
      </c>
      <c r="I5" s="16" t="s">
        <v>31</v>
      </c>
      <c r="J5" s="16" t="s">
        <v>33</v>
      </c>
      <c r="S5" s="16" t="s">
        <v>30</v>
      </c>
      <c r="T5" s="16" t="s">
        <v>31</v>
      </c>
      <c r="U5" s="16" t="s">
        <v>33</v>
      </c>
      <c r="AD5" s="16" t="s">
        <v>30</v>
      </c>
      <c r="AE5" s="16" t="s">
        <v>31</v>
      </c>
      <c r="AF5" s="16" t="s">
        <v>33</v>
      </c>
    </row>
    <row r="6" spans="1:32" x14ac:dyDescent="0.2">
      <c r="A6" s="41" t="s">
        <v>18</v>
      </c>
      <c r="B6" s="42">
        <v>2015</v>
      </c>
      <c r="C6" s="42">
        <v>2019</v>
      </c>
      <c r="D6" s="42">
        <v>2020</v>
      </c>
      <c r="E6" s="42">
        <v>2025</v>
      </c>
      <c r="F6" s="42">
        <v>2035</v>
      </c>
      <c r="H6" s="63" t="s">
        <v>19</v>
      </c>
      <c r="I6" s="63" t="s">
        <v>32</v>
      </c>
      <c r="J6" s="63" t="s">
        <v>34</v>
      </c>
      <c r="L6" s="41" t="s">
        <v>18</v>
      </c>
      <c r="M6" s="42">
        <f>B6</f>
        <v>2015</v>
      </c>
      <c r="N6" s="42">
        <f t="shared" ref="N6:Q6" si="0">C6</f>
        <v>2019</v>
      </c>
      <c r="O6" s="42">
        <f t="shared" si="0"/>
        <v>2020</v>
      </c>
      <c r="P6" s="42">
        <f t="shared" si="0"/>
        <v>2025</v>
      </c>
      <c r="Q6" s="42">
        <f t="shared" si="0"/>
        <v>2035</v>
      </c>
      <c r="S6" s="63" t="s">
        <v>19</v>
      </c>
      <c r="T6" s="63" t="s">
        <v>32</v>
      </c>
      <c r="U6" s="63" t="s">
        <v>34</v>
      </c>
      <c r="W6" s="41" t="s">
        <v>18</v>
      </c>
      <c r="X6" s="42">
        <f>B6</f>
        <v>2015</v>
      </c>
      <c r="Y6" s="42">
        <f t="shared" ref="Y6:AB6" si="1">C6</f>
        <v>2019</v>
      </c>
      <c r="Z6" s="42">
        <f t="shared" si="1"/>
        <v>2020</v>
      </c>
      <c r="AA6" s="42">
        <f t="shared" si="1"/>
        <v>2025</v>
      </c>
      <c r="AB6" s="42">
        <f t="shared" si="1"/>
        <v>2035</v>
      </c>
      <c r="AD6" s="63" t="s">
        <v>19</v>
      </c>
      <c r="AE6" s="63" t="s">
        <v>32</v>
      </c>
      <c r="AF6" s="63" t="s">
        <v>34</v>
      </c>
    </row>
    <row r="8" spans="1:32" x14ac:dyDescent="0.2">
      <c r="A8" s="10" t="str">
        <f>name!D4</f>
        <v>11 Corporate managers and directors</v>
      </c>
      <c r="B8" s="11">
        <v>30.247562792471243</v>
      </c>
      <c r="C8" s="11">
        <v>35.435168332564437</v>
      </c>
      <c r="D8" s="11">
        <v>37.285129342999952</v>
      </c>
      <c r="E8" s="11">
        <v>33.254205149928133</v>
      </c>
      <c r="F8" s="11">
        <v>35.772891868365278</v>
      </c>
      <c r="G8" s="10"/>
      <c r="H8" s="11">
        <f>F8-D8</f>
        <v>-1.5122374746346736</v>
      </c>
      <c r="I8" s="11">
        <f>'RD T1'!E7</f>
        <v>17.386367113855137</v>
      </c>
      <c r="J8" s="11">
        <f>SUM(H8:I8)</f>
        <v>15.874129639220463</v>
      </c>
      <c r="L8" s="10" t="str">
        <f>name!D4</f>
        <v>11 Corporate managers and directors</v>
      </c>
      <c r="M8" s="11">
        <v>21.803721256734949</v>
      </c>
      <c r="N8" s="11">
        <v>24.243887647221197</v>
      </c>
      <c r="O8" s="11">
        <v>25.749390778181418</v>
      </c>
      <c r="P8" s="11">
        <v>22.084079607387981</v>
      </c>
      <c r="Q8" s="11">
        <v>22.799905434162348</v>
      </c>
      <c r="R8" s="10"/>
      <c r="S8" s="11">
        <f>Q8-O8</f>
        <v>-2.9494853440190703</v>
      </c>
      <c r="T8" s="11">
        <f>'RD T1'!T7</f>
        <v>10.468605410751636</v>
      </c>
      <c r="U8" s="11">
        <f>SUM(S8:T8)</f>
        <v>7.5191200667325653</v>
      </c>
      <c r="W8" s="10" t="str">
        <f>name!D4</f>
        <v>11 Corporate managers and directors</v>
      </c>
      <c r="X8" s="11">
        <v>8.443841535736242</v>
      </c>
      <c r="Y8" s="11">
        <v>11.19128068534325</v>
      </c>
      <c r="Z8" s="11">
        <v>11.535738564818502</v>
      </c>
      <c r="AA8" s="11">
        <v>11.170125542540116</v>
      </c>
      <c r="AB8" s="11">
        <v>12.972986434202971</v>
      </c>
      <c r="AC8" s="10"/>
      <c r="AD8" s="11">
        <f>AB8-Z8</f>
        <v>1.4372478693844695</v>
      </c>
      <c r="AE8" s="11">
        <f>'RD T1'!T36</f>
        <v>6.9177617031035039</v>
      </c>
      <c r="AF8" s="11">
        <f>SUM(AD8:AE8)</f>
        <v>8.3550095724879725</v>
      </c>
    </row>
    <row r="9" spans="1:32" x14ac:dyDescent="0.2">
      <c r="A9" s="10" t="str">
        <f>name!D5</f>
        <v>12 Other managers and proprietors</v>
      </c>
      <c r="B9" s="11">
        <v>15.483032384061453</v>
      </c>
      <c r="C9" s="11">
        <v>16.781545972413859</v>
      </c>
      <c r="D9" s="11">
        <v>17.623157595105926</v>
      </c>
      <c r="E9" s="11">
        <v>18.132214773438296</v>
      </c>
      <c r="F9" s="11">
        <v>20.170615731640076</v>
      </c>
      <c r="H9" s="11">
        <f t="shared" ref="H9:H32" si="2">F9-D9</f>
        <v>2.54745813653415</v>
      </c>
      <c r="I9" s="11">
        <f>'RD T1'!E8</f>
        <v>9.8958511135566134</v>
      </c>
      <c r="J9" s="11">
        <f>SUM(H9:I9)</f>
        <v>12.443309250090763</v>
      </c>
      <c r="L9" s="10" t="str">
        <f>name!D5</f>
        <v>12 Other managers and proprietors</v>
      </c>
      <c r="M9" s="11">
        <v>9.9096161060912422</v>
      </c>
      <c r="N9" s="11">
        <v>10.395585992162216</v>
      </c>
      <c r="O9" s="11">
        <v>11.231457098192198</v>
      </c>
      <c r="P9" s="11">
        <v>12.457883168281413</v>
      </c>
      <c r="Q9" s="11">
        <v>13.975884682062709</v>
      </c>
      <c r="S9" s="11">
        <f t="shared" ref="S9:S32" si="3">Q9-O9</f>
        <v>2.744427583870511</v>
      </c>
      <c r="T9" s="11">
        <f>'RD T1'!T8</f>
        <v>6.2271432509114515</v>
      </c>
      <c r="U9" s="11">
        <f>SUM(S9:T9)</f>
        <v>8.9715708347819625</v>
      </c>
      <c r="W9" s="10" t="str">
        <f>name!D5</f>
        <v>12 Other managers and proprietors</v>
      </c>
      <c r="X9" s="11">
        <v>5.5734162779702121</v>
      </c>
      <c r="Y9" s="11">
        <v>6.3859599802516325</v>
      </c>
      <c r="Z9" s="11">
        <v>6.3917004969137432</v>
      </c>
      <c r="AA9" s="11">
        <v>5.674331605156901</v>
      </c>
      <c r="AB9" s="11">
        <v>6.1947310495773653</v>
      </c>
      <c r="AD9" s="11">
        <f t="shared" ref="AD9:AD32" si="4">AB9-Z9</f>
        <v>-0.19696944733637789</v>
      </c>
      <c r="AE9" s="11">
        <f>'RD T1'!T37</f>
        <v>3.6687078626451597</v>
      </c>
      <c r="AF9" s="11">
        <f>SUM(AD9:AE9)</f>
        <v>3.4717384153087818</v>
      </c>
    </row>
    <row r="10" spans="1:32" x14ac:dyDescent="0.2">
      <c r="A10" s="10" t="str">
        <f>name!D6</f>
        <v>21 Science, research, engineering and technology professionals</v>
      </c>
      <c r="B10" s="11">
        <v>23.25915527928213</v>
      </c>
      <c r="C10" s="11">
        <v>26.194759519288692</v>
      </c>
      <c r="D10" s="11">
        <v>28.087523686209455</v>
      </c>
      <c r="E10" s="11">
        <v>34.493218359218091</v>
      </c>
      <c r="F10" s="11">
        <v>39.592228833866301</v>
      </c>
      <c r="G10" s="11"/>
      <c r="H10" s="11">
        <f t="shared" si="2"/>
        <v>11.504705147656846</v>
      </c>
      <c r="I10" s="11">
        <f>'RD T1'!E9</f>
        <v>12.956316317608358</v>
      </c>
      <c r="J10" s="11">
        <f t="shared" ref="J10:J32" si="5">SUM(H10:I10)</f>
        <v>24.461021465265205</v>
      </c>
      <c r="L10" s="10" t="str">
        <f>name!D6</f>
        <v>21 Science, research, engineering and technology professionals</v>
      </c>
      <c r="M10" s="11">
        <v>19.28427401958124</v>
      </c>
      <c r="N10" s="11">
        <v>21.715409332234977</v>
      </c>
      <c r="O10" s="11">
        <v>22.494756193737008</v>
      </c>
      <c r="P10" s="11">
        <v>26.93493904178484</v>
      </c>
      <c r="Q10" s="11">
        <v>30.331916482259494</v>
      </c>
      <c r="R10" s="11"/>
      <c r="S10" s="11">
        <f t="shared" si="3"/>
        <v>7.8371602885224867</v>
      </c>
      <c r="T10" s="11">
        <f>'RD T1'!T9</f>
        <v>8.958141808225168</v>
      </c>
      <c r="U10" s="11">
        <f t="shared" ref="U10:U32" si="6">SUM(S10:T10)</f>
        <v>16.795302096747655</v>
      </c>
      <c r="W10" s="10" t="str">
        <f>name!D6</f>
        <v>21 Science, research, engineering and technology professionals</v>
      </c>
      <c r="X10" s="11">
        <v>3.9748812597008878</v>
      </c>
      <c r="Y10" s="11">
        <v>4.4793501870536732</v>
      </c>
      <c r="Z10" s="11">
        <v>5.5927674924724959</v>
      </c>
      <c r="AA10" s="11">
        <v>7.5582793174332457</v>
      </c>
      <c r="AB10" s="11">
        <v>9.2603123516068688</v>
      </c>
      <c r="AC10" s="11"/>
      <c r="AD10" s="11">
        <f t="shared" si="4"/>
        <v>3.6675448591343729</v>
      </c>
      <c r="AE10" s="11">
        <f>'RD T1'!T38</f>
        <v>3.9981745093831917</v>
      </c>
      <c r="AF10" s="11">
        <f t="shared" ref="AF10:AF32" si="7">SUM(AD10:AE10)</f>
        <v>7.6657193685175642</v>
      </c>
    </row>
    <row r="11" spans="1:32" x14ac:dyDescent="0.2">
      <c r="A11" s="10" t="str">
        <f>name!D7</f>
        <v>22 Health professionals</v>
      </c>
      <c r="B11" s="11">
        <v>19.148814719960843</v>
      </c>
      <c r="C11" s="11">
        <v>21.995438768546176</v>
      </c>
      <c r="D11" s="11">
        <v>22.204702058713004</v>
      </c>
      <c r="E11" s="11">
        <v>21.725810467444898</v>
      </c>
      <c r="F11" s="11">
        <v>23.203332606461984</v>
      </c>
      <c r="G11" s="11"/>
      <c r="H11" s="11">
        <f t="shared" si="2"/>
        <v>0.99863054774898075</v>
      </c>
      <c r="I11" s="11">
        <f>'RD T1'!E10</f>
        <v>11.593391390262255</v>
      </c>
      <c r="J11" s="11">
        <f t="shared" si="5"/>
        <v>12.592021938011236</v>
      </c>
      <c r="L11" s="10" t="str">
        <f>name!D7</f>
        <v>22 Health professionals</v>
      </c>
      <c r="M11" s="11">
        <v>4.9630058695494483</v>
      </c>
      <c r="N11" s="11">
        <v>5.290326114254726</v>
      </c>
      <c r="O11" s="11">
        <v>6.0086292592352475</v>
      </c>
      <c r="P11" s="11">
        <v>5.8639198506467878</v>
      </c>
      <c r="Q11" s="11">
        <v>6.2038013045558529</v>
      </c>
      <c r="R11" s="11"/>
      <c r="S11" s="11">
        <f t="shared" si="3"/>
        <v>0.19517204532060539</v>
      </c>
      <c r="T11" s="11">
        <f>'RD T1'!T10</f>
        <v>2.2657499166661772</v>
      </c>
      <c r="U11" s="11">
        <f t="shared" si="6"/>
        <v>2.4609219619867826</v>
      </c>
      <c r="W11" s="10" t="str">
        <f>name!D7</f>
        <v>22 Health professionals</v>
      </c>
      <c r="X11" s="11">
        <v>14.185808850411375</v>
      </c>
      <c r="Y11" s="11">
        <v>16.70511265429144</v>
      </c>
      <c r="Z11" s="11">
        <v>16.196072799477765</v>
      </c>
      <c r="AA11" s="11">
        <v>15.8618906167981</v>
      </c>
      <c r="AB11" s="11">
        <v>16.999531301906142</v>
      </c>
      <c r="AC11" s="11"/>
      <c r="AD11" s="11">
        <f t="shared" si="4"/>
        <v>0.80345850242837713</v>
      </c>
      <c r="AE11" s="11">
        <f>'RD T1'!T39</f>
        <v>9.327641473596076</v>
      </c>
      <c r="AF11" s="11">
        <f t="shared" si="7"/>
        <v>10.131099976024453</v>
      </c>
    </row>
    <row r="12" spans="1:32" x14ac:dyDescent="0.2">
      <c r="A12" s="10" t="str">
        <f>name!D8</f>
        <v>23 Teaching and other educational professionals</v>
      </c>
      <c r="B12" s="11">
        <v>18.259091469867247</v>
      </c>
      <c r="C12" s="11">
        <v>18.576127910613074</v>
      </c>
      <c r="D12" s="11">
        <v>19.425860904777554</v>
      </c>
      <c r="E12" s="11">
        <v>18.030334762119871</v>
      </c>
      <c r="F12" s="11">
        <v>18.557734407530312</v>
      </c>
      <c r="G12" s="11"/>
      <c r="H12" s="11">
        <f t="shared" si="2"/>
        <v>-0.86812649724724267</v>
      </c>
      <c r="I12" s="11">
        <f>'RD T1'!E11</f>
        <v>8.8569804859771804</v>
      </c>
      <c r="J12" s="11">
        <f t="shared" si="5"/>
        <v>7.9888539887299377</v>
      </c>
      <c r="L12" s="10" t="str">
        <f>name!D8</f>
        <v>23 Teaching and other educational professionals</v>
      </c>
      <c r="M12" s="11">
        <v>7.3714109889697976</v>
      </c>
      <c r="N12" s="11">
        <v>6.8643381881308541</v>
      </c>
      <c r="O12" s="11">
        <v>7.1800698037739972</v>
      </c>
      <c r="P12" s="11">
        <v>6.9987196344015681</v>
      </c>
      <c r="Q12" s="11">
        <v>7.2126794451526228</v>
      </c>
      <c r="R12" s="11"/>
      <c r="S12" s="11">
        <f t="shared" si="3"/>
        <v>3.2609641378625653E-2</v>
      </c>
      <c r="T12" s="11">
        <f>'RD T1'!T11</f>
        <v>2.9693959192053536</v>
      </c>
      <c r="U12" s="11">
        <f t="shared" si="6"/>
        <v>3.0020055605839793</v>
      </c>
      <c r="W12" s="10" t="str">
        <f>name!D8</f>
        <v>23 Teaching and other educational professionals</v>
      </c>
      <c r="X12" s="11">
        <v>10.887680480897437</v>
      </c>
      <c r="Y12" s="11">
        <v>11.711789722482219</v>
      </c>
      <c r="Z12" s="11">
        <v>12.245791101003586</v>
      </c>
      <c r="AA12" s="11">
        <v>11.031615127718295</v>
      </c>
      <c r="AB12" s="11">
        <v>11.345054962377688</v>
      </c>
      <c r="AC12" s="11"/>
      <c r="AD12" s="11">
        <f t="shared" si="4"/>
        <v>-0.90073613862589852</v>
      </c>
      <c r="AE12" s="11">
        <f>'RD T1'!T40</f>
        <v>5.8875845667718263</v>
      </c>
      <c r="AF12" s="11">
        <f t="shared" si="7"/>
        <v>4.9868484281459278</v>
      </c>
    </row>
    <row r="13" spans="1:32" x14ac:dyDescent="0.2">
      <c r="A13" s="10" t="str">
        <f>name!D9</f>
        <v>24 Business, media and public service professionals</v>
      </c>
      <c r="B13" s="11">
        <v>23.48099893135856</v>
      </c>
      <c r="C13" s="11">
        <v>27.176276573598052</v>
      </c>
      <c r="D13" s="11">
        <v>31.03514186240707</v>
      </c>
      <c r="E13" s="11">
        <v>32.170245655310246</v>
      </c>
      <c r="F13" s="11">
        <v>35.917423254407737</v>
      </c>
      <c r="G13" s="11"/>
      <c r="H13" s="11">
        <f t="shared" si="2"/>
        <v>4.8822813920006674</v>
      </c>
      <c r="I13" s="11">
        <f>'RD T1'!E12</f>
        <v>15.83637892787541</v>
      </c>
      <c r="J13" s="11">
        <f t="shared" si="5"/>
        <v>20.718660319876079</v>
      </c>
      <c r="L13" s="10" t="str">
        <f>name!D9</f>
        <v>24 Business, media and public service professionals</v>
      </c>
      <c r="M13" s="11">
        <v>13.777348837908342</v>
      </c>
      <c r="N13" s="11">
        <v>14.662337216462214</v>
      </c>
      <c r="O13" s="11">
        <v>16.573522522886321</v>
      </c>
      <c r="P13" s="11">
        <v>17.32701306201767</v>
      </c>
      <c r="Q13" s="11">
        <v>18.80873440448287</v>
      </c>
      <c r="R13" s="11"/>
      <c r="S13" s="11">
        <f t="shared" si="3"/>
        <v>2.2352118815965483</v>
      </c>
      <c r="T13" s="11">
        <f>'RD T1'!T12</f>
        <v>7.4016650350920328</v>
      </c>
      <c r="U13" s="11">
        <f t="shared" si="6"/>
        <v>9.6368769166885819</v>
      </c>
      <c r="W13" s="10" t="str">
        <f>name!D9</f>
        <v>24 Business, media and public service professionals</v>
      </c>
      <c r="X13" s="11">
        <v>9.7036500934502108</v>
      </c>
      <c r="Y13" s="11">
        <v>12.513939357135854</v>
      </c>
      <c r="Z13" s="11">
        <v>14.461619339520748</v>
      </c>
      <c r="AA13" s="11">
        <v>14.843232593292571</v>
      </c>
      <c r="AB13" s="11">
        <v>17.108688849924906</v>
      </c>
      <c r="AC13" s="11"/>
      <c r="AD13" s="11">
        <f t="shared" si="4"/>
        <v>2.6470695104041582</v>
      </c>
      <c r="AE13" s="11">
        <f>'RD T1'!T41</f>
        <v>8.4347138927833765</v>
      </c>
      <c r="AF13" s="11">
        <f t="shared" si="7"/>
        <v>11.081783403187535</v>
      </c>
    </row>
    <row r="14" spans="1:32" x14ac:dyDescent="0.2">
      <c r="A14" s="10" t="str">
        <f>name!D10</f>
        <v>31 Science, engineering and technology associate professionals</v>
      </c>
      <c r="B14" s="11">
        <v>7.8788112683670883</v>
      </c>
      <c r="C14" s="11">
        <v>9.0640058563672952</v>
      </c>
      <c r="D14" s="11">
        <v>10.211041430849397</v>
      </c>
      <c r="E14" s="11">
        <v>9.4565333793712654</v>
      </c>
      <c r="F14" s="11">
        <v>10.158891214200377</v>
      </c>
      <c r="G14" s="11"/>
      <c r="H14" s="11">
        <f t="shared" si="2"/>
        <v>-5.2150216649019754E-2</v>
      </c>
      <c r="I14" s="11">
        <f>'RD T1'!E13</f>
        <v>3.876307692451598</v>
      </c>
      <c r="J14" s="11">
        <f t="shared" si="5"/>
        <v>3.8241574758025783</v>
      </c>
      <c r="L14" s="10" t="str">
        <f>name!D10</f>
        <v>31 Science, engineering and technology associate professionals</v>
      </c>
      <c r="M14" s="11">
        <v>5.8875835011389022</v>
      </c>
      <c r="N14" s="11">
        <v>6.9444657278036894</v>
      </c>
      <c r="O14" s="11">
        <v>7.6074752986755341</v>
      </c>
      <c r="P14" s="11">
        <v>6.7068073177583214</v>
      </c>
      <c r="Q14" s="11">
        <v>6.9353826530017209</v>
      </c>
      <c r="R14" s="11"/>
      <c r="S14" s="11">
        <f t="shared" si="3"/>
        <v>-0.67209264567381322</v>
      </c>
      <c r="T14" s="11">
        <f>'RD T1'!T13</f>
        <v>2.443089241908373</v>
      </c>
      <c r="U14" s="11">
        <f t="shared" si="6"/>
        <v>1.7709965962345597</v>
      </c>
      <c r="W14" s="10" t="str">
        <f>name!D10</f>
        <v>31 Science, engineering and technology associate professionals</v>
      </c>
      <c r="X14" s="11">
        <v>1.9912277672281815</v>
      </c>
      <c r="Y14" s="11">
        <v>2.11954012856362</v>
      </c>
      <c r="Z14" s="11">
        <v>2.6035661321738717</v>
      </c>
      <c r="AA14" s="11">
        <v>2.7497260616129284</v>
      </c>
      <c r="AB14" s="11">
        <v>3.2235085611986385</v>
      </c>
      <c r="AC14" s="11"/>
      <c r="AD14" s="11">
        <f t="shared" si="4"/>
        <v>0.61994242902476682</v>
      </c>
      <c r="AE14" s="11">
        <f>'RD T1'!T42</f>
        <v>1.4332184505432266</v>
      </c>
      <c r="AF14" s="11">
        <f t="shared" si="7"/>
        <v>2.0531608795679936</v>
      </c>
    </row>
    <row r="15" spans="1:32" x14ac:dyDescent="0.2">
      <c r="A15" s="10" t="str">
        <f>name!D11</f>
        <v>32 Health and social care associate professionals</v>
      </c>
      <c r="B15" s="11">
        <v>8.4794949970886488</v>
      </c>
      <c r="C15" s="11">
        <v>9.6209059892435427</v>
      </c>
      <c r="D15" s="11">
        <v>9.8334636122958532</v>
      </c>
      <c r="E15" s="11">
        <v>15.479455893129849</v>
      </c>
      <c r="F15" s="11">
        <v>18.168057244041023</v>
      </c>
      <c r="G15" s="11"/>
      <c r="H15" s="11">
        <f t="shared" si="2"/>
        <v>8.3345936317451699</v>
      </c>
      <c r="I15" s="11">
        <f>'RD T1'!E14</f>
        <v>9.1046550932262207</v>
      </c>
      <c r="J15" s="11">
        <f t="shared" si="5"/>
        <v>17.439248724971392</v>
      </c>
      <c r="L15" s="10" t="str">
        <f>name!D11</f>
        <v>32 Health and social care associate professionals</v>
      </c>
      <c r="M15" s="11">
        <v>1.8176496714575312</v>
      </c>
      <c r="N15" s="11">
        <v>1.8216428620787217</v>
      </c>
      <c r="O15" s="11">
        <v>2.0675951928708374</v>
      </c>
      <c r="P15" s="11">
        <v>2.7396193173313237</v>
      </c>
      <c r="Q15" s="11">
        <v>3.1028202344824516</v>
      </c>
      <c r="R15" s="11"/>
      <c r="S15" s="11">
        <f t="shared" si="3"/>
        <v>1.0352250416116142</v>
      </c>
      <c r="T15" s="11">
        <f>'RD T1'!T14</f>
        <v>1.3240154383228446</v>
      </c>
      <c r="U15" s="11">
        <f t="shared" si="6"/>
        <v>2.3592404799344591</v>
      </c>
      <c r="W15" s="10" t="str">
        <f>name!D11</f>
        <v>32 Health and social care associate professionals</v>
      </c>
      <c r="X15" s="11">
        <v>6.6618453256311181</v>
      </c>
      <c r="Y15" s="11">
        <v>7.7992631271648287</v>
      </c>
      <c r="Z15" s="11">
        <v>7.7658684194250238</v>
      </c>
      <c r="AA15" s="11">
        <v>12.739836575798511</v>
      </c>
      <c r="AB15" s="11">
        <v>15.065237009558532</v>
      </c>
      <c r="AC15" s="11"/>
      <c r="AD15" s="11">
        <f t="shared" si="4"/>
        <v>7.2993685901335077</v>
      </c>
      <c r="AE15" s="11">
        <f>'RD T1'!T43</f>
        <v>7.7806396549033776</v>
      </c>
      <c r="AF15" s="11">
        <f t="shared" si="7"/>
        <v>15.080008245036886</v>
      </c>
    </row>
    <row r="16" spans="1:32" x14ac:dyDescent="0.2">
      <c r="A16" s="10" t="str">
        <f>name!D12</f>
        <v>33 Protective service occupations</v>
      </c>
      <c r="B16" s="11">
        <v>5.4562316961422113</v>
      </c>
      <c r="C16" s="11">
        <v>5.4434429140666705</v>
      </c>
      <c r="D16" s="11">
        <v>5.7259729012338703</v>
      </c>
      <c r="E16" s="11">
        <v>4.9464339165450673</v>
      </c>
      <c r="F16" s="11">
        <v>5.2269699614146221</v>
      </c>
      <c r="G16" s="11"/>
      <c r="H16" s="11">
        <f t="shared" si="2"/>
        <v>-0.49900293981924815</v>
      </c>
      <c r="I16" s="11">
        <f>'RD T1'!E15</f>
        <v>1.64779927932808</v>
      </c>
      <c r="J16" s="11">
        <f t="shared" si="5"/>
        <v>1.1487963395088319</v>
      </c>
      <c r="L16" s="10" t="str">
        <f>name!D12</f>
        <v>33 Protective service occupations</v>
      </c>
      <c r="M16" s="11">
        <v>4.4564946541910393</v>
      </c>
      <c r="N16" s="11">
        <v>4.3542480722146299</v>
      </c>
      <c r="O16" s="11">
        <v>4.5058957895939704</v>
      </c>
      <c r="P16" s="11">
        <v>3.8592733372025565</v>
      </c>
      <c r="Q16" s="11">
        <v>3.7963133034326324</v>
      </c>
      <c r="R16" s="11"/>
      <c r="S16" s="11">
        <f t="shared" si="3"/>
        <v>-0.70958248616133801</v>
      </c>
      <c r="T16" s="11">
        <f>'RD T1'!T15</f>
        <v>1.0755292201511697</v>
      </c>
      <c r="U16" s="11">
        <f t="shared" si="6"/>
        <v>0.36594673398983169</v>
      </c>
      <c r="W16" s="10" t="str">
        <f>name!D12</f>
        <v>33 Protective service occupations</v>
      </c>
      <c r="X16" s="11">
        <v>0.99973704195117008</v>
      </c>
      <c r="Y16" s="11">
        <v>1.0891948418520374</v>
      </c>
      <c r="Z16" s="11">
        <v>1.2200771116398967</v>
      </c>
      <c r="AA16" s="11">
        <v>1.0871605793425021</v>
      </c>
      <c r="AB16" s="11">
        <v>1.4306566579819835</v>
      </c>
      <c r="AC16" s="11"/>
      <c r="AD16" s="11">
        <f t="shared" si="4"/>
        <v>0.21057954634208675</v>
      </c>
      <c r="AE16" s="11">
        <f>'RD T1'!T44</f>
        <v>0.5722700591769101</v>
      </c>
      <c r="AF16" s="11">
        <f t="shared" si="7"/>
        <v>0.78284960551899685</v>
      </c>
    </row>
    <row r="17" spans="1:32" x14ac:dyDescent="0.2">
      <c r="A17" s="10" t="str">
        <f>name!D13</f>
        <v>34 Culture, media and sports occupations</v>
      </c>
      <c r="B17" s="11">
        <v>6.3591490193584974</v>
      </c>
      <c r="C17" s="11">
        <v>6.4279469411592771</v>
      </c>
      <c r="D17" s="11">
        <v>6.6380728933527591</v>
      </c>
      <c r="E17" s="11">
        <v>5.6290627564795095</v>
      </c>
      <c r="F17" s="11">
        <v>5.9511053070607982</v>
      </c>
      <c r="G17" s="11"/>
      <c r="H17" s="11">
        <f t="shared" si="2"/>
        <v>-0.68696758629196086</v>
      </c>
      <c r="I17" s="11">
        <f>'RD T1'!E16</f>
        <v>2.6351829386301877</v>
      </c>
      <c r="J17" s="11">
        <f t="shared" si="5"/>
        <v>1.9482153523382268</v>
      </c>
      <c r="L17" s="10" t="str">
        <f>name!D13</f>
        <v>34 Culture, media and sports occupations</v>
      </c>
      <c r="M17" s="11">
        <v>3.7407106176523288</v>
      </c>
      <c r="N17" s="11">
        <v>3.3631079342512322</v>
      </c>
      <c r="O17" s="11">
        <v>3.3645372644902891</v>
      </c>
      <c r="P17" s="11">
        <v>2.7997180998003244</v>
      </c>
      <c r="Q17" s="11">
        <v>2.9567957750108254</v>
      </c>
      <c r="R17" s="11"/>
      <c r="S17" s="11">
        <f t="shared" si="3"/>
        <v>-0.40774148947946376</v>
      </c>
      <c r="T17" s="11">
        <f>'RD T1'!T16</f>
        <v>1.139858935704241</v>
      </c>
      <c r="U17" s="11">
        <f t="shared" si="6"/>
        <v>0.73211744622477726</v>
      </c>
      <c r="W17" s="10" t="str">
        <f>name!D13</f>
        <v>34 Culture, media and sports occupations</v>
      </c>
      <c r="X17" s="11">
        <v>2.6184384017061735</v>
      </c>
      <c r="Y17" s="11">
        <v>3.064839006908044</v>
      </c>
      <c r="Z17" s="11">
        <v>3.273535628862478</v>
      </c>
      <c r="AA17" s="11">
        <v>2.8293446566791856</v>
      </c>
      <c r="AB17" s="11">
        <v>2.9943095320499782</v>
      </c>
      <c r="AC17" s="11"/>
      <c r="AD17" s="11">
        <f t="shared" si="4"/>
        <v>-0.27922609681249977</v>
      </c>
      <c r="AE17" s="11">
        <f>'RD T1'!T45</f>
        <v>1.4953240029259465</v>
      </c>
      <c r="AF17" s="11">
        <f t="shared" si="7"/>
        <v>1.2160979061134467</v>
      </c>
    </row>
    <row r="18" spans="1:32" x14ac:dyDescent="0.2">
      <c r="A18" s="10" t="str">
        <f>name!D14</f>
        <v>35 Business and public service associate professionals</v>
      </c>
      <c r="B18" s="11">
        <v>25.75319846854515</v>
      </c>
      <c r="C18" s="11">
        <v>27.23539492947214</v>
      </c>
      <c r="D18" s="11">
        <v>29.028822308415432</v>
      </c>
      <c r="E18" s="11">
        <v>28.911520327967629</v>
      </c>
      <c r="F18" s="11">
        <v>30.293882438366261</v>
      </c>
      <c r="G18" s="11"/>
      <c r="H18" s="11">
        <f t="shared" si="2"/>
        <v>1.2650601299508288</v>
      </c>
      <c r="I18" s="11">
        <f>'RD T1'!E17</f>
        <v>13.27360789292859</v>
      </c>
      <c r="J18" s="11">
        <f t="shared" si="5"/>
        <v>14.538668022879419</v>
      </c>
      <c r="L18" s="10" t="str">
        <f>name!D14</f>
        <v>35 Business and public service associate professionals</v>
      </c>
      <c r="M18" s="11">
        <v>14.326227916333306</v>
      </c>
      <c r="N18" s="11">
        <v>14.630756621306753</v>
      </c>
      <c r="O18" s="11">
        <v>15.898382271662374</v>
      </c>
      <c r="P18" s="11">
        <v>15.649104940553801</v>
      </c>
      <c r="Q18" s="11">
        <v>15.829077590677349</v>
      </c>
      <c r="R18" s="11"/>
      <c r="S18" s="11">
        <f t="shared" si="3"/>
        <v>-6.9304680985025513E-2</v>
      </c>
      <c r="T18" s="11">
        <f>'RD T1'!T17</f>
        <v>5.9897955124856574</v>
      </c>
      <c r="U18" s="11">
        <f t="shared" si="6"/>
        <v>5.9204908315006319</v>
      </c>
      <c r="W18" s="10" t="str">
        <f>name!D14</f>
        <v>35 Business and public service associate professionals</v>
      </c>
      <c r="X18" s="11">
        <v>11.42697055221179</v>
      </c>
      <c r="Y18" s="11">
        <v>12.604638308165383</v>
      </c>
      <c r="Z18" s="11">
        <v>13.130440036753035</v>
      </c>
      <c r="AA18" s="11">
        <v>13.262415387413856</v>
      </c>
      <c r="AB18" s="11">
        <v>14.46480484768891</v>
      </c>
      <c r="AC18" s="11"/>
      <c r="AD18" s="11">
        <f t="shared" si="4"/>
        <v>1.3343648109358757</v>
      </c>
      <c r="AE18" s="11">
        <f>'RD T1'!T46</f>
        <v>7.2838123804429342</v>
      </c>
      <c r="AF18" s="11">
        <f t="shared" si="7"/>
        <v>8.618177191378809</v>
      </c>
    </row>
    <row r="19" spans="1:32" x14ac:dyDescent="0.2">
      <c r="A19" s="10" t="str">
        <f>name!D15</f>
        <v>41 Administrative occupations</v>
      </c>
      <c r="B19" s="11">
        <v>41.363649282321632</v>
      </c>
      <c r="C19" s="11">
        <v>40.242010662428157</v>
      </c>
      <c r="D19" s="11">
        <v>42.015488739913941</v>
      </c>
      <c r="E19" s="11">
        <v>42.577492293785532</v>
      </c>
      <c r="F19" s="11">
        <v>41.789015266300716</v>
      </c>
      <c r="G19" s="11"/>
      <c r="H19" s="11">
        <f t="shared" si="2"/>
        <v>-0.22647347361322545</v>
      </c>
      <c r="I19" s="11">
        <f>'RD T1'!E18</f>
        <v>21.315467479717192</v>
      </c>
      <c r="J19" s="11">
        <f t="shared" si="5"/>
        <v>21.088994006103967</v>
      </c>
      <c r="L19" s="10" t="str">
        <f>name!D15</f>
        <v>41 Administrative occupations</v>
      </c>
      <c r="M19" s="11">
        <v>9.9499378870209618</v>
      </c>
      <c r="N19" s="11">
        <v>9.1081540872985389</v>
      </c>
      <c r="O19" s="11">
        <v>11.168851712276034</v>
      </c>
      <c r="P19" s="11">
        <v>11.666570086089513</v>
      </c>
      <c r="Q19" s="11">
        <v>12.803122774366457</v>
      </c>
      <c r="R19" s="11"/>
      <c r="S19" s="11">
        <f t="shared" si="3"/>
        <v>1.6342710620904235</v>
      </c>
      <c r="T19" s="11">
        <f>'RD T1'!T18</f>
        <v>4.3879754803221074</v>
      </c>
      <c r="U19" s="11">
        <f t="shared" si="6"/>
        <v>6.0222465424125309</v>
      </c>
      <c r="W19" s="10" t="str">
        <f>name!D15</f>
        <v>41 Administrative occupations</v>
      </c>
      <c r="X19" s="11">
        <v>31.413711395300606</v>
      </c>
      <c r="Y19" s="11">
        <v>31.133856575129673</v>
      </c>
      <c r="Z19" s="11">
        <v>30.846637027637957</v>
      </c>
      <c r="AA19" s="11">
        <v>30.910922207696032</v>
      </c>
      <c r="AB19" s="11">
        <v>28.98589249193429</v>
      </c>
      <c r="AC19" s="11"/>
      <c r="AD19" s="11">
        <f t="shared" si="4"/>
        <v>-1.8607445357036667</v>
      </c>
      <c r="AE19" s="11">
        <f>'RD T1'!T47</f>
        <v>16.927491999395091</v>
      </c>
      <c r="AF19" s="11">
        <f t="shared" si="7"/>
        <v>15.066747463691424</v>
      </c>
    </row>
    <row r="20" spans="1:32" x14ac:dyDescent="0.2">
      <c r="A20" s="10" t="str">
        <f>name!D16</f>
        <v>42 Secretarial and related occupations</v>
      </c>
      <c r="B20" s="11">
        <v>10.002761162761342</v>
      </c>
      <c r="C20" s="11">
        <v>9.3039196961606603</v>
      </c>
      <c r="D20" s="11">
        <v>9.1366516721423405</v>
      </c>
      <c r="E20" s="11">
        <v>8.452475581117131</v>
      </c>
      <c r="F20" s="11">
        <v>6.3876110230235232</v>
      </c>
      <c r="G20" s="11"/>
      <c r="H20" s="11">
        <f t="shared" si="2"/>
        <v>-2.7490406491188173</v>
      </c>
      <c r="I20" s="11">
        <f>'RD T1'!E19</f>
        <v>4.0863727923920461</v>
      </c>
      <c r="J20" s="11">
        <f t="shared" si="5"/>
        <v>1.3373321432732288</v>
      </c>
      <c r="L20" s="10" t="str">
        <f>name!D16</f>
        <v>42 Secretarial and related occupations</v>
      </c>
      <c r="M20" s="11">
        <v>0.86974447014264156</v>
      </c>
      <c r="N20" s="11">
        <v>0.64401871832599311</v>
      </c>
      <c r="O20" s="11">
        <v>0.67369963151294798</v>
      </c>
      <c r="P20" s="11">
        <v>0.58714778393178335</v>
      </c>
      <c r="Q20" s="11">
        <v>0.6941218832872218</v>
      </c>
      <c r="R20" s="11"/>
      <c r="S20" s="11">
        <f t="shared" si="3"/>
        <v>2.0422251774273814E-2</v>
      </c>
      <c r="T20" s="11">
        <f>'RD T1'!T19</f>
        <v>0.20163892980404399</v>
      </c>
      <c r="U20" s="11">
        <f t="shared" si="6"/>
        <v>0.22206118157831781</v>
      </c>
      <c r="W20" s="10" t="str">
        <f>name!D16</f>
        <v>42 Secretarial and related occupations</v>
      </c>
      <c r="X20" s="11">
        <v>9.1330166926186998</v>
      </c>
      <c r="Y20" s="11">
        <v>8.6599009778346616</v>
      </c>
      <c r="Z20" s="11">
        <v>8.462952040629391</v>
      </c>
      <c r="AA20" s="11">
        <v>7.8653277971853495</v>
      </c>
      <c r="AB20" s="11">
        <v>5.6934891397362994</v>
      </c>
      <c r="AC20" s="11"/>
      <c r="AD20" s="11">
        <f t="shared" si="4"/>
        <v>-2.7694629008930916</v>
      </c>
      <c r="AE20" s="11">
        <f>'RD T1'!T48</f>
        <v>3.8847338625880026</v>
      </c>
      <c r="AF20" s="11">
        <f t="shared" si="7"/>
        <v>1.115270961694911</v>
      </c>
    </row>
    <row r="21" spans="1:32" x14ac:dyDescent="0.2">
      <c r="A21" s="10" t="str">
        <f>name!D17</f>
        <v>51 Skilled agricultural and related trades</v>
      </c>
      <c r="B21" s="11">
        <v>8.9526980313788851</v>
      </c>
      <c r="C21" s="11">
        <v>8.610293929416617</v>
      </c>
      <c r="D21" s="11">
        <v>10.053463363622607</v>
      </c>
      <c r="E21" s="11">
        <v>9.3251742602478878</v>
      </c>
      <c r="F21" s="11">
        <v>9.2499649150386745</v>
      </c>
      <c r="G21" s="11"/>
      <c r="H21" s="11">
        <f t="shared" si="2"/>
        <v>-0.80349844858393205</v>
      </c>
      <c r="I21" s="11">
        <f>'RD T1'!E20</f>
        <v>5.1577048994620514</v>
      </c>
      <c r="J21" s="11">
        <f t="shared" si="5"/>
        <v>4.3542064508781193</v>
      </c>
      <c r="L21" s="10" t="str">
        <f>name!D17</f>
        <v>51 Skilled agricultural and related trades</v>
      </c>
      <c r="M21" s="11">
        <v>7.1325661638641584</v>
      </c>
      <c r="N21" s="11">
        <v>5.6900742831131454</v>
      </c>
      <c r="O21" s="11">
        <v>7.7343373777314817</v>
      </c>
      <c r="P21" s="11">
        <v>6.9822375194922808</v>
      </c>
      <c r="Q21" s="11">
        <v>6.7501298976182813</v>
      </c>
      <c r="R21" s="11"/>
      <c r="S21" s="11">
        <f t="shared" si="3"/>
        <v>-0.98420748011320036</v>
      </c>
      <c r="T21" s="11">
        <f>'RD T1'!T20</f>
        <v>3.4946922326906606</v>
      </c>
      <c r="U21" s="11">
        <f t="shared" si="6"/>
        <v>2.5104847525774603</v>
      </c>
      <c r="W21" s="10" t="str">
        <f>name!D17</f>
        <v>51 Skilled agricultural and related trades</v>
      </c>
      <c r="X21" s="11">
        <v>1.8201318675147202</v>
      </c>
      <c r="Y21" s="11">
        <v>2.9202196463034538</v>
      </c>
      <c r="Z21" s="11">
        <v>2.3191259858911213</v>
      </c>
      <c r="AA21" s="11">
        <v>2.342936740755599</v>
      </c>
      <c r="AB21" s="11">
        <v>2.4998350174203847</v>
      </c>
      <c r="AC21" s="11"/>
      <c r="AD21" s="11">
        <f t="shared" si="4"/>
        <v>0.18070903152926343</v>
      </c>
      <c r="AE21" s="11">
        <f>'RD T1'!T49</f>
        <v>1.6630126667713898</v>
      </c>
      <c r="AF21" s="11">
        <f t="shared" si="7"/>
        <v>1.8437216983006532</v>
      </c>
    </row>
    <row r="22" spans="1:32" x14ac:dyDescent="0.2">
      <c r="A22" s="10" t="str">
        <f>name!D18</f>
        <v>52 Skilled metal, electrical and electronic trades</v>
      </c>
      <c r="B22" s="11">
        <v>21.170991389265154</v>
      </c>
      <c r="C22" s="11">
        <v>20.612383160737192</v>
      </c>
      <c r="D22" s="11">
        <v>18.255539317999588</v>
      </c>
      <c r="E22" s="11">
        <v>17.667412211289474</v>
      </c>
      <c r="F22" s="11">
        <v>16.386563901960127</v>
      </c>
      <c r="G22" s="11"/>
      <c r="H22" s="11">
        <f t="shared" si="2"/>
        <v>-1.8689754160394614</v>
      </c>
      <c r="I22" s="11">
        <f>'RD T1'!E21</f>
        <v>6.4958521926915171</v>
      </c>
      <c r="J22" s="11">
        <f t="shared" si="5"/>
        <v>4.6268767766520558</v>
      </c>
      <c r="L22" s="10" t="str">
        <f>name!D18</f>
        <v>52 Skilled metal, electrical and electronic trades</v>
      </c>
      <c r="M22" s="11">
        <v>20.856471052310557</v>
      </c>
      <c r="N22" s="11">
        <v>20.137674164196287</v>
      </c>
      <c r="O22" s="11">
        <v>17.899283658448081</v>
      </c>
      <c r="P22" s="11">
        <v>17.069074687783218</v>
      </c>
      <c r="Q22" s="11">
        <v>15.630963519621453</v>
      </c>
      <c r="R22" s="11"/>
      <c r="S22" s="11">
        <f t="shared" si="3"/>
        <v>-2.2683201388266276</v>
      </c>
      <c r="T22" s="11">
        <f>'RD T1'!T21</f>
        <v>6.1517262922574902</v>
      </c>
      <c r="U22" s="11">
        <f t="shared" si="6"/>
        <v>3.8834061534308626</v>
      </c>
      <c r="W22" s="10" t="str">
        <f>name!D18</f>
        <v>52 Skilled metal, electrical and electronic trades</v>
      </c>
      <c r="X22" s="11">
        <v>0.31452033695458975</v>
      </c>
      <c r="Y22" s="11">
        <v>0.47470899654087728</v>
      </c>
      <c r="Z22" s="11">
        <v>0.35625565955151378</v>
      </c>
      <c r="AA22" s="11">
        <v>0.59833752350626723</v>
      </c>
      <c r="AB22" s="11">
        <v>0.75560038233866911</v>
      </c>
      <c r="AC22" s="11"/>
      <c r="AD22" s="11">
        <f t="shared" si="4"/>
        <v>0.39934472278715533</v>
      </c>
      <c r="AE22" s="11">
        <f>'RD T1'!T50</f>
        <v>0.34412590043402691</v>
      </c>
      <c r="AF22" s="11">
        <f t="shared" si="7"/>
        <v>0.74347062322118229</v>
      </c>
    </row>
    <row r="23" spans="1:32" x14ac:dyDescent="0.2">
      <c r="A23" s="10" t="str">
        <f>name!D19</f>
        <v>53 Skilled construction and building trades</v>
      </c>
      <c r="B23" s="11">
        <v>14.47344054106075</v>
      </c>
      <c r="C23" s="11">
        <v>13.659114038381423</v>
      </c>
      <c r="D23" s="11">
        <v>11.165279435266021</v>
      </c>
      <c r="E23" s="11">
        <v>10.730291669143234</v>
      </c>
      <c r="F23" s="11">
        <v>9.210750202713653</v>
      </c>
      <c r="G23" s="11"/>
      <c r="H23" s="11">
        <f t="shared" si="2"/>
        <v>-1.9545292325523675</v>
      </c>
      <c r="I23" s="11">
        <f>'RD T1'!E22</f>
        <v>4.2029598996207529</v>
      </c>
      <c r="J23" s="11">
        <f t="shared" si="5"/>
        <v>2.2484306670683853</v>
      </c>
      <c r="L23" s="10" t="str">
        <f>name!D19</f>
        <v>53 Skilled construction and building trades</v>
      </c>
      <c r="M23" s="11">
        <v>14.351062209546514</v>
      </c>
      <c r="N23" s="11">
        <v>13.50438055102304</v>
      </c>
      <c r="O23" s="11">
        <v>11.01054239993393</v>
      </c>
      <c r="P23" s="11">
        <v>10.647360027865552</v>
      </c>
      <c r="Q23" s="11">
        <v>9.1334671228561053</v>
      </c>
      <c r="R23" s="11"/>
      <c r="S23" s="11">
        <f t="shared" si="3"/>
        <v>-1.8770752770778252</v>
      </c>
      <c r="T23" s="11">
        <f>'RD T1'!T22</f>
        <v>4.1600258716973828</v>
      </c>
      <c r="U23" s="11">
        <f t="shared" si="6"/>
        <v>2.2829505946195576</v>
      </c>
      <c r="W23" s="10" t="str">
        <f>name!D19</f>
        <v>53 Skilled construction and building trades</v>
      </c>
      <c r="X23" s="11">
        <v>0.12237833151421372</v>
      </c>
      <c r="Y23" s="11">
        <v>0.15473348735837675</v>
      </c>
      <c r="Z23" s="11">
        <v>0.15473703533210023</v>
      </c>
      <c r="AA23" s="11">
        <v>8.2931641277694743E-2</v>
      </c>
      <c r="AB23" s="11">
        <v>7.7283079857544595E-2</v>
      </c>
      <c r="AC23" s="11"/>
      <c r="AD23" s="11">
        <f t="shared" si="4"/>
        <v>-7.7453955474555636E-2</v>
      </c>
      <c r="AE23" s="11">
        <f>'RD T1'!T51</f>
        <v>4.2934027923370817E-2</v>
      </c>
      <c r="AF23" s="11">
        <f t="shared" si="7"/>
        <v>-3.4519927551184819E-2</v>
      </c>
    </row>
    <row r="24" spans="1:32" x14ac:dyDescent="0.2">
      <c r="A24" s="10" t="str">
        <f>name!D20</f>
        <v>54 Textiles, printing and other skilled trades</v>
      </c>
      <c r="B24" s="11">
        <v>10.974938041399668</v>
      </c>
      <c r="C24" s="11">
        <v>9.3555248091092658</v>
      </c>
      <c r="D24" s="11">
        <v>9.0586588304949736</v>
      </c>
      <c r="E24" s="11">
        <v>9.0672206610629029</v>
      </c>
      <c r="F24" s="11">
        <v>8.3876114016791306</v>
      </c>
      <c r="G24" s="11"/>
      <c r="H24" s="11">
        <f t="shared" si="2"/>
        <v>-0.67104742881584301</v>
      </c>
      <c r="I24" s="11">
        <f>'RD T1'!E23</f>
        <v>3.6885852810001172</v>
      </c>
      <c r="J24" s="11">
        <f t="shared" si="5"/>
        <v>3.0175378521842742</v>
      </c>
      <c r="L24" s="10" t="str">
        <f>name!D20</f>
        <v>54 Textiles, printing and other skilled trades</v>
      </c>
      <c r="M24" s="11">
        <v>6.4679967275513697</v>
      </c>
      <c r="N24" s="11">
        <v>5.1622741138072117</v>
      </c>
      <c r="O24" s="11">
        <v>4.9088433628884482</v>
      </c>
      <c r="P24" s="11">
        <v>5.0952263096598323</v>
      </c>
      <c r="Q24" s="11">
        <v>4.7281138291469116</v>
      </c>
      <c r="R24" s="11"/>
      <c r="S24" s="11">
        <f t="shared" si="3"/>
        <v>-0.18072953374153666</v>
      </c>
      <c r="T24" s="11">
        <f>'RD T1'!T23</f>
        <v>1.5465766816939925</v>
      </c>
      <c r="U24" s="11">
        <f t="shared" si="6"/>
        <v>1.3658471479524559</v>
      </c>
      <c r="W24" s="10" t="str">
        <f>name!D20</f>
        <v>54 Textiles, printing and other skilled trades</v>
      </c>
      <c r="X24" s="11">
        <v>4.506941313848297</v>
      </c>
      <c r="Y24" s="11">
        <v>4.1932506953020567</v>
      </c>
      <c r="Z24" s="11">
        <v>4.1498154676065209</v>
      </c>
      <c r="AA24" s="11">
        <v>3.971994351403092</v>
      </c>
      <c r="AB24" s="11">
        <v>3.6594975725322216</v>
      </c>
      <c r="AC24" s="11"/>
      <c r="AD24" s="11">
        <f t="shared" si="4"/>
        <v>-0.49031789507429924</v>
      </c>
      <c r="AE24" s="11">
        <f>'RD T1'!T52</f>
        <v>2.1420085993061253</v>
      </c>
      <c r="AF24" s="11">
        <f t="shared" si="7"/>
        <v>1.6516907042318261</v>
      </c>
    </row>
    <row r="25" spans="1:32" x14ac:dyDescent="0.2">
      <c r="A25" s="10" t="str">
        <f>name!D21</f>
        <v>61 Caring personal service occupations</v>
      </c>
      <c r="B25" s="11">
        <v>44.06827943212275</v>
      </c>
      <c r="C25" s="11">
        <v>44.697965228436082</v>
      </c>
      <c r="D25" s="11">
        <v>43.296978489565802</v>
      </c>
      <c r="E25" s="11">
        <v>44.846827713113818</v>
      </c>
      <c r="F25" s="11">
        <v>47.910340026917289</v>
      </c>
      <c r="G25" s="11"/>
      <c r="H25" s="11">
        <f t="shared" si="2"/>
        <v>4.6133615373514871</v>
      </c>
      <c r="I25" s="11">
        <f>'RD T1'!E24</f>
        <v>25.306618669954389</v>
      </c>
      <c r="J25" s="11">
        <f t="shared" si="5"/>
        <v>29.919980207305876</v>
      </c>
      <c r="L25" s="10" t="str">
        <f>name!D21</f>
        <v>61 Caring personal service occupations</v>
      </c>
      <c r="M25" s="11">
        <v>6.3952189306799134</v>
      </c>
      <c r="N25" s="11">
        <v>6.5661162674529789</v>
      </c>
      <c r="O25" s="11">
        <v>6.6870266980287862</v>
      </c>
      <c r="P25" s="11">
        <v>7.9877309593292747</v>
      </c>
      <c r="Q25" s="11">
        <v>9.2649180234048014</v>
      </c>
      <c r="R25" s="11"/>
      <c r="S25" s="11">
        <f t="shared" si="3"/>
        <v>2.5778913253760152</v>
      </c>
      <c r="T25" s="11">
        <f>'RD T1'!T24</f>
        <v>3.595070545192784</v>
      </c>
      <c r="U25" s="11">
        <f t="shared" si="6"/>
        <v>6.1729618705687992</v>
      </c>
      <c r="W25" s="10" t="str">
        <f>name!D21</f>
        <v>61 Caring personal service occupations</v>
      </c>
      <c r="X25" s="11">
        <v>37.673060501442833</v>
      </c>
      <c r="Y25" s="11">
        <v>38.13184896098312</v>
      </c>
      <c r="Z25" s="11">
        <v>36.609951791537007</v>
      </c>
      <c r="AA25" s="11">
        <v>36.859096753784542</v>
      </c>
      <c r="AB25" s="11">
        <v>38.645422003512493</v>
      </c>
      <c r="AC25" s="11"/>
      <c r="AD25" s="11">
        <f t="shared" si="4"/>
        <v>2.0354702119754862</v>
      </c>
      <c r="AE25" s="11">
        <f>'RD T1'!T53</f>
        <v>21.711548124761606</v>
      </c>
      <c r="AF25" s="11">
        <f t="shared" si="7"/>
        <v>23.747018336737092</v>
      </c>
    </row>
    <row r="26" spans="1:32" x14ac:dyDescent="0.2">
      <c r="A26" s="10" t="str">
        <f>name!D22</f>
        <v>62 Leisure, travel and related personal service occupations</v>
      </c>
      <c r="B26" s="11">
        <v>10.618128366267882</v>
      </c>
      <c r="C26" s="11">
        <v>13.411998144831484</v>
      </c>
      <c r="D26" s="11">
        <v>12.994951688815915</v>
      </c>
      <c r="E26" s="11">
        <v>11.967287253679919</v>
      </c>
      <c r="F26" s="11">
        <v>12.043011311322823</v>
      </c>
      <c r="G26" s="11"/>
      <c r="H26" s="11">
        <f t="shared" si="2"/>
        <v>-0.95194037749309146</v>
      </c>
      <c r="I26" s="11">
        <f>'RD T1'!E25</f>
        <v>6.0791402132550028</v>
      </c>
      <c r="J26" s="11">
        <f t="shared" si="5"/>
        <v>5.1271998357619113</v>
      </c>
      <c r="L26" s="10" t="str">
        <f>name!D22</f>
        <v>62 Leisure, travel and related personal service occupations</v>
      </c>
      <c r="M26" s="11">
        <v>3.2693854527478297</v>
      </c>
      <c r="N26" s="11">
        <v>3.7042493830767489</v>
      </c>
      <c r="O26" s="11">
        <v>3.655094171303936</v>
      </c>
      <c r="P26" s="11">
        <v>3.4438676954024521</v>
      </c>
      <c r="Q26" s="11">
        <v>3.6815035279549813</v>
      </c>
      <c r="R26" s="11"/>
      <c r="S26" s="11">
        <f t="shared" si="3"/>
        <v>2.6409356651045268E-2</v>
      </c>
      <c r="T26" s="11">
        <f>'RD T1'!T25</f>
        <v>1.5082497133370645</v>
      </c>
      <c r="U26" s="11">
        <f t="shared" si="6"/>
        <v>1.5346590699881097</v>
      </c>
      <c r="W26" s="10" t="str">
        <f>name!D22</f>
        <v>62 Leisure, travel and related personal service occupations</v>
      </c>
      <c r="X26" s="11">
        <v>7.3487429135200344</v>
      </c>
      <c r="Y26" s="11">
        <v>9.7077487617547362</v>
      </c>
      <c r="Z26" s="11">
        <v>9.3398575175119802</v>
      </c>
      <c r="AA26" s="11">
        <v>8.5234195582774639</v>
      </c>
      <c r="AB26" s="11">
        <v>8.3615077833678448</v>
      </c>
      <c r="AC26" s="11"/>
      <c r="AD26" s="11">
        <f t="shared" si="4"/>
        <v>-0.9783497341441354</v>
      </c>
      <c r="AE26" s="11">
        <f>'RD T1'!T54</f>
        <v>4.5708904999179385</v>
      </c>
      <c r="AF26" s="11">
        <f t="shared" si="7"/>
        <v>3.5925407657738031</v>
      </c>
    </row>
    <row r="27" spans="1:32" x14ac:dyDescent="0.2">
      <c r="A27" s="10" t="str">
        <f>name!D23</f>
        <v>63 Community and civil enforcement occupations</v>
      </c>
      <c r="B27" s="11">
        <v>0.53476700853324488</v>
      </c>
      <c r="C27" s="11">
        <v>0.43819173345182433</v>
      </c>
      <c r="D27" s="11">
        <v>0.55456784230697775</v>
      </c>
      <c r="E27" s="11">
        <v>0.42346353306994405</v>
      </c>
      <c r="F27" s="11">
        <v>0.47429487873987586</v>
      </c>
      <c r="G27" s="11"/>
      <c r="H27" s="11">
        <f t="shared" si="2"/>
        <v>-8.0272963567101896E-2</v>
      </c>
      <c r="I27" s="11">
        <f>'RD T1'!E26</f>
        <v>0.20426730016438877</v>
      </c>
      <c r="J27" s="11">
        <f t="shared" si="5"/>
        <v>0.12399433659728687</v>
      </c>
      <c r="L27" s="10" t="str">
        <f>name!D23</f>
        <v>63 Community and civil enforcement occupations</v>
      </c>
      <c r="M27" s="11">
        <v>0.43060445043485929</v>
      </c>
      <c r="N27" s="11">
        <v>0.31415428286167707</v>
      </c>
      <c r="O27" s="11">
        <v>0.44936692571558245</v>
      </c>
      <c r="P27" s="11">
        <v>0.28398781220918506</v>
      </c>
      <c r="Q27" s="11">
        <v>0.33729274031012874</v>
      </c>
      <c r="R27" s="11"/>
      <c r="S27" s="11">
        <f t="shared" si="3"/>
        <v>-0.11207418540545372</v>
      </c>
      <c r="T27" s="11">
        <f>'RD T1'!T26</f>
        <v>0.12482425449332375</v>
      </c>
      <c r="U27" s="11">
        <f t="shared" si="6"/>
        <v>1.2750069087870033E-2</v>
      </c>
      <c r="W27" s="10" t="str">
        <f>name!D23</f>
        <v>63 Community and civil enforcement occupations</v>
      </c>
      <c r="X27" s="11">
        <v>0.10416255809838562</v>
      </c>
      <c r="Y27" s="11">
        <v>0.12403745059014798</v>
      </c>
      <c r="Z27" s="11">
        <v>0.10520091659139465</v>
      </c>
      <c r="AA27" s="11">
        <v>0.13947572086075968</v>
      </c>
      <c r="AB27" s="11">
        <v>0.13700213842974718</v>
      </c>
      <c r="AC27" s="11"/>
      <c r="AD27" s="11">
        <f t="shared" si="4"/>
        <v>3.1801221838352531E-2</v>
      </c>
      <c r="AE27" s="11">
        <f>'RD T1'!T55</f>
        <v>7.9443045671065041E-2</v>
      </c>
      <c r="AF27" s="11">
        <f t="shared" si="7"/>
        <v>0.11124426750941757</v>
      </c>
    </row>
    <row r="28" spans="1:32" x14ac:dyDescent="0.2">
      <c r="A28" s="10" t="str">
        <f>name!D24</f>
        <v>71 Sales occupations</v>
      </c>
      <c r="B28" s="11">
        <v>38.973525313793111</v>
      </c>
      <c r="C28" s="11">
        <v>35.582072392355371</v>
      </c>
      <c r="D28" s="11">
        <v>34.754105944221891</v>
      </c>
      <c r="E28" s="11">
        <v>33.725088646435069</v>
      </c>
      <c r="F28" s="11">
        <v>32.736083057927345</v>
      </c>
      <c r="G28" s="11"/>
      <c r="H28" s="11">
        <f t="shared" si="2"/>
        <v>-2.0180228862945455</v>
      </c>
      <c r="I28" s="11">
        <f>'RD T1'!E27</f>
        <v>15.731435028281455</v>
      </c>
      <c r="J28" s="11">
        <f t="shared" si="5"/>
        <v>13.713412141986909</v>
      </c>
      <c r="L28" s="10" t="str">
        <f>name!D24</f>
        <v>71 Sales occupations</v>
      </c>
      <c r="M28" s="11">
        <v>14.044391387097871</v>
      </c>
      <c r="N28" s="11">
        <v>13.235172949531837</v>
      </c>
      <c r="O28" s="11">
        <v>13.252018050824308</v>
      </c>
      <c r="P28" s="11">
        <v>12.93820374629597</v>
      </c>
      <c r="Q28" s="11">
        <v>12.752165595877164</v>
      </c>
      <c r="R28" s="11"/>
      <c r="S28" s="11">
        <f t="shared" si="3"/>
        <v>-0.4998524549471437</v>
      </c>
      <c r="T28" s="11">
        <f>'RD T1'!T27</f>
        <v>4.2456480985415856</v>
      </c>
      <c r="U28" s="11">
        <f t="shared" si="6"/>
        <v>3.7457956435944419</v>
      </c>
      <c r="W28" s="10" t="str">
        <f>name!D24</f>
        <v>71 Sales occupations</v>
      </c>
      <c r="X28" s="11">
        <v>24.929133926695201</v>
      </c>
      <c r="Y28" s="11">
        <v>22.346899442823531</v>
      </c>
      <c r="Z28" s="11">
        <v>21.502087893397537</v>
      </c>
      <c r="AA28" s="11">
        <v>20.786884900139107</v>
      </c>
      <c r="AB28" s="11">
        <v>19.983917462050208</v>
      </c>
      <c r="AC28" s="11"/>
      <c r="AD28" s="11">
        <f t="shared" si="4"/>
        <v>-1.518170431347329</v>
      </c>
      <c r="AE28" s="11">
        <f>'RD T1'!T56</f>
        <v>11.48578692973987</v>
      </c>
      <c r="AF28" s="11">
        <f t="shared" si="7"/>
        <v>9.967616498392541</v>
      </c>
    </row>
    <row r="29" spans="1:32" x14ac:dyDescent="0.2">
      <c r="A29" s="10" t="str">
        <f>name!D25</f>
        <v>72 Customer service occupations</v>
      </c>
      <c r="B29" s="11">
        <v>7.394546856901548</v>
      </c>
      <c r="C29" s="11">
        <v>7.8513039895321315</v>
      </c>
      <c r="D29" s="11">
        <v>8.0733678965830684</v>
      </c>
      <c r="E29" s="11">
        <v>8.8602695628944659</v>
      </c>
      <c r="F29" s="11">
        <v>9.7854150814605507</v>
      </c>
      <c r="G29" s="11"/>
      <c r="H29" s="11">
        <f t="shared" si="2"/>
        <v>1.7120471848774823</v>
      </c>
      <c r="I29" s="11">
        <f>'RD T1'!E28</f>
        <v>4.2335772247957841</v>
      </c>
      <c r="J29" s="11">
        <f t="shared" si="5"/>
        <v>5.9456244096732664</v>
      </c>
      <c r="L29" s="10" t="str">
        <f>name!D25</f>
        <v>72 Customer service occupations</v>
      </c>
      <c r="M29" s="11">
        <v>2.4924191416543375</v>
      </c>
      <c r="N29" s="11">
        <v>2.244338807775895</v>
      </c>
      <c r="O29" s="11">
        <v>2.6838839080978922</v>
      </c>
      <c r="P29" s="11">
        <v>3.3423533499219538</v>
      </c>
      <c r="Q29" s="11">
        <v>3.765836186236633</v>
      </c>
      <c r="R29" s="11"/>
      <c r="S29" s="11">
        <f t="shared" si="3"/>
        <v>1.0819522781387407</v>
      </c>
      <c r="T29" s="11">
        <f>'RD T1'!T28</f>
        <v>1.1392105520118565</v>
      </c>
      <c r="U29" s="11">
        <f t="shared" si="6"/>
        <v>2.2211628301505972</v>
      </c>
      <c r="W29" s="10" t="str">
        <f>name!D25</f>
        <v>72 Customer service occupations</v>
      </c>
      <c r="X29" s="11">
        <v>4.9021277152472029</v>
      </c>
      <c r="Y29" s="11">
        <v>5.6069651817562383</v>
      </c>
      <c r="Z29" s="11">
        <v>5.3894839884851731</v>
      </c>
      <c r="AA29" s="11">
        <v>5.517916212972513</v>
      </c>
      <c r="AB29" s="11">
        <v>6.0195788952239262</v>
      </c>
      <c r="AC29" s="11"/>
      <c r="AD29" s="11">
        <f t="shared" si="4"/>
        <v>0.63009490673875312</v>
      </c>
      <c r="AE29" s="11">
        <f>'RD T1'!T57</f>
        <v>3.0943666727839272</v>
      </c>
      <c r="AF29" s="11">
        <f t="shared" si="7"/>
        <v>3.7244615795226803</v>
      </c>
    </row>
    <row r="30" spans="1:32" x14ac:dyDescent="0.2">
      <c r="A30" s="10" t="str">
        <f>name!D26</f>
        <v>81 Process, plant and machine operatives</v>
      </c>
      <c r="B30" s="11">
        <v>23.617997881207206</v>
      </c>
      <c r="C30" s="11">
        <v>22.621141012114837</v>
      </c>
      <c r="D30" s="11">
        <v>20.118734262019561</v>
      </c>
      <c r="E30" s="11">
        <v>20.473548267191795</v>
      </c>
      <c r="F30" s="11">
        <v>18.988078793912329</v>
      </c>
      <c r="G30" s="11"/>
      <c r="H30" s="11">
        <f t="shared" si="2"/>
        <v>-1.1306554681072321</v>
      </c>
      <c r="I30" s="11">
        <f>'RD T1'!E29</f>
        <v>7.9565083779560712</v>
      </c>
      <c r="J30" s="11">
        <f t="shared" si="5"/>
        <v>6.8258529098488392</v>
      </c>
      <c r="L30" s="10" t="str">
        <f>name!D26</f>
        <v>81 Process, plant and machine operatives</v>
      </c>
      <c r="M30" s="11">
        <v>17.722854680346526</v>
      </c>
      <c r="N30" s="11">
        <v>16.404485007599106</v>
      </c>
      <c r="O30" s="11">
        <v>15.042263098101182</v>
      </c>
      <c r="P30" s="11">
        <v>14.747501164183564</v>
      </c>
      <c r="Q30" s="11">
        <v>12.983534455494516</v>
      </c>
      <c r="R30" s="11"/>
      <c r="S30" s="11">
        <f t="shared" si="3"/>
        <v>-2.0587286426066669</v>
      </c>
      <c r="T30" s="11">
        <f>'RD T1'!T29</f>
        <v>5.1800592347652632</v>
      </c>
      <c r="U30" s="11">
        <f t="shared" si="6"/>
        <v>3.1213305921585963</v>
      </c>
      <c r="W30" s="10" t="str">
        <f>name!D26</f>
        <v>81 Process, plant and machine operatives</v>
      </c>
      <c r="X30" s="11">
        <v>5.8951432008606313</v>
      </c>
      <c r="Y30" s="11">
        <v>6.2166560045157384</v>
      </c>
      <c r="Z30" s="11">
        <v>5.076471163918395</v>
      </c>
      <c r="AA30" s="11">
        <v>5.7260471030081979</v>
      </c>
      <c r="AB30" s="11">
        <v>6.0045443384178228</v>
      </c>
      <c r="AC30" s="11"/>
      <c r="AD30" s="11">
        <f t="shared" si="4"/>
        <v>0.92807317449942772</v>
      </c>
      <c r="AE30" s="11">
        <f>'RD T1'!T58</f>
        <v>2.7764491431908094</v>
      </c>
      <c r="AF30" s="11">
        <f t="shared" si="7"/>
        <v>3.7045223176902371</v>
      </c>
    </row>
    <row r="31" spans="1:32" x14ac:dyDescent="0.2">
      <c r="A31" s="10" t="str">
        <f>name!D27</f>
        <v>82 Transport and mobile machine drivers and operatives</v>
      </c>
      <c r="B31" s="11">
        <v>21.10381423306055</v>
      </c>
      <c r="C31" s="11">
        <v>21.870825096494286</v>
      </c>
      <c r="D31" s="11">
        <v>21.410334501240857</v>
      </c>
      <c r="E31" s="11">
        <v>21.17784749007696</v>
      </c>
      <c r="F31" s="11">
        <v>20.272443314691611</v>
      </c>
      <c r="G31" s="11"/>
      <c r="H31" s="11">
        <f t="shared" si="2"/>
        <v>-1.1378911865492469</v>
      </c>
      <c r="I31" s="11">
        <f>'RD T1'!E30</f>
        <v>10.987699864719271</v>
      </c>
      <c r="J31" s="11">
        <f t="shared" si="5"/>
        <v>9.8498086781700245</v>
      </c>
      <c r="L31" s="10" t="str">
        <f>name!D27</f>
        <v>82 Transport and mobile machine drivers and operatives</v>
      </c>
      <c r="M31" s="11">
        <v>20.049945736740796</v>
      </c>
      <c r="N31" s="11">
        <v>20.755153097939672</v>
      </c>
      <c r="O31" s="11">
        <v>20.36301015732084</v>
      </c>
      <c r="P31" s="11">
        <v>19.879289789458056</v>
      </c>
      <c r="Q31" s="11">
        <v>18.868271768730629</v>
      </c>
      <c r="R31" s="11"/>
      <c r="S31" s="11">
        <f t="shared" si="3"/>
        <v>-1.4947383885902106</v>
      </c>
      <c r="T31" s="11">
        <f>'RD T1'!T30</f>
        <v>10.185211407278395</v>
      </c>
      <c r="U31" s="11">
        <f t="shared" si="6"/>
        <v>8.6904730186881842</v>
      </c>
      <c r="W31" s="10" t="str">
        <f>name!D27</f>
        <v>82 Transport and mobile machine drivers and operatives</v>
      </c>
      <c r="X31" s="11">
        <v>1.0538684963197411</v>
      </c>
      <c r="Y31" s="11">
        <v>1.1156719985545964</v>
      </c>
      <c r="Z31" s="11">
        <v>1.0473243439200661</v>
      </c>
      <c r="AA31" s="11">
        <v>1.2985577006189051</v>
      </c>
      <c r="AB31" s="11">
        <v>1.4041715459609718</v>
      </c>
      <c r="AC31" s="11"/>
      <c r="AD31" s="11">
        <f t="shared" si="4"/>
        <v>0.3568472020409057</v>
      </c>
      <c r="AE31" s="11">
        <f>'RD T1'!T59</f>
        <v>0.80248845744087716</v>
      </c>
      <c r="AF31" s="11">
        <f t="shared" si="7"/>
        <v>1.159335659481783</v>
      </c>
    </row>
    <row r="32" spans="1:32" x14ac:dyDescent="0.2">
      <c r="A32" s="10" t="str">
        <f>name!D28</f>
        <v>91 Elementary trades and related occupations</v>
      </c>
      <c r="B32" s="11">
        <v>13.037691425580578</v>
      </c>
      <c r="C32" s="11">
        <v>11.543826331138638</v>
      </c>
      <c r="D32" s="11">
        <v>10.615622461459582</v>
      </c>
      <c r="E32" s="11">
        <v>17.994784591289726</v>
      </c>
      <c r="F32" s="11">
        <v>19.321313381155679</v>
      </c>
      <c r="G32" s="11"/>
      <c r="H32" s="11">
        <f t="shared" si="2"/>
        <v>8.7056909196960977</v>
      </c>
      <c r="I32" s="11">
        <f>'RD T1'!E31</f>
        <v>8.4273570771854089</v>
      </c>
      <c r="J32" s="11">
        <f t="shared" si="5"/>
        <v>17.133047996881508</v>
      </c>
      <c r="L32" s="10" t="str">
        <f>name!D28</f>
        <v>91 Elementary trades and related occupations</v>
      </c>
      <c r="M32" s="11">
        <v>9.4527029206739357</v>
      </c>
      <c r="N32" s="11">
        <v>8.1735524604954843</v>
      </c>
      <c r="O32" s="11">
        <v>8.0312358200201466</v>
      </c>
      <c r="P32" s="11">
        <v>10.569533831074763</v>
      </c>
      <c r="Q32" s="11">
        <v>11.060397223068998</v>
      </c>
      <c r="R32" s="11"/>
      <c r="S32" s="11">
        <f t="shared" si="3"/>
        <v>3.0291614030488514</v>
      </c>
      <c r="T32" s="11">
        <f>'RD T1'!T31</f>
        <v>3.5532943217611255</v>
      </c>
      <c r="U32" s="11">
        <f t="shared" si="6"/>
        <v>6.5824557248099769</v>
      </c>
      <c r="W32" s="10" t="str">
        <f>name!D28</f>
        <v>91 Elementary trades and related occupations</v>
      </c>
      <c r="X32" s="11">
        <v>3.5849885049066348</v>
      </c>
      <c r="Y32" s="11">
        <v>3.3702738706431599</v>
      </c>
      <c r="Z32" s="11">
        <v>2.5843866414394396</v>
      </c>
      <c r="AA32" s="11">
        <v>7.4252507602149764</v>
      </c>
      <c r="AB32" s="11">
        <v>8.2609161580866992</v>
      </c>
      <c r="AC32" s="11"/>
      <c r="AD32" s="11">
        <f t="shared" si="4"/>
        <v>5.6765295166472596</v>
      </c>
      <c r="AE32" s="11">
        <f>'RD T1'!T60</f>
        <v>4.8740627554242852</v>
      </c>
      <c r="AF32" s="11">
        <f t="shared" si="7"/>
        <v>10.550592272071544</v>
      </c>
    </row>
    <row r="33" spans="1:32" x14ac:dyDescent="0.2">
      <c r="A33" s="10" t="str">
        <f>name!D29</f>
        <v>92 Elementary administration and service occupations</v>
      </c>
      <c r="B33" s="11">
        <v>51.512230007842916</v>
      </c>
      <c r="C33" s="11">
        <v>50.014416068078731</v>
      </c>
      <c r="D33" s="11">
        <v>46.242366957986754</v>
      </c>
      <c r="E33" s="11">
        <v>40.851780824649495</v>
      </c>
      <c r="F33" s="11">
        <v>36.956370575801763</v>
      </c>
      <c r="G33" s="11"/>
      <c r="H33" s="11">
        <f t="shared" ref="H33" si="8">F33-D33</f>
        <v>-9.2859963821849902</v>
      </c>
      <c r="I33" s="11">
        <f>'RD T1'!E32</f>
        <v>18.600966478055962</v>
      </c>
      <c r="J33" s="11">
        <f>SUM(H33:I33)</f>
        <v>9.3149700958709722</v>
      </c>
      <c r="L33" s="10" t="str">
        <f>name!D29</f>
        <v>92 Elementary administration and service occupations</v>
      </c>
      <c r="M33" s="11">
        <v>26.656977716789939</v>
      </c>
      <c r="N33" s="11">
        <v>24.274285631082101</v>
      </c>
      <c r="O33" s="11">
        <v>23.239379638015816</v>
      </c>
      <c r="P33" s="11">
        <v>22.443697640271846</v>
      </c>
      <c r="Q33" s="11">
        <v>20.469975902688379</v>
      </c>
      <c r="R33" s="11"/>
      <c r="S33" s="11">
        <f t="shared" ref="S33" si="9">Q33-O33</f>
        <v>-2.7694037353274368</v>
      </c>
      <c r="T33" s="11">
        <f>'RD T1'!T32</f>
        <v>8.5792603703408297</v>
      </c>
      <c r="U33" s="11">
        <f t="shared" ref="U33" si="10">SUM(S33:T33)</f>
        <v>5.8098566350133929</v>
      </c>
      <c r="W33" s="10" t="str">
        <f>name!D29</f>
        <v>92 Elementary administration and service occupations</v>
      </c>
      <c r="X33" s="11">
        <v>24.855252291053041</v>
      </c>
      <c r="Y33" s="11">
        <v>25.740130436996605</v>
      </c>
      <c r="Z33" s="11">
        <v>23.002987319970973</v>
      </c>
      <c r="AA33" s="11">
        <v>18.408083184377688</v>
      </c>
      <c r="AB33" s="11">
        <v>16.486394673113359</v>
      </c>
      <c r="AC33" s="11"/>
      <c r="AD33" s="11">
        <f t="shared" ref="AD33" si="11">AB33-Z33</f>
        <v>-6.5165926468576139</v>
      </c>
      <c r="AE33" s="11">
        <f>'RD T1'!T61</f>
        <v>10.021706107715127</v>
      </c>
      <c r="AF33" s="11">
        <f t="shared" ref="AF33" si="12">SUM(AD33:AE33)</f>
        <v>3.5051134608575136</v>
      </c>
    </row>
    <row r="34" spans="1:32" x14ac:dyDescent="0.2">
      <c r="H34" s="11"/>
      <c r="L34" s="10"/>
      <c r="S34" s="11"/>
      <c r="W34" s="10"/>
      <c r="AD34" s="11"/>
    </row>
    <row r="35" spans="1:32" x14ac:dyDescent="0.2">
      <c r="A35" s="231" t="str">
        <f>name!D3</f>
        <v>All occupations</v>
      </c>
      <c r="B35" s="34">
        <f>SUM(B8:B33)</f>
        <v>501.60500000000036</v>
      </c>
      <c r="C35" s="34">
        <f>SUM(C8:C33)</f>
        <v>513.76599999999996</v>
      </c>
      <c r="D35" s="34">
        <f>SUM(D8:D33)</f>
        <v>514.84500000000014</v>
      </c>
      <c r="E35" s="34">
        <f>SUM(E8:E33)</f>
        <v>520.37000000000012</v>
      </c>
      <c r="F35" s="34">
        <f>SUM(F8:F33)</f>
        <v>532.91199999999981</v>
      </c>
      <c r="G35" s="11"/>
      <c r="H35" s="34">
        <f>F35-D35</f>
        <v>18.066999999999666</v>
      </c>
      <c r="I35" s="34">
        <f>SUM(I8:I33)</f>
        <v>249.53735102495114</v>
      </c>
      <c r="J35" s="34">
        <f>SUM(J8:J33)</f>
        <v>267.60435102495074</v>
      </c>
      <c r="L35" s="231" t="str">
        <f>name!D3</f>
        <v>All occupations</v>
      </c>
      <c r="M35" s="34">
        <f>SUM(M8:M33)</f>
        <v>267.48032236721031</v>
      </c>
      <c r="N35" s="34">
        <f>SUM(N8:N33)</f>
        <v>264.2041895137009</v>
      </c>
      <c r="O35" s="34">
        <f>SUM(O8:O33)</f>
        <v>269.48054808351867</v>
      </c>
      <c r="P35" s="34">
        <f>SUM(P8:P33)</f>
        <v>271.10485978013583</v>
      </c>
      <c r="Q35" s="34">
        <f>SUM(Q8:Q33)</f>
        <v>274.87712575994351</v>
      </c>
      <c r="R35" s="11"/>
      <c r="S35" s="34">
        <f>Q35-O35</f>
        <v>5.3965776764248403</v>
      </c>
      <c r="T35" s="34">
        <f>SUM(T8:T33)</f>
        <v>108.316453675612</v>
      </c>
      <c r="U35" s="34">
        <f>SUM(U8:U33)</f>
        <v>113.71303135203694</v>
      </c>
      <c r="W35" s="231" t="str">
        <f>name!D3</f>
        <v>All occupations</v>
      </c>
      <c r="X35" s="34">
        <f>SUM(X8:X33)</f>
        <v>234.12467763278963</v>
      </c>
      <c r="Y35" s="34">
        <f>SUM(Y8:Y33)</f>
        <v>249.56181048629895</v>
      </c>
      <c r="Z35" s="34">
        <f>SUM(Z8:Z33)</f>
        <v>245.36445191648173</v>
      </c>
      <c r="AA35" s="34">
        <f>SUM(AA8:AA33)</f>
        <v>249.26514021986441</v>
      </c>
      <c r="AB35" s="34">
        <f>SUM(AB8:AB33)</f>
        <v>258.03487424005647</v>
      </c>
      <c r="AC35" s="11"/>
      <c r="AD35" s="34">
        <f t="shared" ref="AD35" si="13">AB35-Z35</f>
        <v>12.670422323574741</v>
      </c>
      <c r="AE35" s="34">
        <f>SUM(AE8:AE33)</f>
        <v>141.22089734933903</v>
      </c>
      <c r="AF35" s="34">
        <f>SUM(AF8:AF33)</f>
        <v>153.8913196729138</v>
      </c>
    </row>
    <row r="36" spans="1:32" x14ac:dyDescent="0.2">
      <c r="B36" s="11"/>
      <c r="C36" s="11"/>
      <c r="D36" s="11"/>
      <c r="E36" s="11"/>
      <c r="F36" s="11"/>
      <c r="G36" s="11"/>
      <c r="M36" s="11"/>
      <c r="N36" s="11"/>
      <c r="O36" s="11"/>
      <c r="P36" s="11"/>
      <c r="Q36" s="11"/>
      <c r="R36" s="11"/>
      <c r="X36" s="11"/>
      <c r="Y36" s="11"/>
      <c r="Z36" s="11"/>
      <c r="AA36" s="11"/>
      <c r="AB36" s="11"/>
      <c r="AC36" s="11"/>
    </row>
    <row r="37" spans="1:32" x14ac:dyDescent="0.2">
      <c r="B37" s="11"/>
      <c r="C37" s="11"/>
      <c r="D37" s="11"/>
      <c r="E37" s="11"/>
      <c r="F37" s="11"/>
      <c r="G37" s="11"/>
      <c r="H37" s="11"/>
      <c r="I37" s="11"/>
      <c r="J37" s="11"/>
      <c r="M37" s="11"/>
      <c r="N37" s="11"/>
      <c r="O37" s="11"/>
      <c r="P37" s="11"/>
      <c r="Q37" s="11"/>
      <c r="R37" s="11"/>
      <c r="S37" s="11"/>
      <c r="T37" s="11"/>
      <c r="U37" s="11"/>
      <c r="X37" s="11"/>
      <c r="Y37" s="11"/>
      <c r="Z37" s="11"/>
      <c r="AA37" s="11"/>
      <c r="AB37" s="11"/>
      <c r="AC37" s="11"/>
      <c r="AD37" s="11"/>
      <c r="AE37" s="11"/>
      <c r="AF37" s="11"/>
    </row>
    <row r="38" spans="1:32" ht="15.75" x14ac:dyDescent="0.25">
      <c r="A38" s="19" t="str">
        <f>CONCATENATE(A$1," (Continued)")</f>
        <v>Occupation Table 2  Employment Change by Occupation (SOC 2020) and Replacement Demand, 2015-2035, Greater Lincolnshire (Continued)</v>
      </c>
      <c r="L38" s="19" t="str">
        <f>CONCATENATE(L$1," (Continued)")</f>
        <v>Occupation Table 2.1  Males: Employment Change by Occupation (SOC 2020) and Replacement Demand, 2015-2035, Greater Lincolnshire (Continued)</v>
      </c>
      <c r="W38" s="19" t="str">
        <f>CONCATENATE(W$1," (Continued)")</f>
        <v>Occupation Table 2.2  Females: Employment Change by Occupation (SOC 2020) and Replacement Demand, 2015-2035, Greater Lincolnshire (Continued)</v>
      </c>
    </row>
    <row r="40" spans="1:32" x14ac:dyDescent="0.2">
      <c r="F40" s="16" t="s">
        <v>35</v>
      </c>
      <c r="J40" s="16" t="s">
        <v>35</v>
      </c>
      <c r="Q40" s="16" t="s">
        <v>35</v>
      </c>
      <c r="U40" s="16" t="s">
        <v>35</v>
      </c>
      <c r="AB40" s="16" t="s">
        <v>35</v>
      </c>
      <c r="AF40" s="16" t="s">
        <v>35</v>
      </c>
    </row>
    <row r="41" spans="1:32" x14ac:dyDescent="0.2">
      <c r="A41" s="36"/>
      <c r="B41" s="36"/>
      <c r="C41" s="36"/>
      <c r="D41" s="36"/>
      <c r="E41" s="36"/>
      <c r="F41" s="36"/>
      <c r="H41" s="99" t="str">
        <f>$H$4</f>
        <v>2020-2035</v>
      </c>
      <c r="I41" s="36"/>
      <c r="J41" s="36"/>
      <c r="L41" s="36"/>
      <c r="M41" s="36"/>
      <c r="N41" s="36"/>
      <c r="O41" s="36"/>
      <c r="P41" s="36"/>
      <c r="Q41" s="36"/>
      <c r="S41" s="99" t="str">
        <f>$H$4</f>
        <v>2020-2035</v>
      </c>
      <c r="T41" s="36"/>
      <c r="U41" s="36"/>
      <c r="W41" s="36"/>
      <c r="X41" s="36"/>
      <c r="Y41" s="36"/>
      <c r="Z41" s="36"/>
      <c r="AA41" s="36"/>
      <c r="AB41" s="36"/>
      <c r="AD41" s="99" t="str">
        <f>$H$4</f>
        <v>2020-2035</v>
      </c>
      <c r="AE41" s="36"/>
      <c r="AF41" s="36"/>
    </row>
    <row r="42" spans="1:32" x14ac:dyDescent="0.2">
      <c r="H42" s="16" t="str">
        <f t="shared" ref="H42:J43" si="14">H5</f>
        <v>Net</v>
      </c>
      <c r="I42" s="16" t="str">
        <f t="shared" si="14"/>
        <v>Replacement</v>
      </c>
      <c r="J42" s="16" t="str">
        <f t="shared" si="14"/>
        <v>Total</v>
      </c>
      <c r="S42" s="16" t="str">
        <f t="shared" ref="S42:U42" si="15">S5</f>
        <v>Net</v>
      </c>
      <c r="T42" s="16" t="str">
        <f t="shared" si="15"/>
        <v>Replacement</v>
      </c>
      <c r="U42" s="16" t="str">
        <f t="shared" si="15"/>
        <v>Total</v>
      </c>
      <c r="AD42" s="16" t="str">
        <f t="shared" ref="AD42:AF42" si="16">AD5</f>
        <v>Net</v>
      </c>
      <c r="AE42" s="16" t="str">
        <f t="shared" si="16"/>
        <v>Replacement</v>
      </c>
      <c r="AF42" s="16" t="str">
        <f t="shared" si="16"/>
        <v>Total</v>
      </c>
    </row>
    <row r="43" spans="1:32" x14ac:dyDescent="0.2">
      <c r="A43" s="41" t="s">
        <v>37</v>
      </c>
      <c r="B43" s="35">
        <f>B$6</f>
        <v>2015</v>
      </c>
      <c r="C43" s="35">
        <f>C$6</f>
        <v>2019</v>
      </c>
      <c r="D43" s="35">
        <f>D$6</f>
        <v>2020</v>
      </c>
      <c r="E43" s="35">
        <f>E$6</f>
        <v>2025</v>
      </c>
      <c r="F43" s="35">
        <f>F$6</f>
        <v>2035</v>
      </c>
      <c r="H43" s="63" t="str">
        <f t="shared" si="14"/>
        <v>Change</v>
      </c>
      <c r="I43" s="63" t="str">
        <f t="shared" si="14"/>
        <v>Demand</v>
      </c>
      <c r="J43" s="63" t="str">
        <f t="shared" si="14"/>
        <v>Requirement</v>
      </c>
      <c r="L43" s="41" t="s">
        <v>37</v>
      </c>
      <c r="M43" s="35">
        <f>M$6</f>
        <v>2015</v>
      </c>
      <c r="N43" s="35">
        <f>N$6</f>
        <v>2019</v>
      </c>
      <c r="O43" s="35">
        <f>O$6</f>
        <v>2020</v>
      </c>
      <c r="P43" s="35">
        <f>P$6</f>
        <v>2025</v>
      </c>
      <c r="Q43" s="35">
        <f>Q$6</f>
        <v>2035</v>
      </c>
      <c r="S43" s="63" t="str">
        <f t="shared" ref="S43:U43" si="17">S6</f>
        <v>Change</v>
      </c>
      <c r="T43" s="63" t="str">
        <f t="shared" si="17"/>
        <v>Demand</v>
      </c>
      <c r="U43" s="63" t="str">
        <f t="shared" si="17"/>
        <v>Requirement</v>
      </c>
      <c r="W43" s="41" t="s">
        <v>37</v>
      </c>
      <c r="X43" s="35">
        <f>X$6</f>
        <v>2015</v>
      </c>
      <c r="Y43" s="35">
        <f>Y$6</f>
        <v>2019</v>
      </c>
      <c r="Z43" s="35">
        <f>Z$6</f>
        <v>2020</v>
      </c>
      <c r="AA43" s="35">
        <f>AA$6</f>
        <v>2025</v>
      </c>
      <c r="AB43" s="35">
        <f>AB$6</f>
        <v>2035</v>
      </c>
      <c r="AD43" s="63" t="str">
        <f t="shared" ref="AD43:AF43" si="18">AD6</f>
        <v>Change</v>
      </c>
      <c r="AE43" s="63" t="str">
        <f t="shared" si="18"/>
        <v>Demand</v>
      </c>
      <c r="AF43" s="63" t="str">
        <f t="shared" si="18"/>
        <v>Requirement</v>
      </c>
    </row>
    <row r="44" spans="1:32" x14ac:dyDescent="0.2">
      <c r="G44" s="11"/>
      <c r="R44" s="11"/>
      <c r="AC44" s="11"/>
    </row>
    <row r="45" spans="1:32" x14ac:dyDescent="0.2">
      <c r="A45" t="str">
        <f t="shared" ref="A45:A70" si="19">A8</f>
        <v>11 Corporate managers and directors</v>
      </c>
      <c r="B45" s="173">
        <f t="shared" ref="B45:F54" si="20">B8/B$35*100</f>
        <v>6.0301557585094292</v>
      </c>
      <c r="C45" s="173">
        <f t="shared" si="20"/>
        <v>6.8971415649467733</v>
      </c>
      <c r="D45" s="173">
        <f t="shared" si="20"/>
        <v>7.2420105746389574</v>
      </c>
      <c r="E45" s="173">
        <f t="shared" si="20"/>
        <v>6.3904923707992625</v>
      </c>
      <c r="F45" s="173">
        <f t="shared" si="20"/>
        <v>6.7127202743352168</v>
      </c>
      <c r="H45" s="68">
        <f t="shared" ref="H45:H70" si="21">IF(D8&gt;0,(H8/D8)*100,0)</f>
        <v>-4.0558729479601139</v>
      </c>
      <c r="I45" s="69">
        <f t="shared" ref="I45:I70" si="22">IF(D8&gt;0,I8/D8*100,0)</f>
        <v>46.630834920569527</v>
      </c>
      <c r="J45" s="69">
        <f t="shared" ref="J45:J70" si="23">IF(D8&gt;0,(J8/D8)*100,0)</f>
        <v>42.574961972609415</v>
      </c>
      <c r="L45" t="str">
        <f t="shared" ref="L45:L70" si="24">L8</f>
        <v>11 Corporate managers and directors</v>
      </c>
      <c r="M45" s="173">
        <f t="shared" ref="M45:Q45" si="25">M8/M$35*100</f>
        <v>8.151523470501024</v>
      </c>
      <c r="N45" s="173">
        <f t="shared" si="25"/>
        <v>9.1761934933147522</v>
      </c>
      <c r="O45" s="173">
        <f t="shared" si="25"/>
        <v>9.5551945998718413</v>
      </c>
      <c r="P45" s="173">
        <f t="shared" si="25"/>
        <v>8.1459548992585429</v>
      </c>
      <c r="Q45" s="173">
        <f t="shared" si="25"/>
        <v>8.2945808499445768</v>
      </c>
      <c r="S45" s="68">
        <f t="shared" ref="S45:S70" si="26">IF(O8&gt;0,(S8/O8)*100,0)</f>
        <v>-11.454583020730331</v>
      </c>
      <c r="T45" s="69">
        <f t="shared" ref="T45:T70" si="27">IF(O8&gt;0,T8/O8*100,0)</f>
        <v>40.655740172393287</v>
      </c>
      <c r="U45" s="69">
        <f t="shared" ref="U45:U70" si="28">IF(O8&gt;0,(U8/O8)*100,0)</f>
        <v>29.201157151662962</v>
      </c>
      <c r="W45" t="str">
        <f t="shared" ref="W45:W70" si="29">W8</f>
        <v>11 Corporate managers and directors</v>
      </c>
      <c r="X45" s="173">
        <f t="shared" ref="X45:AB45" si="30">X8/X$35*100</f>
        <v>3.6065576773499695</v>
      </c>
      <c r="Y45" s="173">
        <f t="shared" si="30"/>
        <v>4.4843722937959916</v>
      </c>
      <c r="Z45" s="173">
        <f t="shared" si="30"/>
        <v>4.7014710055656677</v>
      </c>
      <c r="AA45" s="173">
        <f t="shared" si="30"/>
        <v>4.4812224977337394</v>
      </c>
      <c r="AB45" s="173">
        <f t="shared" si="30"/>
        <v>5.0276097261697537</v>
      </c>
      <c r="AD45" s="68">
        <f t="shared" ref="AD45:AD70" si="31">IF(Z8&gt;0,(AD8/Z8)*100,0)</f>
        <v>12.45908843468214</v>
      </c>
      <c r="AE45" s="69">
        <f t="shared" ref="AE45:AE70" si="32">IF(Z8&gt;0,AE8/Z8*100,0)</f>
        <v>59.968086691919112</v>
      </c>
      <c r="AF45" s="69">
        <f t="shared" ref="AF45:AF70" si="33">IF(Z8&gt;0,(AF8/Z8)*100,0)</f>
        <v>72.427175126601242</v>
      </c>
    </row>
    <row r="46" spans="1:32" x14ac:dyDescent="0.2">
      <c r="A46" t="str">
        <f t="shared" si="19"/>
        <v>12 Other managers and proprietors</v>
      </c>
      <c r="B46" s="173">
        <f t="shared" si="20"/>
        <v>3.0866981756683929</v>
      </c>
      <c r="C46" s="173">
        <f t="shared" si="20"/>
        <v>3.2663792412136772</v>
      </c>
      <c r="D46" s="173">
        <f t="shared" si="20"/>
        <v>3.423002572639517</v>
      </c>
      <c r="E46" s="173">
        <f t="shared" si="20"/>
        <v>3.4844850343867426</v>
      </c>
      <c r="F46" s="173">
        <f t="shared" si="20"/>
        <v>3.7849805843441477</v>
      </c>
      <c r="H46" s="68">
        <f t="shared" si="21"/>
        <v>14.455174237570212</v>
      </c>
      <c r="I46" s="69">
        <f t="shared" si="22"/>
        <v>56.152542812786052</v>
      </c>
      <c r="J46" s="69">
        <f t="shared" si="23"/>
        <v>70.607717050356271</v>
      </c>
      <c r="L46" t="str">
        <f t="shared" si="24"/>
        <v>12 Other managers and proprietors</v>
      </c>
      <c r="M46" s="173">
        <f t="shared" ref="M46:Q46" si="34">M9/M$35*100</f>
        <v>3.7048019152926055</v>
      </c>
      <c r="N46" s="173">
        <f t="shared" si="34"/>
        <v>3.9346787086520174</v>
      </c>
      <c r="O46" s="173">
        <f t="shared" si="34"/>
        <v>4.1678173723734941</v>
      </c>
      <c r="P46" s="173">
        <f t="shared" si="34"/>
        <v>4.5952267983630657</v>
      </c>
      <c r="Q46" s="173">
        <f t="shared" si="34"/>
        <v>5.0844116779175614</v>
      </c>
      <c r="S46" s="68">
        <f t="shared" si="26"/>
        <v>24.435187348151388</v>
      </c>
      <c r="T46" s="69">
        <f t="shared" si="27"/>
        <v>55.443770086730467</v>
      </c>
      <c r="U46" s="69">
        <f t="shared" si="28"/>
        <v>79.878957434881841</v>
      </c>
      <c r="W46" t="str">
        <f t="shared" si="29"/>
        <v>12 Other managers and proprietors</v>
      </c>
      <c r="X46" s="173">
        <f t="shared" ref="X46:AB46" si="35">X9/X$35*100</f>
        <v>2.3805334552181541</v>
      </c>
      <c r="Y46" s="173">
        <f t="shared" si="35"/>
        <v>2.5588690704751174</v>
      </c>
      <c r="Z46" s="173">
        <f t="shared" si="35"/>
        <v>2.6049822812513117</v>
      </c>
      <c r="AA46" s="173">
        <f t="shared" si="35"/>
        <v>2.2764240519760826</v>
      </c>
      <c r="AB46" s="173">
        <f t="shared" si="35"/>
        <v>2.4007340355917348</v>
      </c>
      <c r="AD46" s="68">
        <f t="shared" si="31"/>
        <v>-3.0816438822733532</v>
      </c>
      <c r="AE46" s="69">
        <f t="shared" si="32"/>
        <v>57.3979939206571</v>
      </c>
      <c r="AF46" s="69">
        <f t="shared" si="33"/>
        <v>54.316350038383746</v>
      </c>
    </row>
    <row r="47" spans="1:32" x14ac:dyDescent="0.2">
      <c r="A47" t="str">
        <f t="shared" si="19"/>
        <v>21 Science, research, engineering and technology professionals</v>
      </c>
      <c r="B47" s="173">
        <f t="shared" si="20"/>
        <v>4.6369464577271184</v>
      </c>
      <c r="C47" s="173">
        <f t="shared" si="20"/>
        <v>5.0985778582640142</v>
      </c>
      <c r="D47" s="173">
        <f t="shared" si="20"/>
        <v>5.4555300500557351</v>
      </c>
      <c r="E47" s="173">
        <f t="shared" si="20"/>
        <v>6.6285947228353059</v>
      </c>
      <c r="F47" s="173">
        <f t="shared" si="20"/>
        <v>7.429412141942068</v>
      </c>
      <c r="H47" s="68">
        <f t="shared" si="21"/>
        <v>40.960197403609065</v>
      </c>
      <c r="I47" s="69">
        <f t="shared" si="22"/>
        <v>46.128368105194376</v>
      </c>
      <c r="J47" s="69">
        <f t="shared" si="23"/>
        <v>87.088565508803441</v>
      </c>
      <c r="L47" t="str">
        <f t="shared" si="24"/>
        <v>21 Science, research, engineering and technology professionals</v>
      </c>
      <c r="M47" s="173">
        <f t="shared" ref="M47:Q47" si="36">M10/M$35*100</f>
        <v>7.2096047473379468</v>
      </c>
      <c r="N47" s="173">
        <f t="shared" si="36"/>
        <v>8.2191767557527236</v>
      </c>
      <c r="O47" s="173">
        <f t="shared" si="36"/>
        <v>8.3474508099802911</v>
      </c>
      <c r="P47" s="173">
        <f t="shared" si="36"/>
        <v>9.9352475878259394</v>
      </c>
      <c r="Q47" s="173">
        <f t="shared" si="36"/>
        <v>11.034718294002046</v>
      </c>
      <c r="S47" s="68">
        <f t="shared" si="26"/>
        <v>34.839943233990283</v>
      </c>
      <c r="T47" s="69">
        <f t="shared" si="27"/>
        <v>39.823244720115234</v>
      </c>
      <c r="U47" s="69">
        <f t="shared" si="28"/>
        <v>74.66318795410551</v>
      </c>
      <c r="W47" t="str">
        <f t="shared" si="29"/>
        <v>21 Science, research, engineering and technology professionals</v>
      </c>
      <c r="X47" s="173">
        <f t="shared" ref="X47:AB47" si="37">X10/X$35*100</f>
        <v>1.6977626194258977</v>
      </c>
      <c r="Y47" s="173">
        <f t="shared" si="37"/>
        <v>1.7948860758483682</v>
      </c>
      <c r="Z47" s="173">
        <f t="shared" si="37"/>
        <v>2.2793715425314289</v>
      </c>
      <c r="AA47" s="173">
        <f t="shared" si="37"/>
        <v>3.0322247670759186</v>
      </c>
      <c r="AB47" s="173">
        <f t="shared" si="37"/>
        <v>3.588783252217203</v>
      </c>
      <c r="AD47" s="68">
        <f t="shared" si="31"/>
        <v>65.576565878532435</v>
      </c>
      <c r="AE47" s="69">
        <f t="shared" si="32"/>
        <v>71.48830189641312</v>
      </c>
      <c r="AF47" s="69">
        <f t="shared" si="33"/>
        <v>137.06486777494555</v>
      </c>
    </row>
    <row r="48" spans="1:32" x14ac:dyDescent="0.2">
      <c r="A48" t="str">
        <f t="shared" si="19"/>
        <v>22 Health professionals</v>
      </c>
      <c r="B48" s="173">
        <f t="shared" si="20"/>
        <v>3.8175087409337687</v>
      </c>
      <c r="C48" s="173">
        <f t="shared" si="20"/>
        <v>4.2812172795681649</v>
      </c>
      <c r="D48" s="173">
        <f t="shared" si="20"/>
        <v>4.3128906872384887</v>
      </c>
      <c r="E48" s="173">
        <f t="shared" si="20"/>
        <v>4.1750697518006215</v>
      </c>
      <c r="F48" s="173">
        <f t="shared" si="20"/>
        <v>4.3540645747256574</v>
      </c>
      <c r="H48" s="68">
        <f t="shared" si="21"/>
        <v>4.4973832349041745</v>
      </c>
      <c r="I48" s="69">
        <f t="shared" si="22"/>
        <v>52.211425127918218</v>
      </c>
      <c r="J48" s="69">
        <f t="shared" si="23"/>
        <v>56.708808362822396</v>
      </c>
      <c r="L48" t="str">
        <f t="shared" si="24"/>
        <v>22 Health professionals</v>
      </c>
      <c r="M48" s="173">
        <f t="shared" ref="M48:Q48" si="38">M11/M$35*100</f>
        <v>1.8554657873994882</v>
      </c>
      <c r="N48" s="173">
        <f t="shared" si="38"/>
        <v>2.0023626892488715</v>
      </c>
      <c r="O48" s="173">
        <f t="shared" si="38"/>
        <v>2.2297079703775222</v>
      </c>
      <c r="P48" s="173">
        <f t="shared" si="38"/>
        <v>2.1629711305811288</v>
      </c>
      <c r="Q48" s="173">
        <f t="shared" si="38"/>
        <v>2.2569361809952038</v>
      </c>
      <c r="S48" s="68">
        <f t="shared" si="26"/>
        <v>3.2481958346926874</v>
      </c>
      <c r="T48" s="69">
        <f t="shared" si="27"/>
        <v>37.708266210362794</v>
      </c>
      <c r="U48" s="69">
        <f t="shared" si="28"/>
        <v>40.956462045055488</v>
      </c>
      <c r="W48" t="str">
        <f t="shared" si="29"/>
        <v>22 Health professionals</v>
      </c>
      <c r="X48" s="173">
        <f t="shared" ref="X48:AB48" si="39">X11/X$35*100</f>
        <v>6.0590831320485385</v>
      </c>
      <c r="Y48" s="173">
        <f t="shared" si="39"/>
        <v>6.6937776343823074</v>
      </c>
      <c r="Z48" s="173">
        <f t="shared" si="39"/>
        <v>6.6008228465754524</v>
      </c>
      <c r="AA48" s="173">
        <f t="shared" si="39"/>
        <v>6.3634612536703345</v>
      </c>
      <c r="AB48" s="173">
        <f t="shared" si="39"/>
        <v>6.5880751010776324</v>
      </c>
      <c r="AD48" s="68">
        <f t="shared" si="31"/>
        <v>4.9608229870038887</v>
      </c>
      <c r="AE48" s="69">
        <f t="shared" si="32"/>
        <v>57.591995226749304</v>
      </c>
      <c r="AF48" s="69">
        <f t="shared" si="33"/>
        <v>62.552818213753191</v>
      </c>
    </row>
    <row r="49" spans="1:32" x14ac:dyDescent="0.2">
      <c r="A49" t="str">
        <f t="shared" si="19"/>
        <v>23 Teaching and other educational professionals</v>
      </c>
      <c r="B49" s="173">
        <f t="shared" si="20"/>
        <v>3.6401334655490345</v>
      </c>
      <c r="C49" s="173">
        <f t="shared" si="20"/>
        <v>3.6156787157213746</v>
      </c>
      <c r="D49" s="173">
        <f t="shared" si="20"/>
        <v>3.7731474336504283</v>
      </c>
      <c r="E49" s="173">
        <f t="shared" si="20"/>
        <v>3.4649066552875585</v>
      </c>
      <c r="F49" s="173">
        <f t="shared" si="20"/>
        <v>3.482326239140856</v>
      </c>
      <c r="H49" s="68">
        <f t="shared" si="21"/>
        <v>-4.4689216169242592</v>
      </c>
      <c r="I49" s="69">
        <f t="shared" si="22"/>
        <v>45.59376044846956</v>
      </c>
      <c r="J49" s="69">
        <f t="shared" si="23"/>
        <v>41.124838831545304</v>
      </c>
      <c r="L49" t="str">
        <f t="shared" si="24"/>
        <v>23 Teaching and other educational professionals</v>
      </c>
      <c r="M49" s="173">
        <f t="shared" ref="M49:Q49" si="40">M12/M$35*100</f>
        <v>2.7558703846819648</v>
      </c>
      <c r="N49" s="173">
        <f t="shared" si="40"/>
        <v>2.5981185993929472</v>
      </c>
      <c r="O49" s="173">
        <f t="shared" si="40"/>
        <v>2.6644111624519615</v>
      </c>
      <c r="P49" s="173">
        <f t="shared" si="40"/>
        <v>2.5815544730837661</v>
      </c>
      <c r="Q49" s="173">
        <f t="shared" si="40"/>
        <v>2.6239649535085801</v>
      </c>
      <c r="S49" s="68">
        <f t="shared" si="26"/>
        <v>0.45416886283592028</v>
      </c>
      <c r="T49" s="69">
        <f t="shared" si="27"/>
        <v>41.356087062615686</v>
      </c>
      <c r="U49" s="69">
        <f t="shared" si="28"/>
        <v>41.810255925451607</v>
      </c>
      <c r="W49" t="str">
        <f t="shared" si="29"/>
        <v>23 Teaching and other educational professionals</v>
      </c>
      <c r="X49" s="173">
        <f t="shared" ref="X49:AB49" si="41">X12/X$35*100</f>
        <v>4.650377137079972</v>
      </c>
      <c r="Y49" s="173">
        <f t="shared" si="41"/>
        <v>4.6929414799726343</v>
      </c>
      <c r="Z49" s="173">
        <f t="shared" si="41"/>
        <v>4.9908578872590166</v>
      </c>
      <c r="AA49" s="173">
        <f t="shared" si="41"/>
        <v>4.425654994512211</v>
      </c>
      <c r="AB49" s="173">
        <f t="shared" si="41"/>
        <v>4.3967138146695204</v>
      </c>
      <c r="AD49" s="68">
        <f t="shared" si="31"/>
        <v>-7.3554752910335042</v>
      </c>
      <c r="AE49" s="69">
        <f t="shared" si="32"/>
        <v>48.078433791748395</v>
      </c>
      <c r="AF49" s="69">
        <f t="shared" si="33"/>
        <v>40.722958500714888</v>
      </c>
    </row>
    <row r="50" spans="1:32" x14ac:dyDescent="0.2">
      <c r="A50" t="str">
        <f t="shared" si="19"/>
        <v>24 Business, media and public service professionals</v>
      </c>
      <c r="B50" s="173">
        <f t="shared" si="20"/>
        <v>4.6811732202347551</v>
      </c>
      <c r="C50" s="173">
        <f t="shared" si="20"/>
        <v>5.2896214567717701</v>
      </c>
      <c r="D50" s="173">
        <f t="shared" si="20"/>
        <v>6.0280554074346764</v>
      </c>
      <c r="E50" s="173">
        <f t="shared" si="20"/>
        <v>6.1821868392317469</v>
      </c>
      <c r="F50" s="173">
        <f t="shared" si="20"/>
        <v>6.7398413348559894</v>
      </c>
      <c r="H50" s="68">
        <f t="shared" si="21"/>
        <v>15.731461494991859</v>
      </c>
      <c r="I50" s="69">
        <f t="shared" si="22"/>
        <v>51.027248395013935</v>
      </c>
      <c r="J50" s="69">
        <f t="shared" si="23"/>
        <v>66.758709890005804</v>
      </c>
      <c r="L50" t="str">
        <f t="shared" si="24"/>
        <v>24 Business, media and public service professionals</v>
      </c>
      <c r="M50" s="173">
        <f t="shared" ref="M50:Q50" si="42">M13/M$35*100</f>
        <v>5.1507896790232337</v>
      </c>
      <c r="N50" s="173">
        <f t="shared" si="42"/>
        <v>5.549623283207576</v>
      </c>
      <c r="O50" s="173">
        <f t="shared" si="42"/>
        <v>6.1501739701634337</v>
      </c>
      <c r="P50" s="173">
        <f t="shared" si="42"/>
        <v>6.391258746180263</v>
      </c>
      <c r="Q50" s="173">
        <f t="shared" si="42"/>
        <v>6.8425971613618257</v>
      </c>
      <c r="S50" s="68">
        <f t="shared" si="26"/>
        <v>13.486643400701038</v>
      </c>
      <c r="T50" s="69">
        <f t="shared" si="27"/>
        <v>44.659576893633194</v>
      </c>
      <c r="U50" s="69">
        <f t="shared" si="28"/>
        <v>58.146220294334242</v>
      </c>
      <c r="W50" t="str">
        <f t="shared" si="29"/>
        <v>24 Business, media and public service professionals</v>
      </c>
      <c r="X50" s="173">
        <f t="shared" ref="X50:AB50" si="43">X13/X$35*100</f>
        <v>4.1446507013112894</v>
      </c>
      <c r="Y50" s="173">
        <f t="shared" si="43"/>
        <v>5.0143647109912575</v>
      </c>
      <c r="Z50" s="173">
        <f t="shared" si="43"/>
        <v>5.8939341972989876</v>
      </c>
      <c r="AA50" s="173">
        <f t="shared" si="43"/>
        <v>5.9547967999857869</v>
      </c>
      <c r="AB50" s="173">
        <f t="shared" si="43"/>
        <v>6.630378510002588</v>
      </c>
      <c r="AD50" s="68">
        <f t="shared" si="31"/>
        <v>18.304101693302353</v>
      </c>
      <c r="AE50" s="69">
        <f t="shared" si="32"/>
        <v>58.324823069661157</v>
      </c>
      <c r="AF50" s="69">
        <f t="shared" si="33"/>
        <v>76.628924762963507</v>
      </c>
    </row>
    <row r="51" spans="1:32" x14ac:dyDescent="0.2">
      <c r="A51" t="str">
        <f t="shared" si="19"/>
        <v>31 Science, engineering and technology associate professionals</v>
      </c>
      <c r="B51" s="173">
        <f t="shared" si="20"/>
        <v>1.5707202416975672</v>
      </c>
      <c r="C51" s="173">
        <f t="shared" si="20"/>
        <v>1.7642284340278056</v>
      </c>
      <c r="D51" s="173">
        <f t="shared" si="20"/>
        <v>1.9833234140079818</v>
      </c>
      <c r="E51" s="173">
        <f t="shared" si="20"/>
        <v>1.8172710531681808</v>
      </c>
      <c r="F51" s="173">
        <f t="shared" si="20"/>
        <v>1.9062980781443053</v>
      </c>
      <c r="H51" s="68">
        <f t="shared" si="21"/>
        <v>-0.51072377878582043</v>
      </c>
      <c r="I51" s="69">
        <f t="shared" si="22"/>
        <v>37.961923068303037</v>
      </c>
      <c r="J51" s="69">
        <f t="shared" si="23"/>
        <v>37.45119928951722</v>
      </c>
      <c r="L51" t="str">
        <f t="shared" si="24"/>
        <v>31 Science, engineering and technology associate professionals</v>
      </c>
      <c r="M51" s="173">
        <f t="shared" ref="M51:Q51" si="44">M14/M$35*100</f>
        <v>2.2011277125111786</v>
      </c>
      <c r="N51" s="173">
        <f t="shared" si="44"/>
        <v>2.6284464832241312</v>
      </c>
      <c r="O51" s="173">
        <f t="shared" si="44"/>
        <v>2.8230146304726191</v>
      </c>
      <c r="P51" s="173">
        <f t="shared" si="44"/>
        <v>2.4738794144809857</v>
      </c>
      <c r="Q51" s="173">
        <f t="shared" si="44"/>
        <v>2.5230846815018535</v>
      </c>
      <c r="S51" s="68">
        <f t="shared" si="26"/>
        <v>-8.8346346098662316</v>
      </c>
      <c r="T51" s="69">
        <f t="shared" si="27"/>
        <v>32.114323688092902</v>
      </c>
      <c r="U51" s="69">
        <f t="shared" si="28"/>
        <v>23.279689078226664</v>
      </c>
      <c r="W51" t="str">
        <f t="shared" si="29"/>
        <v>31 Science, engineering and technology associate professionals</v>
      </c>
      <c r="X51" s="173">
        <f t="shared" ref="X51:AB51" si="45">X14/X$35*100</f>
        <v>0.85049888263009232</v>
      </c>
      <c r="Y51" s="173">
        <f t="shared" si="45"/>
        <v>0.84930467703911106</v>
      </c>
      <c r="Z51" s="173">
        <f t="shared" si="45"/>
        <v>1.06110160287607</v>
      </c>
      <c r="AA51" s="173">
        <f t="shared" si="45"/>
        <v>1.1031330169904752</v>
      </c>
      <c r="AB51" s="173">
        <f t="shared" si="45"/>
        <v>1.2492530595688882</v>
      </c>
      <c r="AD51" s="68">
        <f t="shared" si="31"/>
        <v>23.81128028067949</v>
      </c>
      <c r="AE51" s="69">
        <f t="shared" si="32"/>
        <v>55.048282923643178</v>
      </c>
      <c r="AF51" s="69">
        <f t="shared" si="33"/>
        <v>78.859563204322683</v>
      </c>
    </row>
    <row r="52" spans="1:32" x14ac:dyDescent="0.2">
      <c r="A52" t="str">
        <f t="shared" si="19"/>
        <v>32 Health and social care associate professionals</v>
      </c>
      <c r="B52" s="173">
        <f t="shared" si="20"/>
        <v>1.6904725824281344</v>
      </c>
      <c r="C52" s="173">
        <f t="shared" si="20"/>
        <v>1.8726241108293549</v>
      </c>
      <c r="D52" s="173">
        <f t="shared" si="20"/>
        <v>1.9099852600871818</v>
      </c>
      <c r="E52" s="173">
        <f t="shared" si="20"/>
        <v>2.9747018262255405</v>
      </c>
      <c r="F52" s="173">
        <f t="shared" si="20"/>
        <v>3.409204004421186</v>
      </c>
      <c r="H52" s="68">
        <f t="shared" si="21"/>
        <v>84.757456379088211</v>
      </c>
      <c r="I52" s="69">
        <f t="shared" si="22"/>
        <v>92.588486134648178</v>
      </c>
      <c r="J52" s="69">
        <f t="shared" si="23"/>
        <v>177.34594251373642</v>
      </c>
      <c r="L52" t="str">
        <f t="shared" si="24"/>
        <v>32 Health and social care associate professionals</v>
      </c>
      <c r="M52" s="173">
        <f t="shared" ref="M52:Q52" si="46">M15/M$35*100</f>
        <v>0.67954519247295175</v>
      </c>
      <c r="N52" s="173">
        <f t="shared" si="46"/>
        <v>0.68948295840110307</v>
      </c>
      <c r="O52" s="173">
        <f t="shared" si="46"/>
        <v>0.76725211061617649</v>
      </c>
      <c r="P52" s="173">
        <f t="shared" si="46"/>
        <v>1.0105386231560498</v>
      </c>
      <c r="Q52" s="173">
        <f t="shared" si="46"/>
        <v>1.1288026335054941</v>
      </c>
      <c r="S52" s="68">
        <f t="shared" si="26"/>
        <v>50.069038909604615</v>
      </c>
      <c r="T52" s="69">
        <f t="shared" si="27"/>
        <v>64.036492389231242</v>
      </c>
      <c r="U52" s="69">
        <f t="shared" si="28"/>
        <v>114.10553129883587</v>
      </c>
      <c r="W52" t="str">
        <f t="shared" si="29"/>
        <v>32 Health and social care associate professionals</v>
      </c>
      <c r="X52" s="173">
        <f t="shared" ref="X52:AB52" si="47">X15/X$35*100</f>
        <v>2.8454263740962067</v>
      </c>
      <c r="Y52" s="173">
        <f t="shared" si="47"/>
        <v>3.12518294043752</v>
      </c>
      <c r="Z52" s="173">
        <f t="shared" si="47"/>
        <v>3.1650340376398147</v>
      </c>
      <c r="AA52" s="173">
        <f t="shared" si="47"/>
        <v>5.1109579801497054</v>
      </c>
      <c r="AB52" s="173">
        <f t="shared" si="47"/>
        <v>5.8384499591101608</v>
      </c>
      <c r="AD52" s="68">
        <f t="shared" si="31"/>
        <v>93.992947033139984</v>
      </c>
      <c r="AE52" s="69">
        <f t="shared" si="32"/>
        <v>100.19020713049176</v>
      </c>
      <c r="AF52" s="69">
        <f t="shared" si="33"/>
        <v>194.18315416363174</v>
      </c>
    </row>
    <row r="53" spans="1:32" x14ac:dyDescent="0.2">
      <c r="A53" t="str">
        <f t="shared" si="19"/>
        <v>33 Protective service occupations</v>
      </c>
      <c r="B53" s="173">
        <f t="shared" si="20"/>
        <v>1.0877546468121744</v>
      </c>
      <c r="C53" s="173">
        <f t="shared" si="20"/>
        <v>1.059517935026193</v>
      </c>
      <c r="D53" s="173">
        <f t="shared" si="20"/>
        <v>1.1121741303176429</v>
      </c>
      <c r="E53" s="173">
        <f t="shared" si="20"/>
        <v>0.95056093098085326</v>
      </c>
      <c r="F53" s="173">
        <f t="shared" si="20"/>
        <v>0.98083172482785597</v>
      </c>
      <c r="H53" s="68">
        <f t="shared" si="21"/>
        <v>-8.7147275830054962</v>
      </c>
      <c r="I53" s="69">
        <f t="shared" si="22"/>
        <v>28.777629719012491</v>
      </c>
      <c r="J53" s="69">
        <f t="shared" si="23"/>
        <v>20.062902136006997</v>
      </c>
      <c r="L53" t="str">
        <f t="shared" si="24"/>
        <v>33 Protective service occupations</v>
      </c>
      <c r="M53" s="173">
        <f t="shared" ref="M53:Q53" si="48">M16/M$35*100</f>
        <v>1.6661018705043062</v>
      </c>
      <c r="N53" s="173">
        <f t="shared" si="48"/>
        <v>1.6480617056940465</v>
      </c>
      <c r="O53" s="173">
        <f t="shared" si="48"/>
        <v>1.6720671757716192</v>
      </c>
      <c r="P53" s="173">
        <f t="shared" si="48"/>
        <v>1.4235352845878162</v>
      </c>
      <c r="Q53" s="173">
        <f t="shared" si="48"/>
        <v>1.3810946592726088</v>
      </c>
      <c r="S53" s="68">
        <f t="shared" si="26"/>
        <v>-15.747867223207109</v>
      </c>
      <c r="T53" s="69">
        <f t="shared" si="27"/>
        <v>23.8693762655369</v>
      </c>
      <c r="U53" s="69">
        <f t="shared" si="28"/>
        <v>8.1215090423297909</v>
      </c>
      <c r="W53" t="str">
        <f t="shared" si="29"/>
        <v>33 Protective service occupations</v>
      </c>
      <c r="X53" s="173">
        <f t="shared" ref="X53:AB53" si="49">X16/X$35*100</f>
        <v>0.42701053646262654</v>
      </c>
      <c r="Y53" s="173">
        <f t="shared" si="49"/>
        <v>0.43644291557655396</v>
      </c>
      <c r="Z53" s="173">
        <f t="shared" si="49"/>
        <v>0.49725096773806177</v>
      </c>
      <c r="AA53" s="173">
        <f t="shared" si="49"/>
        <v>0.4361462571074205</v>
      </c>
      <c r="AB53" s="173">
        <f t="shared" si="49"/>
        <v>0.554443139593219</v>
      </c>
      <c r="AD53" s="68">
        <f t="shared" si="31"/>
        <v>17.259527642400268</v>
      </c>
      <c r="AE53" s="69">
        <f t="shared" si="32"/>
        <v>46.904417246851402</v>
      </c>
      <c r="AF53" s="69">
        <f t="shared" si="33"/>
        <v>64.163944889251667</v>
      </c>
    </row>
    <row r="54" spans="1:32" x14ac:dyDescent="0.2">
      <c r="A54" t="str">
        <f t="shared" si="19"/>
        <v>34 Culture, media and sports occupations</v>
      </c>
      <c r="B54" s="173">
        <f t="shared" si="20"/>
        <v>1.2677602933301089</v>
      </c>
      <c r="C54" s="173">
        <f t="shared" si="20"/>
        <v>1.2511429213220178</v>
      </c>
      <c r="D54" s="173">
        <f t="shared" si="20"/>
        <v>1.2893342449383325</v>
      </c>
      <c r="E54" s="173">
        <f t="shared" si="20"/>
        <v>1.0817423672539748</v>
      </c>
      <c r="F54" s="173">
        <f t="shared" si="20"/>
        <v>1.1167144494889965</v>
      </c>
      <c r="H54" s="68">
        <f t="shared" si="21"/>
        <v>-10.348900913394266</v>
      </c>
      <c r="I54" s="69">
        <f t="shared" si="22"/>
        <v>39.698011470603319</v>
      </c>
      <c r="J54" s="69">
        <f t="shared" si="23"/>
        <v>29.349110557209052</v>
      </c>
      <c r="L54" t="str">
        <f t="shared" si="24"/>
        <v>34 Culture, media and sports occupations</v>
      </c>
      <c r="M54" s="173">
        <f t="shared" ref="M54:Q54" si="50">M17/M$35*100</f>
        <v>1.3984993679336513</v>
      </c>
      <c r="N54" s="173">
        <f t="shared" si="50"/>
        <v>1.2729199867880334</v>
      </c>
      <c r="O54" s="173">
        <f t="shared" si="50"/>
        <v>1.2485269487605226</v>
      </c>
      <c r="P54" s="173">
        <f t="shared" si="50"/>
        <v>1.0327067180097311</v>
      </c>
      <c r="Q54" s="173">
        <f t="shared" si="50"/>
        <v>1.0756790936445775</v>
      </c>
      <c r="S54" s="68">
        <f t="shared" si="26"/>
        <v>-12.118798438727788</v>
      </c>
      <c r="T54" s="69">
        <f t="shared" si="27"/>
        <v>33.878624194014513</v>
      </c>
      <c r="U54" s="69">
        <f t="shared" si="28"/>
        <v>21.75982575528672</v>
      </c>
      <c r="W54" t="str">
        <f t="shared" si="29"/>
        <v>34 Culture, media and sports occupations</v>
      </c>
      <c r="X54" s="173">
        <f t="shared" ref="X54:AB54" si="51">X17/X$35*100</f>
        <v>1.1183948775417154</v>
      </c>
      <c r="Y54" s="173">
        <f t="shared" si="51"/>
        <v>1.2280881441498859</v>
      </c>
      <c r="Z54" s="173">
        <f t="shared" si="51"/>
        <v>1.3341523612298731</v>
      </c>
      <c r="AA54" s="173">
        <f t="shared" si="51"/>
        <v>1.1350743446049301</v>
      </c>
      <c r="AB54" s="173">
        <f t="shared" si="51"/>
        <v>1.1604282331481655</v>
      </c>
      <c r="AD54" s="68">
        <f t="shared" si="31"/>
        <v>-8.5298016722527059</v>
      </c>
      <c r="AE54" s="69">
        <f t="shared" si="32"/>
        <v>45.67917299392758</v>
      </c>
      <c r="AF54" s="69">
        <f t="shared" si="33"/>
        <v>37.149371321674877</v>
      </c>
    </row>
    <row r="55" spans="1:32" x14ac:dyDescent="0.2">
      <c r="A55" t="str">
        <f t="shared" si="19"/>
        <v>35 Business and public service associate professionals</v>
      </c>
      <c r="B55" s="173">
        <f t="shared" ref="B55:F64" si="52">B18/B$35*100</f>
        <v>5.1341590431804178</v>
      </c>
      <c r="C55" s="173">
        <f t="shared" si="52"/>
        <v>5.3011283209617108</v>
      </c>
      <c r="D55" s="173">
        <f t="shared" si="52"/>
        <v>5.6383615084958434</v>
      </c>
      <c r="E55" s="173">
        <f t="shared" si="52"/>
        <v>5.5559544800752585</v>
      </c>
      <c r="F55" s="173">
        <f t="shared" si="52"/>
        <v>5.6845937862848412</v>
      </c>
      <c r="H55" s="68">
        <f t="shared" si="21"/>
        <v>4.3579450675272104</v>
      </c>
      <c r="I55" s="69">
        <f t="shared" si="22"/>
        <v>45.725616257882365</v>
      </c>
      <c r="J55" s="69">
        <f t="shared" si="23"/>
        <v>50.083561325409576</v>
      </c>
      <c r="L55" t="str">
        <f t="shared" si="24"/>
        <v>35 Business and public service associate professionals</v>
      </c>
      <c r="M55" s="173">
        <f t="shared" ref="M55:Q55" si="53">M18/M$35*100</f>
        <v>5.355993214583294</v>
      </c>
      <c r="N55" s="173">
        <f t="shared" si="53"/>
        <v>5.537670181625959</v>
      </c>
      <c r="O55" s="173">
        <f t="shared" si="53"/>
        <v>5.8996400240120757</v>
      </c>
      <c r="P55" s="173">
        <f t="shared" si="53"/>
        <v>5.7723439385207325</v>
      </c>
      <c r="Q55" s="173">
        <f t="shared" si="53"/>
        <v>5.7586012466170953</v>
      </c>
      <c r="S55" s="68">
        <f t="shared" si="26"/>
        <v>-0.435922849260932</v>
      </c>
      <c r="T55" s="69">
        <f t="shared" si="27"/>
        <v>37.675503143247482</v>
      </c>
      <c r="U55" s="69">
        <f t="shared" si="28"/>
        <v>37.239580293986549</v>
      </c>
      <c r="W55" t="str">
        <f t="shared" si="29"/>
        <v>35 Business and public service associate professionals</v>
      </c>
      <c r="X55" s="173">
        <f t="shared" ref="X55:AB55" si="54">X18/X$35*100</f>
        <v>4.8807202503165001</v>
      </c>
      <c r="Y55" s="173">
        <f t="shared" si="54"/>
        <v>5.0507079923822644</v>
      </c>
      <c r="Z55" s="173">
        <f t="shared" si="54"/>
        <v>5.3514027538196256</v>
      </c>
      <c r="AA55" s="173">
        <f t="shared" si="54"/>
        <v>5.3206057516569452</v>
      </c>
      <c r="AB55" s="173">
        <f t="shared" si="54"/>
        <v>5.6057557685911599</v>
      </c>
      <c r="AD55" s="68">
        <f t="shared" si="31"/>
        <v>10.162376943962988</v>
      </c>
      <c r="AE55" s="69">
        <f t="shared" si="32"/>
        <v>55.472721097351084</v>
      </c>
      <c r="AF55" s="69">
        <f t="shared" si="33"/>
        <v>65.635098041314066</v>
      </c>
    </row>
    <row r="56" spans="1:32" x14ac:dyDescent="0.2">
      <c r="A56" t="str">
        <f t="shared" si="19"/>
        <v>41 Administrative occupations</v>
      </c>
      <c r="B56" s="173">
        <f t="shared" si="52"/>
        <v>8.2462593639061819</v>
      </c>
      <c r="C56" s="173">
        <f t="shared" si="52"/>
        <v>7.8327508364563165</v>
      </c>
      <c r="D56" s="173">
        <f t="shared" si="52"/>
        <v>8.1608034922965036</v>
      </c>
      <c r="E56" s="173">
        <f t="shared" si="52"/>
        <v>8.1821573676010377</v>
      </c>
      <c r="F56" s="173">
        <f t="shared" si="52"/>
        <v>7.84163525428227</v>
      </c>
      <c r="H56" s="68">
        <f t="shared" si="21"/>
        <v>-0.5390237752918956</v>
      </c>
      <c r="I56" s="69">
        <f t="shared" si="22"/>
        <v>50.732403975269932</v>
      </c>
      <c r="J56" s="69">
        <f t="shared" si="23"/>
        <v>50.193380199978044</v>
      </c>
      <c r="L56" t="str">
        <f t="shared" si="24"/>
        <v>41 Administrative occupations</v>
      </c>
      <c r="M56" s="173">
        <f t="shared" ref="M56:Q56" si="55">M19/M$35*100</f>
        <v>3.7198765871686037</v>
      </c>
      <c r="N56" s="173">
        <f t="shared" si="55"/>
        <v>3.4473919978571028</v>
      </c>
      <c r="O56" s="173">
        <f t="shared" si="55"/>
        <v>4.1445854966921516</v>
      </c>
      <c r="P56" s="173">
        <f t="shared" si="55"/>
        <v>4.3033422918169082</v>
      </c>
      <c r="Q56" s="173">
        <f t="shared" si="55"/>
        <v>4.6577621688127362</v>
      </c>
      <c r="S56" s="68">
        <f t="shared" si="26"/>
        <v>14.632400037097323</v>
      </c>
      <c r="T56" s="69">
        <f t="shared" si="27"/>
        <v>39.287615176223952</v>
      </c>
      <c r="U56" s="69">
        <f t="shared" si="28"/>
        <v>53.920015213321271</v>
      </c>
      <c r="W56" t="str">
        <f t="shared" si="29"/>
        <v>41 Administrative occupations</v>
      </c>
      <c r="X56" s="173">
        <f t="shared" ref="X56:AB56" si="56">X19/X$35*100</f>
        <v>13.41751399849063</v>
      </c>
      <c r="Y56" s="173">
        <f t="shared" si="56"/>
        <v>12.475409003670029</v>
      </c>
      <c r="Z56" s="173">
        <f t="shared" si="56"/>
        <v>12.571762855907782</v>
      </c>
      <c r="AA56" s="173">
        <f t="shared" si="56"/>
        <v>12.40082033951119</v>
      </c>
      <c r="AB56" s="173">
        <f t="shared" si="56"/>
        <v>11.2333236262351</v>
      </c>
      <c r="AD56" s="68">
        <f t="shared" si="31"/>
        <v>-6.0322444032925784</v>
      </c>
      <c r="AE56" s="69">
        <f t="shared" si="32"/>
        <v>54.876296512415287</v>
      </c>
      <c r="AF56" s="69">
        <f t="shared" si="33"/>
        <v>48.844052109122707</v>
      </c>
    </row>
    <row r="57" spans="1:32" x14ac:dyDescent="0.2">
      <c r="A57" t="str">
        <f t="shared" si="19"/>
        <v>42 Secretarial and related occupations</v>
      </c>
      <c r="B57" s="173">
        <f t="shared" si="52"/>
        <v>1.9941510078171738</v>
      </c>
      <c r="C57" s="173">
        <f t="shared" si="52"/>
        <v>1.8109255373381385</v>
      </c>
      <c r="D57" s="173">
        <f t="shared" si="52"/>
        <v>1.7746412361278323</v>
      </c>
      <c r="E57" s="173">
        <f t="shared" si="52"/>
        <v>1.6243203069195244</v>
      </c>
      <c r="F57" s="173">
        <f t="shared" si="52"/>
        <v>1.1986239797609222</v>
      </c>
      <c r="H57" s="68">
        <f t="shared" si="21"/>
        <v>-30.088053564531137</v>
      </c>
      <c r="I57" s="69">
        <f t="shared" si="22"/>
        <v>44.725058358647956</v>
      </c>
      <c r="J57" s="69">
        <f t="shared" si="23"/>
        <v>14.637004794116818</v>
      </c>
      <c r="L57" t="str">
        <f t="shared" si="24"/>
        <v>42 Secretarial and related occupations</v>
      </c>
      <c r="M57" s="173">
        <f t="shared" ref="M57:Q57" si="57">M20/M$35*100</f>
        <v>0.3251620390036068</v>
      </c>
      <c r="N57" s="173">
        <f t="shared" si="57"/>
        <v>0.24375795081500634</v>
      </c>
      <c r="O57" s="173">
        <f t="shared" si="57"/>
        <v>0.24999935479727162</v>
      </c>
      <c r="P57" s="173">
        <f t="shared" si="57"/>
        <v>0.21657589775703623</v>
      </c>
      <c r="Q57" s="173">
        <f t="shared" si="57"/>
        <v>0.25252078774041542</v>
      </c>
      <c r="S57" s="68">
        <f t="shared" si="26"/>
        <v>3.0313586083476007</v>
      </c>
      <c r="T57" s="69">
        <f t="shared" si="27"/>
        <v>29.930093527172819</v>
      </c>
      <c r="U57" s="69">
        <f t="shared" si="28"/>
        <v>32.961452135520418</v>
      </c>
      <c r="W57" t="str">
        <f t="shared" si="29"/>
        <v>42 Secretarial and related occupations</v>
      </c>
      <c r="X57" s="173">
        <f t="shared" ref="X57:AB57" si="58">X20/X$35*100</f>
        <v>3.9009201357847822</v>
      </c>
      <c r="Y57" s="173">
        <f t="shared" si="58"/>
        <v>3.4700425361395961</v>
      </c>
      <c r="Z57" s="173">
        <f t="shared" si="58"/>
        <v>3.4491353472466542</v>
      </c>
      <c r="AA57" s="173">
        <f t="shared" si="58"/>
        <v>3.1554062434272736</v>
      </c>
      <c r="AB57" s="173">
        <f t="shared" si="58"/>
        <v>2.2064804831146585</v>
      </c>
      <c r="AD57" s="68">
        <f t="shared" si="31"/>
        <v>-32.724549159646735</v>
      </c>
      <c r="AE57" s="69">
        <f t="shared" si="32"/>
        <v>45.902822607737406</v>
      </c>
      <c r="AF57" s="69">
        <f t="shared" si="33"/>
        <v>13.178273448090675</v>
      </c>
    </row>
    <row r="58" spans="1:32" x14ac:dyDescent="0.2">
      <c r="A58" t="str">
        <f t="shared" si="19"/>
        <v>51 Skilled agricultural and related trades</v>
      </c>
      <c r="B58" s="173">
        <f t="shared" si="52"/>
        <v>1.7848103650041125</v>
      </c>
      <c r="C58" s="173">
        <f t="shared" si="52"/>
        <v>1.6759174272755726</v>
      </c>
      <c r="D58" s="173">
        <f t="shared" si="52"/>
        <v>1.9527165192674696</v>
      </c>
      <c r="E58" s="173">
        <f t="shared" si="52"/>
        <v>1.7920276457612634</v>
      </c>
      <c r="F58" s="173">
        <f t="shared" si="52"/>
        <v>1.7357396558979115</v>
      </c>
      <c r="H58" s="68">
        <f t="shared" si="21"/>
        <v>-7.9922552012404608</v>
      </c>
      <c r="I58" s="69">
        <f t="shared" si="22"/>
        <v>51.302767145147818</v>
      </c>
      <c r="J58" s="69">
        <f t="shared" si="23"/>
        <v>43.310511943907358</v>
      </c>
      <c r="L58" t="str">
        <f t="shared" si="24"/>
        <v>51 Skilled agricultural and related trades</v>
      </c>
      <c r="M58" s="173">
        <f t="shared" ref="M58:Q58" si="59">M21/M$35*100</f>
        <v>2.6665760309919984</v>
      </c>
      <c r="N58" s="173">
        <f t="shared" si="59"/>
        <v>2.1536654258156926</v>
      </c>
      <c r="O58" s="173">
        <f t="shared" si="59"/>
        <v>2.8700911560171014</v>
      </c>
      <c r="P58" s="173">
        <f t="shared" si="59"/>
        <v>2.5754748642849221</v>
      </c>
      <c r="Q58" s="173">
        <f t="shared" si="59"/>
        <v>2.4556899301665878</v>
      </c>
      <c r="S58" s="68">
        <f t="shared" si="26"/>
        <v>-12.725168712537766</v>
      </c>
      <c r="T58" s="69">
        <f t="shared" si="27"/>
        <v>45.184119362991517</v>
      </c>
      <c r="U58" s="69">
        <f t="shared" si="28"/>
        <v>32.458950650453751</v>
      </c>
      <c r="W58" t="str">
        <f t="shared" si="29"/>
        <v>51 Skilled agricultural and related trades</v>
      </c>
      <c r="X58" s="173">
        <f t="shared" ref="X58:AB58" si="60">X21/X$35*100</f>
        <v>0.77741991400389099</v>
      </c>
      <c r="Y58" s="173">
        <f t="shared" si="60"/>
        <v>1.1701388287787626</v>
      </c>
      <c r="Z58" s="173">
        <f t="shared" si="60"/>
        <v>0.94517603009604512</v>
      </c>
      <c r="AA58" s="173">
        <f t="shared" si="60"/>
        <v>0.93993758561225649</v>
      </c>
      <c r="AB58" s="173">
        <f t="shared" si="60"/>
        <v>0.96879734756113778</v>
      </c>
      <c r="AD58" s="68">
        <f t="shared" si="31"/>
        <v>7.7921179197958157</v>
      </c>
      <c r="AE58" s="69">
        <f t="shared" si="32"/>
        <v>71.708595259104882</v>
      </c>
      <c r="AF58" s="69">
        <f t="shared" si="33"/>
        <v>79.500713178900696</v>
      </c>
    </row>
    <row r="59" spans="1:32" x14ac:dyDescent="0.2">
      <c r="A59" t="str">
        <f t="shared" si="19"/>
        <v>52 Skilled metal, electrical and electronic trades</v>
      </c>
      <c r="B59" s="173">
        <f t="shared" si="52"/>
        <v>4.2206499913806956</v>
      </c>
      <c r="C59" s="173">
        <f t="shared" si="52"/>
        <v>4.0120177592011137</v>
      </c>
      <c r="D59" s="173">
        <f t="shared" si="52"/>
        <v>3.54583210830436</v>
      </c>
      <c r="E59" s="173">
        <f t="shared" si="52"/>
        <v>3.3951634820011662</v>
      </c>
      <c r="F59" s="173">
        <f t="shared" si="52"/>
        <v>3.0749099104467779</v>
      </c>
      <c r="H59" s="68">
        <f t="shared" si="21"/>
        <v>-10.237853746652611</v>
      </c>
      <c r="I59" s="69">
        <f t="shared" si="22"/>
        <v>35.582910367850594</v>
      </c>
      <c r="J59" s="69">
        <f t="shared" si="23"/>
        <v>25.34505662119798</v>
      </c>
      <c r="L59" t="str">
        <f t="shared" si="24"/>
        <v>52 Skilled metal, electrical and electronic trades</v>
      </c>
      <c r="M59" s="173">
        <f t="shared" ref="M59:Q59" si="61">M22/M$35*100</f>
        <v>7.7973851936957645</v>
      </c>
      <c r="N59" s="173">
        <f t="shared" si="61"/>
        <v>7.6220116725862903</v>
      </c>
      <c r="O59" s="173">
        <f t="shared" si="61"/>
        <v>6.6421431104187345</v>
      </c>
      <c r="P59" s="173">
        <f t="shared" si="61"/>
        <v>6.2961153487348476</v>
      </c>
      <c r="Q59" s="173">
        <f t="shared" si="61"/>
        <v>5.6865275625998546</v>
      </c>
      <c r="S59" s="68">
        <f t="shared" si="26"/>
        <v>-12.672686695794269</v>
      </c>
      <c r="T59" s="69">
        <f t="shared" si="27"/>
        <v>34.368561388511246</v>
      </c>
      <c r="U59" s="69">
        <f t="shared" si="28"/>
        <v>21.695874692716977</v>
      </c>
      <c r="W59" t="str">
        <f t="shared" si="29"/>
        <v>52 Skilled metal, electrical and electronic trades</v>
      </c>
      <c r="X59" s="173">
        <f t="shared" ref="X59:AB59" si="62">X22/X$35*100</f>
        <v>0.13433882328623889</v>
      </c>
      <c r="Y59" s="173">
        <f t="shared" si="62"/>
        <v>0.19021700300052077</v>
      </c>
      <c r="Z59" s="173">
        <f t="shared" si="62"/>
        <v>0.14519448794187095</v>
      </c>
      <c r="AA59" s="173">
        <f t="shared" si="62"/>
        <v>0.24004059411536785</v>
      </c>
      <c r="AB59" s="173">
        <f t="shared" si="62"/>
        <v>0.29282878314956551</v>
      </c>
      <c r="AD59" s="68">
        <f t="shared" si="31"/>
        <v>112.0949834986161</v>
      </c>
      <c r="AE59" s="69">
        <f t="shared" si="32"/>
        <v>96.595209425512877</v>
      </c>
      <c r="AF59" s="69">
        <f t="shared" si="33"/>
        <v>208.69019292412898</v>
      </c>
    </row>
    <row r="60" spans="1:32" x14ac:dyDescent="0.2">
      <c r="A60" t="str">
        <f t="shared" si="19"/>
        <v>53 Skilled construction and building trades</v>
      </c>
      <c r="B60" s="173">
        <f t="shared" si="52"/>
        <v>2.8854258911017112</v>
      </c>
      <c r="C60" s="173">
        <f t="shared" si="52"/>
        <v>2.6586255295954624</v>
      </c>
      <c r="D60" s="173">
        <f t="shared" si="52"/>
        <v>2.1686681302656172</v>
      </c>
      <c r="E60" s="173">
        <f t="shared" si="52"/>
        <v>2.0620504005117959</v>
      </c>
      <c r="F60" s="173">
        <f t="shared" si="52"/>
        <v>1.7283810840652221</v>
      </c>
      <c r="H60" s="68">
        <f t="shared" si="21"/>
        <v>-17.505421551554743</v>
      </c>
      <c r="I60" s="69">
        <f t="shared" si="22"/>
        <v>37.643123255343895</v>
      </c>
      <c r="J60" s="69">
        <f t="shared" si="23"/>
        <v>20.137701703789155</v>
      </c>
      <c r="L60" t="str">
        <f t="shared" si="24"/>
        <v>53 Skilled construction and building trades</v>
      </c>
      <c r="M60" s="173">
        <f t="shared" ref="M60:Q60" si="63">M23/M$35*100</f>
        <v>5.3652777454951099</v>
      </c>
      <c r="N60" s="173">
        <f t="shared" si="63"/>
        <v>5.1113423204527724</v>
      </c>
      <c r="O60" s="173">
        <f t="shared" si="63"/>
        <v>4.0858393966608268</v>
      </c>
      <c r="P60" s="173">
        <f t="shared" si="63"/>
        <v>3.9273954869346448</v>
      </c>
      <c r="Q60" s="173">
        <f t="shared" si="63"/>
        <v>3.3227454258353135</v>
      </c>
      <c r="S60" s="68">
        <f t="shared" si="26"/>
        <v>-17.047981914942618</v>
      </c>
      <c r="T60" s="69">
        <f t="shared" si="27"/>
        <v>37.782206548901222</v>
      </c>
      <c r="U60" s="69">
        <f t="shared" si="28"/>
        <v>20.7342246339586</v>
      </c>
      <c r="W60" t="str">
        <f t="shared" si="29"/>
        <v>53 Skilled construction and building trades</v>
      </c>
      <c r="X60" s="173">
        <f t="shared" ref="X60:AB60" si="64">X23/X$35*100</f>
        <v>5.2270581961529367E-2</v>
      </c>
      <c r="Y60" s="173">
        <f t="shared" si="64"/>
        <v>6.2002069570204404E-2</v>
      </c>
      <c r="Z60" s="173">
        <f t="shared" si="64"/>
        <v>6.3064161953162778E-2</v>
      </c>
      <c r="AA60" s="173">
        <f t="shared" si="64"/>
        <v>3.3270452982131743E-2</v>
      </c>
      <c r="AB60" s="173">
        <f t="shared" si="64"/>
        <v>2.9950633644057804E-2</v>
      </c>
      <c r="AD60" s="68">
        <f t="shared" si="31"/>
        <v>-50.055214841309414</v>
      </c>
      <c r="AE60" s="69">
        <f t="shared" si="32"/>
        <v>27.746445982517891</v>
      </c>
      <c r="AF60" s="69">
        <f t="shared" si="33"/>
        <v>-22.308768858791527</v>
      </c>
    </row>
    <row r="61" spans="1:32" x14ac:dyDescent="0.2">
      <c r="A61" t="str">
        <f t="shared" si="19"/>
        <v>54 Textiles, printing and other skilled trades</v>
      </c>
      <c r="B61" s="173">
        <f t="shared" si="52"/>
        <v>2.1879642430597106</v>
      </c>
      <c r="C61" s="173">
        <f t="shared" si="52"/>
        <v>1.8209700153589896</v>
      </c>
      <c r="D61" s="173">
        <f t="shared" si="52"/>
        <v>1.7594924356835497</v>
      </c>
      <c r="E61" s="173">
        <f t="shared" si="52"/>
        <v>1.7424564561875016</v>
      </c>
      <c r="F61" s="173">
        <f t="shared" si="52"/>
        <v>1.5739205350375172</v>
      </c>
      <c r="H61" s="68">
        <f t="shared" si="21"/>
        <v>-7.4078011035898159</v>
      </c>
      <c r="I61" s="69">
        <f t="shared" si="22"/>
        <v>40.718889517981431</v>
      </c>
      <c r="J61" s="69">
        <f t="shared" si="23"/>
        <v>33.311088414391612</v>
      </c>
      <c r="L61" t="str">
        <f t="shared" si="24"/>
        <v>54 Textiles, printing and other skilled trades</v>
      </c>
      <c r="M61" s="173">
        <f t="shared" ref="M61:Q61" si="65">M24/M$35*100</f>
        <v>2.4181205818466833</v>
      </c>
      <c r="N61" s="173">
        <f t="shared" si="65"/>
        <v>1.9538956302354586</v>
      </c>
      <c r="O61" s="173">
        <f t="shared" si="65"/>
        <v>1.8215946931231106</v>
      </c>
      <c r="P61" s="173">
        <f t="shared" si="65"/>
        <v>1.8794300898154412</v>
      </c>
      <c r="Q61" s="173">
        <f t="shared" si="65"/>
        <v>1.7200826791517319</v>
      </c>
      <c r="S61" s="68">
        <f t="shared" si="26"/>
        <v>-3.6817131935371492</v>
      </c>
      <c r="T61" s="69">
        <f t="shared" si="27"/>
        <v>31.505928532703475</v>
      </c>
      <c r="U61" s="69">
        <f t="shared" si="28"/>
        <v>27.824215339166329</v>
      </c>
      <c r="W61" t="str">
        <f t="shared" si="29"/>
        <v>54 Textiles, printing and other skilled trades</v>
      </c>
      <c r="X61" s="173">
        <f t="shared" ref="X61:AB61" si="66">X24/X$35*100</f>
        <v>1.9250176271111246</v>
      </c>
      <c r="Y61" s="173">
        <f t="shared" si="66"/>
        <v>1.680245341677495</v>
      </c>
      <c r="Z61" s="173">
        <f t="shared" si="66"/>
        <v>1.6912863437198531</v>
      </c>
      <c r="AA61" s="173">
        <f t="shared" si="66"/>
        <v>1.5934816829579912</v>
      </c>
      <c r="AB61" s="173">
        <f t="shared" si="66"/>
        <v>1.4182182091896993</v>
      </c>
      <c r="AD61" s="68">
        <f t="shared" si="31"/>
        <v>-11.815414417863229</v>
      </c>
      <c r="AE61" s="69">
        <f t="shared" si="32"/>
        <v>51.616960224536598</v>
      </c>
      <c r="AF61" s="69">
        <f t="shared" si="33"/>
        <v>39.801545806673367</v>
      </c>
    </row>
    <row r="62" spans="1:32" x14ac:dyDescent="0.2">
      <c r="A62" t="str">
        <f t="shared" si="19"/>
        <v>61 Caring personal service occupations</v>
      </c>
      <c r="B62" s="173">
        <f t="shared" si="52"/>
        <v>8.7854545772316293</v>
      </c>
      <c r="C62" s="173">
        <f t="shared" si="52"/>
        <v>8.7000629135513226</v>
      </c>
      <c r="D62" s="173">
        <f t="shared" si="52"/>
        <v>8.4097113674146193</v>
      </c>
      <c r="E62" s="173">
        <f t="shared" si="52"/>
        <v>8.618257722988222</v>
      </c>
      <c r="F62" s="173">
        <f t="shared" si="52"/>
        <v>8.9902910850041486</v>
      </c>
      <c r="H62" s="68">
        <f t="shared" si="21"/>
        <v>10.655158161817845</v>
      </c>
      <c r="I62" s="69">
        <f t="shared" si="22"/>
        <v>58.448925428025113</v>
      </c>
      <c r="J62" s="69">
        <f t="shared" si="23"/>
        <v>69.104083589842958</v>
      </c>
      <c r="L62" t="str">
        <f t="shared" si="24"/>
        <v>61 Caring personal service occupations</v>
      </c>
      <c r="M62" s="173">
        <f t="shared" ref="M62:Q62" si="67">M25/M$35*100</f>
        <v>2.3909119273081472</v>
      </c>
      <c r="N62" s="173">
        <f t="shared" si="67"/>
        <v>2.4852430536921819</v>
      </c>
      <c r="O62" s="173">
        <f t="shared" si="67"/>
        <v>2.4814506076914733</v>
      </c>
      <c r="P62" s="173">
        <f t="shared" si="67"/>
        <v>2.9463621440822823</v>
      </c>
      <c r="Q62" s="173">
        <f t="shared" si="67"/>
        <v>3.3705671207782006</v>
      </c>
      <c r="S62" s="68">
        <f t="shared" si="26"/>
        <v>38.550636056768404</v>
      </c>
      <c r="T62" s="69">
        <f t="shared" si="27"/>
        <v>53.761869176513763</v>
      </c>
      <c r="U62" s="69">
        <f t="shared" si="28"/>
        <v>92.312505233282167</v>
      </c>
      <c r="W62" t="str">
        <f t="shared" si="29"/>
        <v>61 Caring personal service occupations</v>
      </c>
      <c r="X62" s="173">
        <f t="shared" ref="X62:AB62" si="68">X25/X$35*100</f>
        <v>16.091025039458142</v>
      </c>
      <c r="Y62" s="173">
        <f t="shared" si="68"/>
        <v>15.279520887702718</v>
      </c>
      <c r="Z62" s="173">
        <f t="shared" si="68"/>
        <v>14.920642132788847</v>
      </c>
      <c r="AA62" s="173">
        <f t="shared" si="68"/>
        <v>14.787104494945808</v>
      </c>
      <c r="AB62" s="173">
        <f t="shared" si="68"/>
        <v>14.97682129879842</v>
      </c>
      <c r="AD62" s="68">
        <f t="shared" si="31"/>
        <v>5.5598822515959139</v>
      </c>
      <c r="AE62" s="69">
        <f t="shared" si="32"/>
        <v>59.305044290663581</v>
      </c>
      <c r="AF62" s="69">
        <f t="shared" si="33"/>
        <v>64.864926542259497</v>
      </c>
    </row>
    <row r="63" spans="1:32" x14ac:dyDescent="0.2">
      <c r="A63" t="str">
        <f t="shared" si="19"/>
        <v>62 Leisure, travel and related personal service occupations</v>
      </c>
      <c r="B63" s="173">
        <f t="shared" si="52"/>
        <v>2.1168306468770997</v>
      </c>
      <c r="C63" s="173">
        <f t="shared" si="52"/>
        <v>2.6105266103306728</v>
      </c>
      <c r="D63" s="173">
        <f t="shared" si="52"/>
        <v>2.5240512559733341</v>
      </c>
      <c r="E63" s="173">
        <f t="shared" si="52"/>
        <v>2.2997650236716018</v>
      </c>
      <c r="F63" s="173">
        <f t="shared" si="52"/>
        <v>2.2598499022958438</v>
      </c>
      <c r="H63" s="68">
        <f t="shared" si="21"/>
        <v>-7.3254629973913454</v>
      </c>
      <c r="I63" s="69">
        <f t="shared" si="22"/>
        <v>46.780783482919794</v>
      </c>
      <c r="J63" s="69">
        <f t="shared" si="23"/>
        <v>39.455320485528453</v>
      </c>
      <c r="L63" t="str">
        <f t="shared" si="24"/>
        <v>62 Leisure, travel and related personal service occupations</v>
      </c>
      <c r="M63" s="173">
        <f t="shared" ref="M63:Q63" si="69">M26/M$35*100</f>
        <v>1.2222900824306075</v>
      </c>
      <c r="N63" s="173">
        <f t="shared" si="69"/>
        <v>1.4020403650278441</v>
      </c>
      <c r="O63" s="173">
        <f t="shared" si="69"/>
        <v>1.3563480545434885</v>
      </c>
      <c r="P63" s="173">
        <f t="shared" si="69"/>
        <v>1.2703083589853037</v>
      </c>
      <c r="Q63" s="173">
        <f t="shared" si="69"/>
        <v>1.3393269875683007</v>
      </c>
      <c r="S63" s="68">
        <f t="shared" si="26"/>
        <v>0.7225356013638321</v>
      </c>
      <c r="T63" s="69">
        <f t="shared" si="27"/>
        <v>41.264318856085843</v>
      </c>
      <c r="U63" s="69">
        <f t="shared" si="28"/>
        <v>41.986854457449667</v>
      </c>
      <c r="W63" t="str">
        <f t="shared" si="29"/>
        <v>62 Leisure, travel and related personal service occupations</v>
      </c>
      <c r="X63" s="173">
        <f t="shared" ref="X63:AB63" si="70">X26/X$35*100</f>
        <v>3.1388160307672019</v>
      </c>
      <c r="Y63" s="173">
        <f t="shared" si="70"/>
        <v>3.8899175890886943</v>
      </c>
      <c r="Z63" s="173">
        <f t="shared" si="70"/>
        <v>3.8065243129396444</v>
      </c>
      <c r="AA63" s="173">
        <f t="shared" si="70"/>
        <v>3.4194189972811193</v>
      </c>
      <c r="AB63" s="173">
        <f t="shared" si="70"/>
        <v>3.2404564724026099</v>
      </c>
      <c r="AD63" s="68">
        <f t="shared" si="31"/>
        <v>-10.474996350958845</v>
      </c>
      <c r="AE63" s="69">
        <f t="shared" si="32"/>
        <v>48.939617026786998</v>
      </c>
      <c r="AF63" s="69">
        <f t="shared" si="33"/>
        <v>38.464620675828151</v>
      </c>
    </row>
    <row r="64" spans="1:32" x14ac:dyDescent="0.2">
      <c r="A64" t="str">
        <f t="shared" si="19"/>
        <v>63 Community and civil enforcement occupations</v>
      </c>
      <c r="B64" s="173">
        <f t="shared" si="52"/>
        <v>0.10661117981942854</v>
      </c>
      <c r="C64" s="173">
        <f t="shared" si="52"/>
        <v>8.5290138594578915E-2</v>
      </c>
      <c r="D64" s="173">
        <f t="shared" si="52"/>
        <v>0.10771549540288389</v>
      </c>
      <c r="E64" s="173">
        <f t="shared" si="52"/>
        <v>8.1377391677065147E-2</v>
      </c>
      <c r="F64" s="173">
        <f t="shared" si="52"/>
        <v>8.9000600237914701E-2</v>
      </c>
      <c r="H64" s="68">
        <f t="shared" si="21"/>
        <v>-14.474868076224887</v>
      </c>
      <c r="I64" s="69">
        <f t="shared" si="22"/>
        <v>36.833599891880823</v>
      </c>
      <c r="J64" s="69">
        <f t="shared" si="23"/>
        <v>22.358731815655936</v>
      </c>
      <c r="L64" t="str">
        <f t="shared" si="24"/>
        <v>63 Community and civil enforcement occupations</v>
      </c>
      <c r="M64" s="173">
        <f t="shared" ref="M64:Q64" si="71">M27/M$35*100</f>
        <v>0.16098546862213814</v>
      </c>
      <c r="N64" s="173">
        <f t="shared" si="71"/>
        <v>0.11890586725362502</v>
      </c>
      <c r="O64" s="173">
        <f t="shared" si="71"/>
        <v>0.16675301015652996</v>
      </c>
      <c r="P64" s="173">
        <f t="shared" si="71"/>
        <v>0.10475201825577646</v>
      </c>
      <c r="Q64" s="173">
        <f t="shared" si="71"/>
        <v>0.12270673282748679</v>
      </c>
      <c r="S64" s="68">
        <f t="shared" si="26"/>
        <v>-24.94046156756734</v>
      </c>
      <c r="T64" s="69">
        <f t="shared" si="27"/>
        <v>27.77780191422648</v>
      </c>
      <c r="U64" s="69">
        <f t="shared" si="28"/>
        <v>2.8373403466591411</v>
      </c>
      <c r="W64" t="str">
        <f t="shared" si="29"/>
        <v>63 Community and civil enforcement occupations</v>
      </c>
      <c r="X64" s="173">
        <f t="shared" ref="X64:AB64" si="72">X27/X$35*100</f>
        <v>4.4490208871428016E-2</v>
      </c>
      <c r="Y64" s="173">
        <f t="shared" si="72"/>
        <v>4.9702095985137786E-2</v>
      </c>
      <c r="Z64" s="173">
        <f t="shared" si="72"/>
        <v>4.2875369993369467E-2</v>
      </c>
      <c r="AA64" s="173">
        <f t="shared" si="72"/>
        <v>5.5954763966487679E-2</v>
      </c>
      <c r="AB64" s="173">
        <f t="shared" si="72"/>
        <v>5.309442719060159E-2</v>
      </c>
      <c r="AD64" s="68">
        <f t="shared" si="31"/>
        <v>30.229034944505273</v>
      </c>
      <c r="AE64" s="69">
        <f t="shared" si="32"/>
        <v>75.515545154065151</v>
      </c>
      <c r="AF64" s="69">
        <f t="shared" si="33"/>
        <v>105.74458009857042</v>
      </c>
    </row>
    <row r="65" spans="1:32" x14ac:dyDescent="0.2">
      <c r="A65" t="str">
        <f t="shared" si="19"/>
        <v>71 Sales occupations</v>
      </c>
      <c r="B65" s="173">
        <f t="shared" ref="B65:F70" si="73">B28/B$35*100</f>
        <v>7.7697641199336296</v>
      </c>
      <c r="C65" s="173">
        <f t="shared" si="73"/>
        <v>6.9257351386341979</v>
      </c>
      <c r="D65" s="173">
        <f t="shared" si="73"/>
        <v>6.7504017605729647</v>
      </c>
      <c r="E65" s="173">
        <f t="shared" si="73"/>
        <v>6.4809825021494429</v>
      </c>
      <c r="F65" s="173">
        <f t="shared" si="73"/>
        <v>6.1428684394285282</v>
      </c>
      <c r="H65" s="68">
        <f t="shared" si="21"/>
        <v>-5.8065740190046684</v>
      </c>
      <c r="I65" s="69">
        <f t="shared" si="22"/>
        <v>45.264968270308543</v>
      </c>
      <c r="J65" s="69">
        <f t="shared" si="23"/>
        <v>39.458394251303872</v>
      </c>
      <c r="L65" t="str">
        <f t="shared" si="24"/>
        <v>71 Sales occupations</v>
      </c>
      <c r="M65" s="173">
        <f t="shared" ref="M65:Q65" si="74">M28/M$35*100</f>
        <v>5.2506260134594243</v>
      </c>
      <c r="N65" s="173">
        <f t="shared" si="74"/>
        <v>5.0094485533680375</v>
      </c>
      <c r="O65" s="173">
        <f t="shared" si="74"/>
        <v>4.917615814970504</v>
      </c>
      <c r="P65" s="173">
        <f t="shared" si="74"/>
        <v>4.7723983099339371</v>
      </c>
      <c r="Q65" s="173">
        <f t="shared" si="74"/>
        <v>4.6392240025872225</v>
      </c>
      <c r="S65" s="68">
        <f t="shared" si="26"/>
        <v>-3.7718968766123262</v>
      </c>
      <c r="T65" s="69">
        <f t="shared" si="27"/>
        <v>32.037747626502032</v>
      </c>
      <c r="U65" s="69">
        <f t="shared" si="28"/>
        <v>28.265850749889708</v>
      </c>
      <c r="W65" t="str">
        <f t="shared" si="29"/>
        <v>71 Sales occupations</v>
      </c>
      <c r="X65" s="173">
        <f t="shared" ref="X65:AB65" si="75">X28/X$35*100</f>
        <v>10.647802777029355</v>
      </c>
      <c r="Y65" s="173">
        <f t="shared" si="75"/>
        <v>8.954454769853653</v>
      </c>
      <c r="Z65" s="173">
        <f t="shared" si="75"/>
        <v>8.7633264417278003</v>
      </c>
      <c r="AA65" s="173">
        <f t="shared" si="75"/>
        <v>8.3392667269093579</v>
      </c>
      <c r="AB65" s="173">
        <f t="shared" si="75"/>
        <v>7.744657585880681</v>
      </c>
      <c r="AD65" s="68">
        <f t="shared" si="31"/>
        <v>-7.0605721587320858</v>
      </c>
      <c r="AE65" s="69">
        <f t="shared" si="32"/>
        <v>53.417077386548648</v>
      </c>
      <c r="AF65" s="69">
        <f t="shared" si="33"/>
        <v>46.356505227816562</v>
      </c>
    </row>
    <row r="66" spans="1:32" x14ac:dyDescent="0.2">
      <c r="A66" t="str">
        <f t="shared" si="19"/>
        <v>72 Customer service occupations</v>
      </c>
      <c r="B66" s="173">
        <f t="shared" si="73"/>
        <v>1.4741772623681069</v>
      </c>
      <c r="C66" s="173">
        <f t="shared" si="73"/>
        <v>1.5281867600292998</v>
      </c>
      <c r="D66" s="173">
        <f t="shared" si="73"/>
        <v>1.5681162090693443</v>
      </c>
      <c r="E66" s="173">
        <f t="shared" si="73"/>
        <v>1.7026864659558514</v>
      </c>
      <c r="F66" s="173">
        <f t="shared" si="73"/>
        <v>1.8362159383651624</v>
      </c>
      <c r="H66" s="68">
        <f t="shared" si="21"/>
        <v>21.206108860740517</v>
      </c>
      <c r="I66" s="69">
        <f t="shared" si="22"/>
        <v>52.438799755274154</v>
      </c>
      <c r="J66" s="69">
        <f t="shared" si="23"/>
        <v>73.644908616014675</v>
      </c>
      <c r="L66" t="str">
        <f t="shared" si="24"/>
        <v>72 Customer service occupations</v>
      </c>
      <c r="M66" s="173">
        <f t="shared" ref="M66:Q66" si="76">M29/M$35*100</f>
        <v>0.93181401891411675</v>
      </c>
      <c r="N66" s="173">
        <f t="shared" si="76"/>
        <v>0.84947131682766519</v>
      </c>
      <c r="O66" s="173">
        <f t="shared" si="76"/>
        <v>0.99594717584813963</v>
      </c>
      <c r="P66" s="173">
        <f t="shared" si="76"/>
        <v>1.2328636796229249</v>
      </c>
      <c r="Q66" s="173">
        <f t="shared" si="76"/>
        <v>1.3700071171165489</v>
      </c>
      <c r="S66" s="68">
        <f t="shared" si="26"/>
        <v>40.312931378076492</v>
      </c>
      <c r="T66" s="69">
        <f t="shared" si="27"/>
        <v>42.446342353877434</v>
      </c>
      <c r="U66" s="69">
        <f t="shared" si="28"/>
        <v>82.759273731953925</v>
      </c>
      <c r="W66" t="str">
        <f t="shared" si="29"/>
        <v>72 Customer service occupations</v>
      </c>
      <c r="X66" s="173">
        <f t="shared" ref="X66:AB66" si="77">X29/X$35*100</f>
        <v>2.0938107698906876</v>
      </c>
      <c r="Y66" s="173">
        <f t="shared" si="77"/>
        <v>2.2467240363541374</v>
      </c>
      <c r="Z66" s="173">
        <f t="shared" si="77"/>
        <v>2.1965219274386456</v>
      </c>
      <c r="AA66" s="173">
        <f t="shared" si="77"/>
        <v>2.2136734435089611</v>
      </c>
      <c r="AB66" s="173">
        <f t="shared" si="77"/>
        <v>2.3328547790109013</v>
      </c>
      <c r="AD66" s="68">
        <f t="shared" si="31"/>
        <v>11.691191737186223</v>
      </c>
      <c r="AE66" s="69">
        <f t="shared" si="32"/>
        <v>57.414896850888752</v>
      </c>
      <c r="AF66" s="69">
        <f t="shared" si="33"/>
        <v>69.106088588074982</v>
      </c>
    </row>
    <row r="67" spans="1:32" x14ac:dyDescent="0.2">
      <c r="A67" t="str">
        <f t="shared" si="19"/>
        <v>81 Process, plant and machine operatives</v>
      </c>
      <c r="B67" s="173">
        <f t="shared" si="73"/>
        <v>4.7084853383054774</v>
      </c>
      <c r="C67" s="173">
        <f t="shared" si="73"/>
        <v>4.4030046776382319</v>
      </c>
      <c r="D67" s="173">
        <f t="shared" si="73"/>
        <v>3.9077264539850933</v>
      </c>
      <c r="E67" s="173">
        <f t="shared" si="73"/>
        <v>3.9344213285146701</v>
      </c>
      <c r="F67" s="173">
        <f t="shared" si="73"/>
        <v>3.5630796067478938</v>
      </c>
      <c r="H67" s="68">
        <f t="shared" si="21"/>
        <v>-5.6199135262783395</v>
      </c>
      <c r="I67" s="69">
        <f t="shared" si="22"/>
        <v>39.547758195586304</v>
      </c>
      <c r="J67" s="69">
        <f t="shared" si="23"/>
        <v>33.927844669307966</v>
      </c>
      <c r="L67" t="str">
        <f t="shared" si="24"/>
        <v>81 Process, plant and machine operatives</v>
      </c>
      <c r="M67" s="173">
        <f t="shared" ref="M67:Q67" si="78">M30/M$35*100</f>
        <v>6.625853641680493</v>
      </c>
      <c r="N67" s="173">
        <f t="shared" si="78"/>
        <v>6.2090177441143171</v>
      </c>
      <c r="O67" s="173">
        <f t="shared" si="78"/>
        <v>5.5819476415192737</v>
      </c>
      <c r="P67" s="173">
        <f t="shared" si="78"/>
        <v>5.4397775001686384</v>
      </c>
      <c r="Q67" s="173">
        <f t="shared" si="78"/>
        <v>4.7233957425883935</v>
      </c>
      <c r="S67" s="68">
        <f t="shared" si="26"/>
        <v>-13.686295932867607</v>
      </c>
      <c r="T67" s="69">
        <f t="shared" si="27"/>
        <v>34.436701452317728</v>
      </c>
      <c r="U67" s="69">
        <f t="shared" si="28"/>
        <v>20.750405519450119</v>
      </c>
      <c r="W67" t="str">
        <f t="shared" si="29"/>
        <v>81 Process, plant and machine operatives</v>
      </c>
      <c r="X67" s="173">
        <f t="shared" ref="X67:AB67" si="79">X30/X$35*100</f>
        <v>2.5179503760414383</v>
      </c>
      <c r="Y67" s="173">
        <f t="shared" si="79"/>
        <v>2.491028572200968</v>
      </c>
      <c r="Z67" s="173">
        <f t="shared" si="79"/>
        <v>2.0689513596070337</v>
      </c>
      <c r="AA67" s="173">
        <f t="shared" si="79"/>
        <v>2.2971712362015548</v>
      </c>
      <c r="AB67" s="173">
        <f t="shared" si="79"/>
        <v>2.3270282189963365</v>
      </c>
      <c r="AD67" s="68">
        <f t="shared" si="31"/>
        <v>18.281856520644006</v>
      </c>
      <c r="AE67" s="69">
        <f t="shared" si="32"/>
        <v>54.692502991541488</v>
      </c>
      <c r="AF67" s="69">
        <f t="shared" si="33"/>
        <v>72.974359512185487</v>
      </c>
    </row>
    <row r="68" spans="1:32" x14ac:dyDescent="0.2">
      <c r="A68" t="str">
        <f t="shared" si="19"/>
        <v>82 Transport and mobile machine drivers and operatives</v>
      </c>
      <c r="B68" s="173">
        <f t="shared" si="73"/>
        <v>4.207257549877002</v>
      </c>
      <c r="C68" s="173">
        <f t="shared" si="73"/>
        <v>4.256962332364207</v>
      </c>
      <c r="D68" s="173">
        <f t="shared" si="73"/>
        <v>4.1585981220058175</v>
      </c>
      <c r="E68" s="173">
        <f t="shared" si="73"/>
        <v>4.0697671829807556</v>
      </c>
      <c r="F68" s="173">
        <f t="shared" si="73"/>
        <v>3.8040883513022075</v>
      </c>
      <c r="H68" s="68">
        <f t="shared" si="21"/>
        <v>-5.3146819657735813</v>
      </c>
      <c r="I68" s="69">
        <f t="shared" si="22"/>
        <v>51.319608594076229</v>
      </c>
      <c r="J68" s="69">
        <f t="shared" si="23"/>
        <v>46.004926628302648</v>
      </c>
      <c r="L68" t="str">
        <f t="shared" si="24"/>
        <v>82 Transport and mobile machine drivers and operatives</v>
      </c>
      <c r="M68" s="173">
        <f t="shared" ref="M68:Q68" si="80">M31/M$35*100</f>
        <v>7.4958582221294145</v>
      </c>
      <c r="N68" s="173">
        <f t="shared" si="80"/>
        <v>7.8557244440907574</v>
      </c>
      <c r="O68" s="173">
        <f t="shared" si="80"/>
        <v>7.5563933286234235</v>
      </c>
      <c r="P68" s="173">
        <f t="shared" si="80"/>
        <v>7.3326940009780808</v>
      </c>
      <c r="Q68" s="173">
        <f t="shared" si="80"/>
        <v>6.864256789853342</v>
      </c>
      <c r="S68" s="68">
        <f t="shared" si="26"/>
        <v>-7.3404588861967808</v>
      </c>
      <c r="T68" s="69">
        <f t="shared" si="27"/>
        <v>50.018201280603115</v>
      </c>
      <c r="U68" s="69">
        <f t="shared" si="28"/>
        <v>42.677742394406337</v>
      </c>
      <c r="W68" t="str">
        <f t="shared" si="29"/>
        <v>82 Transport and mobile machine drivers and operatives</v>
      </c>
      <c r="X68" s="173">
        <f t="shared" ref="X68:AB68" si="81">X31/X$35*100</f>
        <v>0.45013131762755487</v>
      </c>
      <c r="Y68" s="173">
        <f t="shared" si="81"/>
        <v>0.44705237407141157</v>
      </c>
      <c r="Z68" s="173">
        <f t="shared" si="81"/>
        <v>0.42684436793499297</v>
      </c>
      <c r="AA68" s="173">
        <f t="shared" si="81"/>
        <v>0.52095439397322529</v>
      </c>
      <c r="AB68" s="173">
        <f t="shared" si="81"/>
        <v>0.54417897971986329</v>
      </c>
      <c r="AD68" s="68">
        <f t="shared" si="31"/>
        <v>34.072272272909274</v>
      </c>
      <c r="AE68" s="69">
        <f t="shared" si="32"/>
        <v>76.62272552905776</v>
      </c>
      <c r="AF68" s="69">
        <f t="shared" si="33"/>
        <v>110.69499780196705</v>
      </c>
    </row>
    <row r="69" spans="1:32" x14ac:dyDescent="0.2">
      <c r="A69" t="str">
        <f t="shared" si="19"/>
        <v>91 Elementary trades and related occupations</v>
      </c>
      <c r="B69" s="173">
        <f t="shared" si="73"/>
        <v>2.5991948695847467</v>
      </c>
      <c r="C69" s="173">
        <f t="shared" si="73"/>
        <v>2.2469035185548747</v>
      </c>
      <c r="D69" s="173">
        <f t="shared" si="73"/>
        <v>2.0619064886440732</v>
      </c>
      <c r="E69" s="173">
        <f t="shared" si="73"/>
        <v>3.4580749449986974</v>
      </c>
      <c r="F69" s="173">
        <f t="shared" si="73"/>
        <v>3.6256104912547826</v>
      </c>
      <c r="H69" s="68">
        <f t="shared" si="21"/>
        <v>82.008294391614228</v>
      </c>
      <c r="I69" s="69">
        <f t="shared" si="22"/>
        <v>79.386367665026214</v>
      </c>
      <c r="J69" s="69">
        <f t="shared" si="23"/>
        <v>161.39466205664047</v>
      </c>
      <c r="L69" t="str">
        <f t="shared" si="24"/>
        <v>91 Elementary trades and related occupations</v>
      </c>
      <c r="M69" s="173">
        <f t="shared" ref="M69:Q70" si="82">M32/M$35*100</f>
        <v>3.5339806820244499</v>
      </c>
      <c r="N69" s="173">
        <f t="shared" si="82"/>
        <v>3.0936498302846278</v>
      </c>
      <c r="O69" s="173">
        <f t="shared" si="82"/>
        <v>2.9802655060398155</v>
      </c>
      <c r="P69" s="173">
        <f t="shared" si="82"/>
        <v>3.8986884409400049</v>
      </c>
      <c r="Q69" s="173">
        <f t="shared" si="82"/>
        <v>4.0237605048039891</v>
      </c>
      <c r="S69" s="68">
        <f t="shared" si="26"/>
        <v>37.717251378645891</v>
      </c>
      <c r="T69" s="69">
        <f t="shared" si="27"/>
        <v>44.243431538936086</v>
      </c>
      <c r="U69" s="69">
        <f t="shared" si="28"/>
        <v>81.960682917581977</v>
      </c>
      <c r="W69" t="str">
        <f t="shared" si="29"/>
        <v>91 Elementary trades and related occupations</v>
      </c>
      <c r="X69" s="173">
        <f t="shared" ref="X69:AB70" si="83">X32/X$35*100</f>
        <v>1.5312305140808233</v>
      </c>
      <c r="Y69" s="173">
        <f t="shared" si="83"/>
        <v>1.3504766070080219</v>
      </c>
      <c r="Z69" s="173">
        <f t="shared" si="83"/>
        <v>1.0532848671653239</v>
      </c>
      <c r="AA69" s="173">
        <f t="shared" si="83"/>
        <v>2.9788564713323056</v>
      </c>
      <c r="AB69" s="173">
        <f t="shared" si="83"/>
        <v>3.2014727398442107</v>
      </c>
      <c r="AD69" s="68">
        <f t="shared" si="31"/>
        <v>219.64706927464897</v>
      </c>
      <c r="AE69" s="69">
        <f t="shared" si="32"/>
        <v>188.59650012389605</v>
      </c>
      <c r="AF69" s="69">
        <f t="shared" si="33"/>
        <v>408.24356939854499</v>
      </c>
    </row>
    <row r="70" spans="1:32" x14ac:dyDescent="0.2">
      <c r="A70" t="str">
        <f t="shared" si="19"/>
        <v>92 Elementary administration and service occupations</v>
      </c>
      <c r="B70" s="173">
        <f t="shared" si="73"/>
        <v>10.26948096766238</v>
      </c>
      <c r="C70" s="173">
        <f t="shared" si="73"/>
        <v>9.7348629664241564</v>
      </c>
      <c r="D70" s="173">
        <f t="shared" si="73"/>
        <v>8.9818036414817541</v>
      </c>
      <c r="E70" s="173">
        <f t="shared" si="73"/>
        <v>7.850525746036376</v>
      </c>
      <c r="F70" s="173">
        <f t="shared" si="73"/>
        <v>6.934797973361789</v>
      </c>
      <c r="H70" s="68">
        <f t="shared" si="21"/>
        <v>-20.081144182393889</v>
      </c>
      <c r="I70" s="69">
        <f t="shared" si="22"/>
        <v>40.224944572918957</v>
      </c>
      <c r="J70" s="69">
        <f t="shared" si="23"/>
        <v>20.143800390525072</v>
      </c>
      <c r="L70" t="str">
        <f t="shared" si="24"/>
        <v>92 Elementary administration and service occupations</v>
      </c>
      <c r="M70" s="173">
        <f t="shared" si="82"/>
        <v>9.9659584229878089</v>
      </c>
      <c r="N70" s="173">
        <f t="shared" si="82"/>
        <v>9.1876989822764727</v>
      </c>
      <c r="O70" s="173">
        <f t="shared" si="82"/>
        <v>8.6237688780465742</v>
      </c>
      <c r="P70" s="173">
        <f t="shared" si="82"/>
        <v>8.2786039536412339</v>
      </c>
      <c r="Q70" s="173">
        <f t="shared" si="82"/>
        <v>7.4469550152984638</v>
      </c>
      <c r="S70" s="68">
        <f t="shared" si="26"/>
        <v>-11.916857413857752</v>
      </c>
      <c r="T70" s="69">
        <f t="shared" si="27"/>
        <v>36.916907869203904</v>
      </c>
      <c r="U70" s="69">
        <f t="shared" si="28"/>
        <v>25.000050455346145</v>
      </c>
      <c r="W70" t="str">
        <f t="shared" si="29"/>
        <v>92 Elementary administration and service occupations</v>
      </c>
      <c r="X70" s="173">
        <f t="shared" si="83"/>
        <v>10.616246242114212</v>
      </c>
      <c r="Y70" s="173">
        <f t="shared" si="83"/>
        <v>10.314130349847638</v>
      </c>
      <c r="Z70" s="173">
        <f t="shared" si="83"/>
        <v>9.3750285097536601</v>
      </c>
      <c r="AA70" s="173">
        <f t="shared" si="83"/>
        <v>7.3849408578114168</v>
      </c>
      <c r="AB70" s="173">
        <f t="shared" si="83"/>
        <v>6.3892118155221302</v>
      </c>
      <c r="AD70" s="68">
        <f t="shared" si="31"/>
        <v>-28.329331995935895</v>
      </c>
      <c r="AE70" s="69">
        <f t="shared" si="32"/>
        <v>43.566976620529537</v>
      </c>
      <c r="AF70" s="69">
        <f t="shared" si="33"/>
        <v>15.23764462459364</v>
      </c>
    </row>
    <row r="71" spans="1:32" x14ac:dyDescent="0.2">
      <c r="H71" s="68"/>
      <c r="I71" s="69"/>
      <c r="J71" s="69"/>
      <c r="S71" s="68"/>
      <c r="T71" s="69"/>
      <c r="U71" s="69"/>
      <c r="AD71" s="68"/>
      <c r="AE71" s="69"/>
      <c r="AF71" s="69"/>
    </row>
    <row r="72" spans="1:32" x14ac:dyDescent="0.2">
      <c r="A72" s="24" t="str">
        <f>A35</f>
        <v>All occupations</v>
      </c>
      <c r="B72" s="26">
        <f>B35/B$35*100</f>
        <v>100</v>
      </c>
      <c r="C72" s="26">
        <f>C35/C$35*100</f>
        <v>100</v>
      </c>
      <c r="D72" s="26">
        <f>D35/D$35*100</f>
        <v>100</v>
      </c>
      <c r="E72" s="26">
        <f>E35/E$35*100</f>
        <v>100</v>
      </c>
      <c r="F72" s="26">
        <f>F35/F$35*100</f>
        <v>100</v>
      </c>
      <c r="H72" s="70">
        <f>IF(D35&gt;0,(H35/D35)*100,0)</f>
        <v>3.5092115102603039</v>
      </c>
      <c r="I72" s="67">
        <f>IF(D35&gt;0,I35/D35*100,0)</f>
        <v>48.468442157338828</v>
      </c>
      <c r="J72" s="67">
        <f>IF(D35&gt;0,(J35/D35)*100,0)</f>
        <v>51.977653667599121</v>
      </c>
      <c r="L72" s="24" t="str">
        <f>L35</f>
        <v>All occupations</v>
      </c>
      <c r="M72" s="26">
        <f>M35/M$35*100</f>
        <v>100</v>
      </c>
      <c r="N72" s="26">
        <f>N35/N$35*100</f>
        <v>100</v>
      </c>
      <c r="O72" s="26">
        <f>O35/O$35*100</f>
        <v>100</v>
      </c>
      <c r="P72" s="26">
        <f>P35/P$35*100</f>
        <v>100</v>
      </c>
      <c r="Q72" s="26">
        <f>Q35/Q$35*100</f>
        <v>100</v>
      </c>
      <c r="S72" s="70">
        <f t="shared" ref="S72" si="84">IF(O35&gt;0,(S35/O35)*100,0)</f>
        <v>2.0025852384537632</v>
      </c>
      <c r="T72" s="67">
        <f t="shared" ref="T72" si="85">IF(O35&gt;0,T35/O35*100,0)</f>
        <v>40.194535169952992</v>
      </c>
      <c r="U72" s="67">
        <f t="shared" ref="U72" si="86">IF(O35&gt;0,(U35/O35)*100,0)</f>
        <v>42.197120408406789</v>
      </c>
      <c r="W72" s="24" t="str">
        <f>W35</f>
        <v>All occupations</v>
      </c>
      <c r="X72" s="26">
        <f>X35/X$35*100</f>
        <v>100</v>
      </c>
      <c r="Y72" s="26">
        <f>Y35/Y$35*100</f>
        <v>100</v>
      </c>
      <c r="Z72" s="26">
        <f>Z35/Z$35*100</f>
        <v>100</v>
      </c>
      <c r="AA72" s="26">
        <f>AA35/AA$35*100</f>
        <v>100</v>
      </c>
      <c r="AB72" s="26">
        <f>AB35/AB$35*100</f>
        <v>100</v>
      </c>
      <c r="AD72" s="70">
        <f t="shared" ref="AD72" si="87">IF(Z35&gt;0,(AD35/Z35)*100,0)</f>
        <v>5.1639193145580666</v>
      </c>
      <c r="AE72" s="67">
        <f t="shared" ref="AE72" si="88">IF(Z35&gt;0,AE35/Z35*100,0)</f>
        <v>57.555565301451431</v>
      </c>
      <c r="AF72" s="67">
        <f t="shared" ref="AF72" si="89">IF(Z35&gt;0,(AF35/Z35)*100,0)</f>
        <v>62.719484616009503</v>
      </c>
    </row>
    <row r="73" spans="1:32" x14ac:dyDescent="0.2">
      <c r="B73" s="18"/>
      <c r="C73" s="18"/>
      <c r="D73" s="18"/>
      <c r="E73" s="18"/>
      <c r="F73" s="18"/>
      <c r="M73" s="18"/>
      <c r="N73" s="18"/>
      <c r="O73" s="18"/>
      <c r="P73" s="18"/>
      <c r="Q73" s="18"/>
      <c r="X73" s="18"/>
      <c r="Y73" s="18"/>
      <c r="Z73" s="18"/>
      <c r="AA73" s="18"/>
      <c r="AB73" s="18"/>
    </row>
    <row r="74" spans="1:32" x14ac:dyDescent="0.2">
      <c r="B74" s="18"/>
      <c r="C74" s="18"/>
      <c r="D74" s="18"/>
      <c r="E74" s="18"/>
      <c r="F74" s="18"/>
      <c r="M74" s="18"/>
      <c r="N74" s="18"/>
      <c r="O74" s="18"/>
      <c r="P74" s="18"/>
      <c r="Q74" s="18"/>
      <c r="X74" s="18"/>
      <c r="Y74" s="18"/>
      <c r="Z74" s="18"/>
      <c r="AA74" s="18"/>
      <c r="AB74" s="18"/>
    </row>
    <row r="75" spans="1:32" ht="15.75" x14ac:dyDescent="0.25">
      <c r="A75" s="19" t="str">
        <f>CONCATENATE(A$1," (Continued)")</f>
        <v>Occupation Table 2  Employment Change by Occupation (SOC 2020) and Replacement Demand, 2015-2035, Greater Lincolnshire (Continued)</v>
      </c>
      <c r="B75" s="18"/>
      <c r="C75" s="18"/>
      <c r="D75" s="18"/>
      <c r="E75" s="18"/>
      <c r="F75" s="18"/>
      <c r="L75" s="19" t="str">
        <f>CONCATENATE(L$1," (Continued)")</f>
        <v>Occupation Table 2.1  Males: Employment Change by Occupation (SOC 2020) and Replacement Demand, 2015-2035, Greater Lincolnshire (Continued)</v>
      </c>
      <c r="M75" s="18"/>
      <c r="N75" s="18"/>
      <c r="O75" s="18"/>
      <c r="P75" s="18"/>
      <c r="Q75" s="18"/>
      <c r="W75" s="19" t="str">
        <f>CONCATENATE(W$1," (Continued)")</f>
        <v>Occupation Table 2.2  Females: Employment Change by Occupation (SOC 2020) and Replacement Demand, 2015-2035, Greater Lincolnshire (Continued)</v>
      </c>
      <c r="X75" s="18"/>
      <c r="Y75" s="18"/>
      <c r="Z75" s="18"/>
      <c r="AA75" s="18"/>
      <c r="AB75" s="18"/>
    </row>
    <row r="77" spans="1:32" x14ac:dyDescent="0.2">
      <c r="F77" s="16" t="s">
        <v>38</v>
      </c>
      <c r="J77" s="16" t="s">
        <v>38</v>
      </c>
      <c r="Q77" s="16" t="s">
        <v>38</v>
      </c>
      <c r="U77" s="16" t="s">
        <v>38</v>
      </c>
      <c r="AB77" s="16" t="s">
        <v>38</v>
      </c>
      <c r="AF77" s="16" t="s">
        <v>38</v>
      </c>
    </row>
    <row r="78" spans="1:32" x14ac:dyDescent="0.2">
      <c r="A78" s="36"/>
      <c r="B78" s="36"/>
      <c r="C78" s="36"/>
      <c r="D78" s="36"/>
      <c r="E78" s="36"/>
      <c r="F78" s="36"/>
      <c r="H78" s="99" t="str">
        <f>$H$4</f>
        <v>2020-2035</v>
      </c>
      <c r="I78" s="36"/>
      <c r="J78" s="36"/>
      <c r="L78" s="36"/>
      <c r="M78" s="36"/>
      <c r="N78" s="36"/>
      <c r="O78" s="36"/>
      <c r="P78" s="36"/>
      <c r="Q78" s="36"/>
      <c r="S78" s="99" t="str">
        <f>$H$4</f>
        <v>2020-2035</v>
      </c>
      <c r="T78" s="36"/>
      <c r="U78" s="36"/>
      <c r="W78" s="36"/>
      <c r="X78" s="36"/>
      <c r="Y78" s="36"/>
      <c r="Z78" s="36"/>
      <c r="AA78" s="36"/>
      <c r="AB78" s="36"/>
      <c r="AD78" s="99" t="str">
        <f>$H$4</f>
        <v>2020-2035</v>
      </c>
      <c r="AE78" s="36"/>
      <c r="AF78" s="36"/>
    </row>
    <row r="79" spans="1:32" x14ac:dyDescent="0.2">
      <c r="H79" s="16" t="str">
        <f t="shared" ref="H79:J80" si="90">H42</f>
        <v>Net</v>
      </c>
      <c r="I79" s="16" t="str">
        <f t="shared" si="90"/>
        <v>Replacement</v>
      </c>
      <c r="J79" s="16" t="str">
        <f t="shared" si="90"/>
        <v>Total</v>
      </c>
      <c r="S79" s="16" t="str">
        <f t="shared" ref="S79:U79" si="91">S42</f>
        <v>Net</v>
      </c>
      <c r="T79" s="16" t="str">
        <f t="shared" si="91"/>
        <v>Replacement</v>
      </c>
      <c r="U79" s="16" t="str">
        <f t="shared" si="91"/>
        <v>Total</v>
      </c>
      <c r="AD79" s="16" t="str">
        <f t="shared" ref="AD79:AF79" si="92">AD42</f>
        <v>Net</v>
      </c>
      <c r="AE79" s="16" t="str">
        <f t="shared" si="92"/>
        <v>Replacement</v>
      </c>
      <c r="AF79" s="16" t="str">
        <f t="shared" si="92"/>
        <v>Total</v>
      </c>
    </row>
    <row r="80" spans="1:32" x14ac:dyDescent="0.2">
      <c r="A80" s="41" t="s">
        <v>39</v>
      </c>
      <c r="B80" s="64" t="str">
        <f>CONCATENATE(B$6,"-",C$6)</f>
        <v>2015-2019</v>
      </c>
      <c r="C80" s="64" t="str">
        <f>CONCATENATE(C$6,"-",D$6)</f>
        <v>2019-2020</v>
      </c>
      <c r="D80" s="64" t="str">
        <f>CONCATENATE(D$6,"-",E$6)</f>
        <v>2020-2025</v>
      </c>
      <c r="E80" s="64" t="str">
        <f>CONCATENATE(E$6,"-",F$6)</f>
        <v>2025-2035</v>
      </c>
      <c r="F80" s="64" t="str">
        <f>CONCATENATE(D$6,"-",F$6)</f>
        <v>2020-2035</v>
      </c>
      <c r="H80" s="63" t="str">
        <f t="shared" si="90"/>
        <v>Change</v>
      </c>
      <c r="I80" s="63" t="str">
        <f t="shared" si="90"/>
        <v>Demand</v>
      </c>
      <c r="J80" s="63" t="str">
        <f t="shared" si="90"/>
        <v>Requirement</v>
      </c>
      <c r="L80" s="41" t="s">
        <v>39</v>
      </c>
      <c r="M80" s="64" t="str">
        <f>CONCATENATE(M$6,"-",N$6)</f>
        <v>2015-2019</v>
      </c>
      <c r="N80" s="64" t="str">
        <f>CONCATENATE(N$6,"-",O$6)</f>
        <v>2019-2020</v>
      </c>
      <c r="O80" s="64" t="str">
        <f>CONCATENATE(O$6,"-",P$6)</f>
        <v>2020-2025</v>
      </c>
      <c r="P80" s="64" t="str">
        <f>CONCATENATE(P$6,"-",Q$6)</f>
        <v>2025-2035</v>
      </c>
      <c r="Q80" s="64" t="str">
        <f>CONCATENATE(O$6,"-",Q$6)</f>
        <v>2020-2035</v>
      </c>
      <c r="S80" s="63" t="str">
        <f t="shared" ref="S80:U80" si="93">S43</f>
        <v>Change</v>
      </c>
      <c r="T80" s="63" t="str">
        <f t="shared" si="93"/>
        <v>Demand</v>
      </c>
      <c r="U80" s="63" t="str">
        <f t="shared" si="93"/>
        <v>Requirement</v>
      </c>
      <c r="W80" s="41" t="s">
        <v>39</v>
      </c>
      <c r="X80" s="64" t="str">
        <f>CONCATENATE(X$6,"-",Y$6)</f>
        <v>2015-2019</v>
      </c>
      <c r="Y80" s="64" t="str">
        <f>CONCATENATE(Y$6,"-",Z$6)</f>
        <v>2019-2020</v>
      </c>
      <c r="Z80" s="64" t="str">
        <f>CONCATENATE(Z$6,"-",AA$6)</f>
        <v>2020-2025</v>
      </c>
      <c r="AA80" s="64" t="str">
        <f>CONCATENATE(AA$6,"-",AB$6)</f>
        <v>2025-2035</v>
      </c>
      <c r="AB80" s="64" t="str">
        <f>CONCATENATE(Z$6,"-",AB$6)</f>
        <v>2020-2035</v>
      </c>
      <c r="AD80" s="63" t="str">
        <f t="shared" ref="AD80:AF80" si="94">AD43</f>
        <v>Change</v>
      </c>
      <c r="AE80" s="63" t="str">
        <f t="shared" si="94"/>
        <v>Demand</v>
      </c>
      <c r="AF80" s="63" t="str">
        <f t="shared" si="94"/>
        <v>Requirement</v>
      </c>
    </row>
    <row r="82" spans="1:32" x14ac:dyDescent="0.2">
      <c r="A82" t="str">
        <f t="shared" ref="A82:A107" si="95">A8</f>
        <v>11 Corporate managers and directors</v>
      </c>
      <c r="B82" s="18">
        <f>IF(AND(C$6-B$6 &lt;&gt; 0,B8&lt;&gt;0,C8&lt;&gt;0),(EXP(LN(C8/B8)/(C$6-B$6))-1)*100,0)</f>
        <v>4.0365706888637165</v>
      </c>
      <c r="C82" s="18">
        <f t="shared" ref="B82:E107" si="96">IF(AND(D$6-C$6 &lt;&gt; 0,C8&lt;&gt;0,D8&lt;&gt;0),(EXP(LN(D8/C8)/(D$6-C$6))-1)*100,0)</f>
        <v>5.2206920341773211</v>
      </c>
      <c r="D82" s="18">
        <f t="shared" si="96"/>
        <v>-2.2622845385892099</v>
      </c>
      <c r="E82" s="18">
        <f t="shared" si="96"/>
        <v>0.73276333128133864</v>
      </c>
      <c r="F82" s="18">
        <f t="shared" ref="F82:F107" si="97">IF(AND(F$6-D$6 &lt;&gt; 0,D8&lt;&gt;0,F8&lt;&gt;0),(EXP(LN(F8/D8)/(F$6-D$6))-1)*100,0)</f>
        <v>-0.27564721899374645</v>
      </c>
      <c r="H82" s="18">
        <f t="shared" ref="H82:H107" si="98">IF($F$6-$D$6 &lt;&gt; 0,(EXP(LN(1+(H45/100))/($F$6-$D$6))-1)*100,0)</f>
        <v>-0.27564721899374645</v>
      </c>
      <c r="I82" s="18">
        <f t="shared" ref="I82:I107" si="99">IF(D8&gt;0,((1+(I8/D8))^(1/($F$6-$D$6))-1)*100,0)</f>
        <v>2.5844860955560378</v>
      </c>
      <c r="J82" s="18">
        <f t="shared" ref="J82:J107" si="100">IF($F$6-$D$6 &lt;&gt; 0,(EXP(LN(1+(J45/100))/($F$6-$D$6))-1)*100,0)</f>
        <v>2.392831056811473</v>
      </c>
      <c r="L82" t="str">
        <f t="shared" ref="L82:L107" si="101">L8</f>
        <v>11 Corporate managers and directors</v>
      </c>
      <c r="M82" s="18">
        <f t="shared" ref="M82:P107" si="102">IF(AND(N$6-M$6 &lt;&gt; 0,M8&lt;&gt;0,N8&lt;&gt;0),(EXP(LN(N8/M8)/(N$6-M$6))-1)*100,0)</f>
        <v>2.6875779273170197</v>
      </c>
      <c r="N82" s="18">
        <f t="shared" si="102"/>
        <v>6.209825556309978</v>
      </c>
      <c r="O82" s="18">
        <f t="shared" si="102"/>
        <v>-3.0244013763354394</v>
      </c>
      <c r="P82" s="18">
        <f t="shared" si="102"/>
        <v>0.31950351948284439</v>
      </c>
      <c r="Q82" s="18">
        <f t="shared" ref="Q82:Q107" si="103">IF(AND(Q$6-O$6 &lt;&gt; 0,O8&lt;&gt;0,Q8&lt;&gt;0),(EXP(LN(Q8/O8)/(Q$6-O$6))-1)*100,0)</f>
        <v>-0.80775054995531059</v>
      </c>
      <c r="S82" s="18">
        <f t="shared" ref="S82:S107" si="104">IF($F$6-$D$6 &lt;&gt; 0,(EXP(LN(1+(S45/100))/($F$6-$D$6))-1)*100,0)</f>
        <v>-0.80775054995531059</v>
      </c>
      <c r="T82" s="18">
        <f t="shared" ref="T82:T107" si="105">IF(O8&gt;0,((1+(T8/O8))^(1/($F$6-$D$6))-1)*100,0)</f>
        <v>2.3003604739237682</v>
      </c>
      <c r="U82" s="18">
        <f t="shared" ref="U82:U107" si="106">IF($F$6-$D$6 &lt;&gt; 0,(EXP(LN(1+(U45/100))/($F$6-$D$6))-1)*100,0)</f>
        <v>1.7226721728095029</v>
      </c>
      <c r="W82" t="str">
        <f t="shared" ref="W82:W107" si="107">W8</f>
        <v>11 Corporate managers and directors</v>
      </c>
      <c r="X82" s="18">
        <f t="shared" ref="X82:AA107" si="108">IF(AND(Y$6-X$6 &lt;&gt; 0,X8&lt;&gt;0,Y8&lt;&gt;0),(EXP(LN(Y8/X8)/(Y$6-X$6))-1)*100,0)</f>
        <v>7.2963450743383618</v>
      </c>
      <c r="Y82" s="18">
        <f t="shared" si="108"/>
        <v>3.0779129677837025</v>
      </c>
      <c r="Z82" s="18">
        <f t="shared" si="108"/>
        <v>-0.64207116627416072</v>
      </c>
      <c r="AA82" s="18">
        <f t="shared" si="108"/>
        <v>1.5075138326312576</v>
      </c>
      <c r="AB82" s="18">
        <f t="shared" ref="AB82:AB107" si="109">IF(AND(AB$6-Z$6 &lt;&gt; 0,Z8&lt;&gt;0,AB8&lt;&gt;0),(EXP(LN(AB8/Z8)/(AB$6-Z$6))-1)*100,0)</f>
        <v>0.78586726118470285</v>
      </c>
      <c r="AD82" s="18">
        <f t="shared" ref="AD82:AD107" si="110">IF($F$6-$D$6 &lt;&gt; 0,(EXP(LN(1+(AD45/100))/($F$6-$D$6))-1)*100,0)</f>
        <v>0.78586726118470285</v>
      </c>
      <c r="AE82" s="18">
        <f t="shared" ref="AE82:AE107" si="111">IF(Z8&gt;0,((1+(AE8/Z8))^(1/($F$6-$D$6))-1)*100,0)</f>
        <v>3.1815917615369838</v>
      </c>
      <c r="AF82" s="18">
        <f t="shared" ref="AF82:AF107" si="112">IF($F$6-$D$6 &lt;&gt; 0,(EXP(LN(1+(AF45/100))/($F$6-$D$6))-1)*100,0)</f>
        <v>3.6987960462085079</v>
      </c>
    </row>
    <row r="83" spans="1:32" x14ac:dyDescent="0.2">
      <c r="A83" t="str">
        <f t="shared" si="95"/>
        <v>12 Other managers and proprietors</v>
      </c>
      <c r="B83" s="18">
        <f t="shared" si="96"/>
        <v>2.0337823840923752</v>
      </c>
      <c r="C83" s="18">
        <f t="shared" si="96"/>
        <v>5.0151018510186107</v>
      </c>
      <c r="D83" s="18">
        <f t="shared" si="96"/>
        <v>0.57115225797017555</v>
      </c>
      <c r="E83" s="18">
        <f t="shared" si="96"/>
        <v>1.0710622473825593</v>
      </c>
      <c r="F83" s="18">
        <f t="shared" si="97"/>
        <v>0.90415009162645443</v>
      </c>
      <c r="H83" s="18">
        <f t="shared" si="98"/>
        <v>0.90415009162645443</v>
      </c>
      <c r="I83" s="18">
        <f t="shared" si="99"/>
        <v>3.0156650768578208</v>
      </c>
      <c r="J83" s="18">
        <f t="shared" si="100"/>
        <v>3.6254854552310256</v>
      </c>
      <c r="L83" t="str">
        <f t="shared" si="101"/>
        <v>12 Other managers and proprietors</v>
      </c>
      <c r="M83" s="18">
        <f t="shared" si="102"/>
        <v>1.2040834822445889</v>
      </c>
      <c r="N83" s="18">
        <f t="shared" si="102"/>
        <v>8.0406348103915448</v>
      </c>
      <c r="O83" s="18">
        <f t="shared" si="102"/>
        <v>2.0943316059346406</v>
      </c>
      <c r="P83" s="18">
        <f t="shared" si="102"/>
        <v>1.1564327038583899</v>
      </c>
      <c r="Q83" s="18">
        <f t="shared" si="103"/>
        <v>1.4681043976047636</v>
      </c>
      <c r="S83" s="18">
        <f t="shared" si="104"/>
        <v>1.4681043976047636</v>
      </c>
      <c r="T83" s="18">
        <f t="shared" si="105"/>
        <v>2.9844264750495064</v>
      </c>
      <c r="U83" s="18">
        <f t="shared" si="106"/>
        <v>3.9917030910680662</v>
      </c>
      <c r="W83" t="str">
        <f t="shared" si="107"/>
        <v>12 Other managers and proprietors</v>
      </c>
      <c r="X83" s="18">
        <f t="shared" si="108"/>
        <v>3.4608823065275462</v>
      </c>
      <c r="Y83" s="18">
        <f t="shared" si="108"/>
        <v>8.9892775398880964E-2</v>
      </c>
      <c r="Z83" s="18">
        <f t="shared" si="108"/>
        <v>-2.3528304517997256</v>
      </c>
      <c r="AA83" s="18">
        <f t="shared" si="108"/>
        <v>0.88132421744742118</v>
      </c>
      <c r="AB83" s="18">
        <f t="shared" si="109"/>
        <v>-0.20845743448459908</v>
      </c>
      <c r="AD83" s="18">
        <f t="shared" si="110"/>
        <v>-0.20845743448459908</v>
      </c>
      <c r="AE83" s="18">
        <f t="shared" si="111"/>
        <v>3.0702381531369616</v>
      </c>
      <c r="AF83" s="18">
        <f t="shared" si="112"/>
        <v>2.9344613379520101</v>
      </c>
    </row>
    <row r="84" spans="1:32" x14ac:dyDescent="0.2">
      <c r="A84" t="str">
        <f t="shared" si="95"/>
        <v>21 Science, research, engineering and technology professionals</v>
      </c>
      <c r="B84" s="18">
        <f t="shared" si="96"/>
        <v>3.0161035955746485</v>
      </c>
      <c r="C84" s="18">
        <f t="shared" si="96"/>
        <v>7.2257359932127452</v>
      </c>
      <c r="D84" s="18">
        <f t="shared" si="96"/>
        <v>4.1943220455676666</v>
      </c>
      <c r="E84" s="18">
        <f t="shared" si="96"/>
        <v>1.388249134046049</v>
      </c>
      <c r="F84" s="18">
        <f t="shared" si="97"/>
        <v>2.3151079070570457</v>
      </c>
      <c r="H84" s="18">
        <f t="shared" si="98"/>
        <v>2.3151079070570457</v>
      </c>
      <c r="I84" s="18">
        <f t="shared" si="99"/>
        <v>2.5610131286073257</v>
      </c>
      <c r="J84" s="18">
        <f t="shared" si="100"/>
        <v>4.2645043434900609</v>
      </c>
      <c r="L84" t="str">
        <f t="shared" si="101"/>
        <v>21 Science, research, engineering and technology professionals</v>
      </c>
      <c r="M84" s="18">
        <f t="shared" si="102"/>
        <v>3.0127975386902817</v>
      </c>
      <c r="N84" s="18">
        <f t="shared" si="102"/>
        <v>3.5889116782392261</v>
      </c>
      <c r="O84" s="18">
        <f t="shared" si="102"/>
        <v>3.6685302236710404</v>
      </c>
      <c r="P84" s="18">
        <f t="shared" si="102"/>
        <v>1.194844049629662</v>
      </c>
      <c r="Q84" s="18">
        <f t="shared" si="103"/>
        <v>2.012777143044775</v>
      </c>
      <c r="S84" s="18">
        <f t="shared" si="104"/>
        <v>2.012777143044775</v>
      </c>
      <c r="T84" s="18">
        <f t="shared" si="105"/>
        <v>2.2598830574337203</v>
      </c>
      <c r="U84" s="18">
        <f t="shared" si="106"/>
        <v>3.7879081567176121</v>
      </c>
      <c r="W84" t="str">
        <f t="shared" si="107"/>
        <v>21 Science, research, engineering and technology professionals</v>
      </c>
      <c r="X84" s="18">
        <f t="shared" si="108"/>
        <v>3.0321385286248725</v>
      </c>
      <c r="Y84" s="18">
        <f t="shared" si="108"/>
        <v>24.856670251788948</v>
      </c>
      <c r="Z84" s="18">
        <f t="shared" si="108"/>
        <v>6.2084900281528688</v>
      </c>
      <c r="AA84" s="18">
        <f t="shared" si="108"/>
        <v>2.0517061465237685</v>
      </c>
      <c r="AB84" s="18">
        <f t="shared" si="109"/>
        <v>3.4189025186742272</v>
      </c>
      <c r="AD84" s="18">
        <f t="shared" si="110"/>
        <v>3.4189025186742272</v>
      </c>
      <c r="AE84" s="18">
        <f t="shared" si="111"/>
        <v>3.6610571036220785</v>
      </c>
      <c r="AF84" s="18">
        <f t="shared" si="112"/>
        <v>5.923213155800644</v>
      </c>
    </row>
    <row r="85" spans="1:32" x14ac:dyDescent="0.2">
      <c r="A85" t="str">
        <f t="shared" si="95"/>
        <v>22 Health professionals</v>
      </c>
      <c r="B85" s="18">
        <f t="shared" si="96"/>
        <v>3.5255825935990526</v>
      </c>
      <c r="C85" s="18">
        <f t="shared" si="96"/>
        <v>0.95139402477424362</v>
      </c>
      <c r="D85" s="18">
        <f t="shared" si="96"/>
        <v>-0.43511252438230841</v>
      </c>
      <c r="E85" s="18">
        <f t="shared" si="96"/>
        <v>0.66011863168748963</v>
      </c>
      <c r="F85" s="18">
        <f t="shared" si="97"/>
        <v>0.29370944541005084</v>
      </c>
      <c r="H85" s="18">
        <f t="shared" si="98"/>
        <v>0.29370944541005084</v>
      </c>
      <c r="I85" s="18">
        <f t="shared" si="99"/>
        <v>2.8402562571798073</v>
      </c>
      <c r="J85" s="18">
        <f t="shared" si="100"/>
        <v>3.0400894930770805</v>
      </c>
      <c r="L85" t="str">
        <f t="shared" si="101"/>
        <v>22 Health professionals</v>
      </c>
      <c r="M85" s="18">
        <f t="shared" si="102"/>
        <v>1.6095232970980033</v>
      </c>
      <c r="N85" s="18">
        <f t="shared" si="102"/>
        <v>13.577672329973423</v>
      </c>
      <c r="O85" s="18">
        <f t="shared" si="102"/>
        <v>-0.48638030977483648</v>
      </c>
      <c r="P85" s="18">
        <f t="shared" si="102"/>
        <v>0.5650295176837572</v>
      </c>
      <c r="Q85" s="18">
        <f t="shared" si="103"/>
        <v>0.21333104051954876</v>
      </c>
      <c r="S85" s="18">
        <f t="shared" si="104"/>
        <v>0.21333104051954876</v>
      </c>
      <c r="T85" s="18">
        <f t="shared" si="105"/>
        <v>2.1560285219160535</v>
      </c>
      <c r="U85" s="18">
        <f t="shared" si="106"/>
        <v>2.3149271523254189</v>
      </c>
      <c r="W85" t="str">
        <f t="shared" si="107"/>
        <v>22 Health professionals</v>
      </c>
      <c r="X85" s="18">
        <f t="shared" si="108"/>
        <v>4.1714780612729374</v>
      </c>
      <c r="Y85" s="18">
        <f t="shared" si="108"/>
        <v>-3.0472099491224092</v>
      </c>
      <c r="Z85" s="18">
        <f t="shared" si="108"/>
        <v>-0.41611936118407522</v>
      </c>
      <c r="AA85" s="18">
        <f t="shared" si="108"/>
        <v>0.69506803744785461</v>
      </c>
      <c r="AB85" s="18">
        <f t="shared" si="109"/>
        <v>0.32330136272700205</v>
      </c>
      <c r="AD85" s="18">
        <f t="shared" si="110"/>
        <v>0.32330136272700205</v>
      </c>
      <c r="AE85" s="18">
        <f t="shared" si="111"/>
        <v>3.0787025848469485</v>
      </c>
      <c r="AF85" s="18">
        <f t="shared" si="112"/>
        <v>3.2919081122076532</v>
      </c>
    </row>
    <row r="86" spans="1:32" x14ac:dyDescent="0.2">
      <c r="A86" t="str">
        <f t="shared" si="95"/>
        <v>23 Teaching and other educational professionals</v>
      </c>
      <c r="B86" s="18">
        <f t="shared" si="96"/>
        <v>0.43128215640870771</v>
      </c>
      <c r="C86" s="18">
        <f t="shared" si="96"/>
        <v>4.574327859139049</v>
      </c>
      <c r="D86" s="18">
        <f t="shared" si="96"/>
        <v>-1.4799319624908769</v>
      </c>
      <c r="E86" s="18">
        <f t="shared" si="96"/>
        <v>0.28872648789199928</v>
      </c>
      <c r="F86" s="18">
        <f t="shared" si="97"/>
        <v>-0.30432640784666676</v>
      </c>
      <c r="H86" s="18">
        <f t="shared" si="98"/>
        <v>-0.30432640784666676</v>
      </c>
      <c r="I86" s="18">
        <f t="shared" si="99"/>
        <v>2.5359558288818862</v>
      </c>
      <c r="J86" s="18">
        <f t="shared" si="100"/>
        <v>2.3230705002196705</v>
      </c>
      <c r="L86" t="str">
        <f t="shared" si="101"/>
        <v>23 Teaching and other educational professionals</v>
      </c>
      <c r="M86" s="18">
        <f t="shared" si="102"/>
        <v>-1.7659585922889742</v>
      </c>
      <c r="N86" s="18">
        <f t="shared" si="102"/>
        <v>4.5995929540458169</v>
      </c>
      <c r="O86" s="18">
        <f t="shared" si="102"/>
        <v>-0.51033100464339398</v>
      </c>
      <c r="P86" s="18">
        <f t="shared" si="102"/>
        <v>0.30158674367100069</v>
      </c>
      <c r="Q86" s="18">
        <f t="shared" si="103"/>
        <v>3.0213938702061682E-2</v>
      </c>
      <c r="S86" s="18">
        <f t="shared" si="104"/>
        <v>3.0213938702061682E-2</v>
      </c>
      <c r="T86" s="18">
        <f t="shared" si="105"/>
        <v>2.3342397856866537</v>
      </c>
      <c r="U86" s="18">
        <f t="shared" si="106"/>
        <v>2.3561265841689938</v>
      </c>
      <c r="W86" t="str">
        <f t="shared" si="107"/>
        <v>23 Teaching and other educational professionals</v>
      </c>
      <c r="X86" s="18">
        <f t="shared" si="108"/>
        <v>1.8408404650196886</v>
      </c>
      <c r="Y86" s="18">
        <f t="shared" si="108"/>
        <v>4.5595198613947563</v>
      </c>
      <c r="Z86" s="18">
        <f t="shared" si="108"/>
        <v>-2.0666859947159222</v>
      </c>
      <c r="AA86" s="18">
        <f t="shared" si="108"/>
        <v>0.28055993351647768</v>
      </c>
      <c r="AB86" s="18">
        <f t="shared" si="109"/>
        <v>-0.50804062931540939</v>
      </c>
      <c r="AD86" s="18">
        <f t="shared" si="110"/>
        <v>-0.50804062931540939</v>
      </c>
      <c r="AE86" s="18">
        <f t="shared" si="111"/>
        <v>2.6516940352769858</v>
      </c>
      <c r="AF86" s="18">
        <f t="shared" si="112"/>
        <v>2.3036189858610223</v>
      </c>
    </row>
    <row r="87" spans="1:32" x14ac:dyDescent="0.2">
      <c r="A87" t="str">
        <f t="shared" si="95"/>
        <v>24 Business, media and public service professionals</v>
      </c>
      <c r="B87" s="18">
        <f t="shared" si="96"/>
        <v>3.7213942972073921</v>
      </c>
      <c r="C87" s="18">
        <f t="shared" si="96"/>
        <v>14.199389229641323</v>
      </c>
      <c r="D87" s="18">
        <f t="shared" si="96"/>
        <v>0.72102307347332584</v>
      </c>
      <c r="E87" s="18">
        <f t="shared" si="96"/>
        <v>1.1078975066129981</v>
      </c>
      <c r="F87" s="18">
        <f t="shared" si="97"/>
        <v>0.97877453193280228</v>
      </c>
      <c r="H87" s="18">
        <f t="shared" si="98"/>
        <v>0.97877453193280228</v>
      </c>
      <c r="I87" s="18">
        <f t="shared" si="99"/>
        <v>2.7867230860872727</v>
      </c>
      <c r="J87" s="18">
        <f t="shared" si="100"/>
        <v>3.4679636354908894</v>
      </c>
      <c r="L87" t="str">
        <f t="shared" si="101"/>
        <v>24 Business, media and public service professionals</v>
      </c>
      <c r="M87" s="18">
        <f t="shared" si="102"/>
        <v>1.568581508205491</v>
      </c>
      <c r="N87" s="18">
        <f t="shared" si="102"/>
        <v>13.034656604939588</v>
      </c>
      <c r="O87" s="18">
        <f t="shared" si="102"/>
        <v>0.89317197118508052</v>
      </c>
      <c r="P87" s="18">
        <f t="shared" si="102"/>
        <v>0.82392196300966614</v>
      </c>
      <c r="Q87" s="18">
        <f t="shared" si="103"/>
        <v>0.84700001622290966</v>
      </c>
      <c r="S87" s="18">
        <f t="shared" si="104"/>
        <v>0.84700001622290966</v>
      </c>
      <c r="T87" s="18">
        <f t="shared" si="105"/>
        <v>2.4919633703005095</v>
      </c>
      <c r="U87" s="18">
        <f t="shared" si="106"/>
        <v>3.1028303981802674</v>
      </c>
      <c r="W87" t="str">
        <f t="shared" si="107"/>
        <v>24 Business, media and public service professionals</v>
      </c>
      <c r="X87" s="18">
        <f t="shared" si="108"/>
        <v>6.565034421610183</v>
      </c>
      <c r="Y87" s="18">
        <f t="shared" si="108"/>
        <v>15.564083593502986</v>
      </c>
      <c r="Z87" s="18">
        <f t="shared" si="108"/>
        <v>0.52227604662617999</v>
      </c>
      <c r="AA87" s="18">
        <f t="shared" si="108"/>
        <v>1.4305600633725879</v>
      </c>
      <c r="AB87" s="18">
        <f t="shared" si="109"/>
        <v>1.1268904855024964</v>
      </c>
      <c r="AD87" s="18">
        <f t="shared" si="110"/>
        <v>1.1268904855024964</v>
      </c>
      <c r="AE87" s="18">
        <f t="shared" si="111"/>
        <v>3.1105889369508644</v>
      </c>
      <c r="AF87" s="18">
        <f t="shared" si="112"/>
        <v>3.8653737808360011</v>
      </c>
    </row>
    <row r="88" spans="1:32" x14ac:dyDescent="0.2">
      <c r="A88" t="str">
        <f t="shared" si="95"/>
        <v>31 Science, engineering and technology associate professionals</v>
      </c>
      <c r="B88" s="18">
        <f t="shared" si="96"/>
        <v>3.5654436718260962</v>
      </c>
      <c r="C88" s="18">
        <f t="shared" si="96"/>
        <v>12.654841497882874</v>
      </c>
      <c r="D88" s="18">
        <f t="shared" si="96"/>
        <v>-1.5235499816016351</v>
      </c>
      <c r="E88" s="18">
        <f t="shared" si="96"/>
        <v>0.71900691308379727</v>
      </c>
      <c r="F88" s="18">
        <f t="shared" si="97"/>
        <v>-3.4129669856530764E-2</v>
      </c>
      <c r="H88" s="18">
        <f t="shared" si="98"/>
        <v>-3.4129669856530764E-2</v>
      </c>
      <c r="I88" s="18">
        <f t="shared" si="99"/>
        <v>2.1685624242184343</v>
      </c>
      <c r="J88" s="18">
        <f t="shared" si="100"/>
        <v>2.1433041148797738</v>
      </c>
      <c r="L88" t="str">
        <f t="shared" si="101"/>
        <v>31 Science, engineering and technology associate professionals</v>
      </c>
      <c r="M88" s="18">
        <f t="shared" si="102"/>
        <v>4.2138498520206014</v>
      </c>
      <c r="N88" s="18">
        <f t="shared" si="102"/>
        <v>9.5473085599276697</v>
      </c>
      <c r="O88" s="18">
        <f t="shared" si="102"/>
        <v>-2.4886754528437471</v>
      </c>
      <c r="P88" s="18">
        <f t="shared" si="102"/>
        <v>0.33569420659582683</v>
      </c>
      <c r="Q88" s="18">
        <f t="shared" si="103"/>
        <v>-0.61473688987717656</v>
      </c>
      <c r="S88" s="18">
        <f t="shared" si="104"/>
        <v>-0.61473688987717656</v>
      </c>
      <c r="T88" s="18">
        <f t="shared" si="105"/>
        <v>1.8739925747344177</v>
      </c>
      <c r="U88" s="18">
        <f t="shared" si="106"/>
        <v>1.405015404587151</v>
      </c>
      <c r="W88" t="str">
        <f t="shared" si="107"/>
        <v>31 Science, engineering and technology associate professionals</v>
      </c>
      <c r="X88" s="18">
        <f t="shared" si="108"/>
        <v>1.5734434810859899</v>
      </c>
      <c r="Y88" s="18">
        <f t="shared" si="108"/>
        <v>22.836368940948937</v>
      </c>
      <c r="Z88" s="18">
        <f t="shared" si="108"/>
        <v>1.0983722628734149</v>
      </c>
      <c r="AA88" s="18">
        <f t="shared" si="108"/>
        <v>1.6023936969165931</v>
      </c>
      <c r="AB88" s="18">
        <f t="shared" si="109"/>
        <v>1.4341079716961636</v>
      </c>
      <c r="AD88" s="18">
        <f t="shared" si="110"/>
        <v>1.4341079716961636</v>
      </c>
      <c r="AE88" s="18">
        <f t="shared" si="111"/>
        <v>2.9669378546749225</v>
      </c>
      <c r="AF88" s="18">
        <f t="shared" si="112"/>
        <v>3.9523099615305313</v>
      </c>
    </row>
    <row r="89" spans="1:32" x14ac:dyDescent="0.2">
      <c r="A89" t="str">
        <f t="shared" si="95"/>
        <v>32 Health and social care associate professionals</v>
      </c>
      <c r="B89" s="18">
        <f t="shared" si="96"/>
        <v>3.2075564227700859</v>
      </c>
      <c r="C89" s="18">
        <f t="shared" si="96"/>
        <v>2.2093306315429828</v>
      </c>
      <c r="D89" s="18">
        <f t="shared" si="96"/>
        <v>9.4989198728200108</v>
      </c>
      <c r="E89" s="18">
        <f t="shared" si="96"/>
        <v>1.6144053157249205</v>
      </c>
      <c r="F89" s="18">
        <f t="shared" si="97"/>
        <v>4.1773881525108081</v>
      </c>
      <c r="H89" s="18">
        <f t="shared" si="98"/>
        <v>4.1773881525108081</v>
      </c>
      <c r="I89" s="18">
        <f t="shared" si="99"/>
        <v>4.4660935040082173</v>
      </c>
      <c r="J89" s="18">
        <f t="shared" si="100"/>
        <v>7.037211823061984</v>
      </c>
      <c r="L89" t="str">
        <f t="shared" si="101"/>
        <v>32 Health and social care associate professionals</v>
      </c>
      <c r="M89" s="18">
        <f t="shared" si="102"/>
        <v>5.4877256553220732E-2</v>
      </c>
      <c r="N89" s="18">
        <f t="shared" si="102"/>
        <v>13.501676750812353</v>
      </c>
      <c r="O89" s="18">
        <f t="shared" si="102"/>
        <v>5.7900789417394849</v>
      </c>
      <c r="P89" s="18">
        <f t="shared" si="102"/>
        <v>1.2527062008337086</v>
      </c>
      <c r="Q89" s="18">
        <f>IF(AND(Q$6-O$6 &lt;&gt; 0,O15&lt;&gt;0,Q15&lt;&gt;0),(EXP(LN(Q15/O15)/(Q$6-O$6))-1)*100,0)</f>
        <v>2.7431176984470174</v>
      </c>
      <c r="S89" s="18">
        <f t="shared" si="104"/>
        <v>2.7431176984470174</v>
      </c>
      <c r="T89" s="18">
        <f t="shared" si="105"/>
        <v>3.3544939593474155</v>
      </c>
      <c r="U89" s="18">
        <f t="shared" si="106"/>
        <v>5.2063271262722255</v>
      </c>
      <c r="W89" t="str">
        <f t="shared" si="107"/>
        <v>32 Health and social care associate professionals</v>
      </c>
      <c r="X89" s="18">
        <f t="shared" si="108"/>
        <v>4.0194988025465728</v>
      </c>
      <c r="Y89" s="18">
        <f t="shared" si="108"/>
        <v>-0.42817772904072404</v>
      </c>
      <c r="Z89" s="18">
        <f t="shared" si="108"/>
        <v>10.406531349778291</v>
      </c>
      <c r="AA89" s="18">
        <f t="shared" si="108"/>
        <v>1.6906939792219244</v>
      </c>
      <c r="AB89" s="18">
        <f t="shared" si="109"/>
        <v>4.5167097409388068</v>
      </c>
      <c r="AD89" s="18">
        <f t="shared" si="110"/>
        <v>4.5167097409388068</v>
      </c>
      <c r="AE89" s="18">
        <f t="shared" si="111"/>
        <v>4.7360494305463074</v>
      </c>
      <c r="AF89" s="18">
        <f t="shared" si="112"/>
        <v>7.4586021052241547</v>
      </c>
    </row>
    <row r="90" spans="1:32" x14ac:dyDescent="0.2">
      <c r="A90" t="str">
        <f t="shared" si="95"/>
        <v>33 Protective service occupations</v>
      </c>
      <c r="B90" s="18">
        <f t="shared" si="96"/>
        <v>-5.8648711108777452E-2</v>
      </c>
      <c r="C90" s="18">
        <f t="shared" si="96"/>
        <v>5.190281070774172</v>
      </c>
      <c r="D90" s="18">
        <f t="shared" si="96"/>
        <v>-2.8844923690450996</v>
      </c>
      <c r="E90" s="18">
        <f t="shared" si="96"/>
        <v>0.55317295100143493</v>
      </c>
      <c r="F90" s="18">
        <f t="shared" si="97"/>
        <v>-0.6060276737569148</v>
      </c>
      <c r="H90" s="18">
        <f t="shared" si="98"/>
        <v>-0.6060276737569148</v>
      </c>
      <c r="I90" s="18">
        <f t="shared" si="99"/>
        <v>1.7004079825418073</v>
      </c>
      <c r="J90" s="18">
        <f t="shared" si="100"/>
        <v>1.226430420392588</v>
      </c>
      <c r="L90" t="str">
        <f t="shared" si="101"/>
        <v>33 Protective service occupations</v>
      </c>
      <c r="M90" s="18">
        <f t="shared" si="102"/>
        <v>-0.57858392240273115</v>
      </c>
      <c r="N90" s="18">
        <f t="shared" si="102"/>
        <v>3.4827532759797553</v>
      </c>
      <c r="O90" s="18">
        <f t="shared" si="102"/>
        <v>-3.0506550321171444</v>
      </c>
      <c r="P90" s="18">
        <f t="shared" si="102"/>
        <v>-0.16434978409729517</v>
      </c>
      <c r="Q90" s="18">
        <f t="shared" si="103"/>
        <v>-1.1358750172118404</v>
      </c>
      <c r="S90" s="18">
        <f t="shared" si="104"/>
        <v>-1.1358750172118404</v>
      </c>
      <c r="T90" s="18">
        <f t="shared" si="105"/>
        <v>1.4372803398261302</v>
      </c>
      <c r="U90" s="18">
        <f t="shared" si="106"/>
        <v>0.52192726913249388</v>
      </c>
      <c r="W90" t="str">
        <f t="shared" si="107"/>
        <v>33 Protective service occupations</v>
      </c>
      <c r="X90" s="18">
        <f t="shared" si="108"/>
        <v>2.1656607343472523</v>
      </c>
      <c r="Y90" s="18">
        <f t="shared" si="108"/>
        <v>12.016423945353116</v>
      </c>
      <c r="Z90" s="18">
        <f t="shared" si="108"/>
        <v>-2.2804893942674265</v>
      </c>
      <c r="AA90" s="18">
        <f t="shared" si="108"/>
        <v>2.7836822641176928</v>
      </c>
      <c r="AB90" s="18">
        <f t="shared" si="109"/>
        <v>1.0671166876663252</v>
      </c>
      <c r="AD90" s="18">
        <f t="shared" si="110"/>
        <v>1.0671166876663252</v>
      </c>
      <c r="AE90" s="18">
        <f t="shared" si="111"/>
        <v>2.597235071668158</v>
      </c>
      <c r="AF90" s="18">
        <f t="shared" si="112"/>
        <v>3.3598456200391702</v>
      </c>
    </row>
    <row r="91" spans="1:32" x14ac:dyDescent="0.2">
      <c r="A91" t="str">
        <f t="shared" si="95"/>
        <v>34 Culture, media and sports occupations</v>
      </c>
      <c r="B91" s="18">
        <f t="shared" si="96"/>
        <v>0.26937784931577724</v>
      </c>
      <c r="C91" s="18">
        <f t="shared" si="96"/>
        <v>3.2689434763066849</v>
      </c>
      <c r="D91" s="18">
        <f t="shared" si="96"/>
        <v>-3.2437975238176597</v>
      </c>
      <c r="E91" s="18">
        <f t="shared" si="96"/>
        <v>0.55789057560378108</v>
      </c>
      <c r="F91" s="18">
        <f t="shared" si="97"/>
        <v>-0.72565251059176772</v>
      </c>
      <c r="H91" s="18">
        <f t="shared" si="98"/>
        <v>-0.72565251059176772</v>
      </c>
      <c r="I91" s="18">
        <f t="shared" si="99"/>
        <v>2.2537745388985009</v>
      </c>
      <c r="J91" s="18">
        <f t="shared" si="100"/>
        <v>1.7304338055050827</v>
      </c>
      <c r="L91" t="str">
        <f t="shared" si="101"/>
        <v>34 Culture, media and sports occupations</v>
      </c>
      <c r="M91" s="18">
        <f t="shared" si="102"/>
        <v>-2.625178781132953</v>
      </c>
      <c r="N91" s="18">
        <f t="shared" si="102"/>
        <v>4.2500278522128454E-2</v>
      </c>
      <c r="O91" s="18">
        <f t="shared" si="102"/>
        <v>-3.6087100028858288</v>
      </c>
      <c r="P91" s="18">
        <f t="shared" si="102"/>
        <v>0.54736700987778608</v>
      </c>
      <c r="Q91" s="18">
        <f t="shared" si="103"/>
        <v>-0.85753049019164918</v>
      </c>
      <c r="S91" s="18">
        <f t="shared" si="104"/>
        <v>-0.85753049019164918</v>
      </c>
      <c r="T91" s="18">
        <f t="shared" si="105"/>
        <v>1.9641295390288471</v>
      </c>
      <c r="U91" s="18">
        <f t="shared" si="106"/>
        <v>1.3211867336136551</v>
      </c>
      <c r="W91" t="str">
        <f t="shared" si="107"/>
        <v>34 Culture, media and sports occupations</v>
      </c>
      <c r="X91" s="18">
        <f t="shared" si="108"/>
        <v>4.0138869786743525</v>
      </c>
      <c r="Y91" s="18">
        <f t="shared" si="108"/>
        <v>6.8093828577631355</v>
      </c>
      <c r="Z91" s="18">
        <f>IF(AND(AA$6-Z$6 &lt;&gt; 0,Z17&lt;&gt;0,AA17&lt;&gt;0),(EXP(LN(AA17/Z17)/(AA$6-Z$6))-1)*100,0)</f>
        <v>-2.8743906670114394</v>
      </c>
      <c r="AA91" s="18">
        <f t="shared" si="108"/>
        <v>0.56829419971309303</v>
      </c>
      <c r="AB91" s="18">
        <f t="shared" si="109"/>
        <v>-0.5926168452281444</v>
      </c>
      <c r="AD91" s="18">
        <f t="shared" si="110"/>
        <v>-0.5926168452281444</v>
      </c>
      <c r="AE91" s="18">
        <f t="shared" si="111"/>
        <v>2.5399649110613431</v>
      </c>
      <c r="AF91" s="18">
        <f t="shared" si="112"/>
        <v>2.1283357267896763</v>
      </c>
    </row>
    <row r="92" spans="1:32" x14ac:dyDescent="0.2">
      <c r="A92" t="str">
        <f t="shared" si="95"/>
        <v>35 Business and public service associate professionals</v>
      </c>
      <c r="B92" s="18">
        <f t="shared" si="96"/>
        <v>1.4087957945148277</v>
      </c>
      <c r="C92" s="18">
        <f t="shared" si="96"/>
        <v>6.5849141662439381</v>
      </c>
      <c r="D92" s="18">
        <f t="shared" si="96"/>
        <v>-8.0948542436010129E-2</v>
      </c>
      <c r="E92" s="18">
        <f t="shared" si="96"/>
        <v>0.46814890344537563</v>
      </c>
      <c r="F92" s="18">
        <f t="shared" si="97"/>
        <v>0.28478195746237667</v>
      </c>
      <c r="H92" s="18">
        <f t="shared" si="98"/>
        <v>0.28478195746237667</v>
      </c>
      <c r="I92" s="18">
        <f t="shared" si="99"/>
        <v>2.5421439378413346</v>
      </c>
      <c r="J92" s="18">
        <f t="shared" si="100"/>
        <v>2.7437805093368128</v>
      </c>
      <c r="L92" t="str">
        <f t="shared" si="101"/>
        <v>35 Business and public service associate professionals</v>
      </c>
      <c r="M92" s="18">
        <f t="shared" si="102"/>
        <v>0.52723384809454377</v>
      </c>
      <c r="N92" s="18">
        <f t="shared" si="102"/>
        <v>8.6641154874354207</v>
      </c>
      <c r="O92" s="18">
        <f t="shared" si="102"/>
        <v>-0.31557375747787164</v>
      </c>
      <c r="P92" s="18">
        <f t="shared" si="102"/>
        <v>0.11441419759308236</v>
      </c>
      <c r="Q92" s="18">
        <f t="shared" si="103"/>
        <v>-2.9120809951121984E-2</v>
      </c>
      <c r="S92" s="18">
        <f t="shared" si="104"/>
        <v>-2.9120809951121984E-2</v>
      </c>
      <c r="T92" s="18">
        <f t="shared" si="105"/>
        <v>2.1544080350847761</v>
      </c>
      <c r="U92" s="18">
        <f t="shared" si="106"/>
        <v>2.1328126293347127</v>
      </c>
      <c r="W92" t="str">
        <f t="shared" si="107"/>
        <v>35 Business and public service associate professionals</v>
      </c>
      <c r="X92" s="18">
        <f t="shared" si="108"/>
        <v>2.4825256606289647</v>
      </c>
      <c r="Y92" s="18">
        <f t="shared" si="108"/>
        <v>4.1714939828700448</v>
      </c>
      <c r="Z92" s="18">
        <f t="shared" si="108"/>
        <v>0.20021862008217095</v>
      </c>
      <c r="AA92" s="18">
        <f t="shared" si="108"/>
        <v>0.87161990574444737</v>
      </c>
      <c r="AB92" s="18">
        <f t="shared" si="109"/>
        <v>0.64732109452425579</v>
      </c>
      <c r="AD92" s="18">
        <f t="shared" si="110"/>
        <v>0.64732109452425579</v>
      </c>
      <c r="AE92" s="18">
        <f t="shared" si="111"/>
        <v>2.9857050699245713</v>
      </c>
      <c r="AF92" s="18">
        <f t="shared" si="112"/>
        <v>3.4213393907520206</v>
      </c>
    </row>
    <row r="93" spans="1:32" x14ac:dyDescent="0.2">
      <c r="A93" t="str">
        <f t="shared" si="95"/>
        <v>41 Administrative occupations</v>
      </c>
      <c r="B93" s="18">
        <f t="shared" si="96"/>
        <v>-0.68491785147378748</v>
      </c>
      <c r="C93" s="18">
        <f t="shared" si="96"/>
        <v>4.4070314785279452</v>
      </c>
      <c r="D93" s="18">
        <f t="shared" si="96"/>
        <v>0.26610210311499571</v>
      </c>
      <c r="E93" s="18">
        <f t="shared" si="96"/>
        <v>-0.18674792282650232</v>
      </c>
      <c r="F93" s="18">
        <f t="shared" si="97"/>
        <v>-3.6025625880720114E-2</v>
      </c>
      <c r="H93" s="18">
        <f t="shared" si="98"/>
        <v>-3.6025625880720114E-2</v>
      </c>
      <c r="I93" s="18">
        <f t="shared" si="99"/>
        <v>2.7733331239719661</v>
      </c>
      <c r="J93" s="18">
        <f t="shared" si="100"/>
        <v>2.7487907650464383</v>
      </c>
      <c r="L93" t="str">
        <f t="shared" si="101"/>
        <v>41 Administrative occupations</v>
      </c>
      <c r="M93" s="18">
        <f t="shared" si="102"/>
        <v>-2.1856665307935175</v>
      </c>
      <c r="N93" s="18">
        <f t="shared" si="102"/>
        <v>22.624755853122537</v>
      </c>
      <c r="O93" s="18">
        <f t="shared" si="102"/>
        <v>0.87578651928019724</v>
      </c>
      <c r="P93" s="18">
        <f t="shared" si="102"/>
        <v>0.93395048598154951</v>
      </c>
      <c r="Q93" s="18">
        <f t="shared" si="103"/>
        <v>0.91455877172903488</v>
      </c>
      <c r="S93" s="18">
        <f t="shared" si="104"/>
        <v>0.91455877172903488</v>
      </c>
      <c r="T93" s="18">
        <f t="shared" si="105"/>
        <v>2.2337207051657204</v>
      </c>
      <c r="U93" s="18">
        <f t="shared" si="106"/>
        <v>2.9168155561696052</v>
      </c>
      <c r="W93" t="str">
        <f t="shared" si="107"/>
        <v>41 Administrative occupations</v>
      </c>
      <c r="X93" s="18">
        <f t="shared" si="108"/>
        <v>-0.22346502769307053</v>
      </c>
      <c r="Y93" s="18">
        <f t="shared" si="108"/>
        <v>-0.92253122191471304</v>
      </c>
      <c r="Z93" s="18">
        <f t="shared" si="108"/>
        <v>4.1645809316448457E-2</v>
      </c>
      <c r="AA93" s="18">
        <f t="shared" si="108"/>
        <v>-0.64094060780703899</v>
      </c>
      <c r="AB93" s="18">
        <f t="shared" si="109"/>
        <v>-0.41393085566848731</v>
      </c>
      <c r="AD93" s="18">
        <f t="shared" si="110"/>
        <v>-0.41393085566848731</v>
      </c>
      <c r="AE93" s="18">
        <f t="shared" si="111"/>
        <v>2.9593195449404419</v>
      </c>
      <c r="AF93" s="18">
        <f t="shared" si="112"/>
        <v>2.6869920032949857</v>
      </c>
    </row>
    <row r="94" spans="1:32" x14ac:dyDescent="0.2">
      <c r="A94" t="str">
        <f t="shared" si="95"/>
        <v>42 Secretarial and related occupations</v>
      </c>
      <c r="B94" s="18">
        <f t="shared" si="96"/>
        <v>-1.7943411743111537</v>
      </c>
      <c r="C94" s="18">
        <f t="shared" si="96"/>
        <v>-1.7978231700274017</v>
      </c>
      <c r="D94" s="18">
        <f t="shared" si="96"/>
        <v>-1.5446384511392797</v>
      </c>
      <c r="E94" s="18">
        <f t="shared" si="96"/>
        <v>-2.7621262709936922</v>
      </c>
      <c r="F94" s="18">
        <f t="shared" si="97"/>
        <v>-2.3579790711757642</v>
      </c>
      <c r="H94" s="18">
        <f t="shared" si="98"/>
        <v>-2.3579790711757642</v>
      </c>
      <c r="I94" s="18">
        <f t="shared" si="99"/>
        <v>2.4950556447125072</v>
      </c>
      <c r="J94" s="18">
        <f t="shared" si="100"/>
        <v>0.91482901429686958</v>
      </c>
      <c r="L94" t="str">
        <f t="shared" si="101"/>
        <v>42 Secretarial and related occupations</v>
      </c>
      <c r="M94" s="18">
        <f t="shared" si="102"/>
        <v>-7.2365903166985657</v>
      </c>
      <c r="N94" s="18">
        <f t="shared" si="102"/>
        <v>4.6087034960885731</v>
      </c>
      <c r="O94" s="18">
        <f t="shared" si="102"/>
        <v>-2.7126837363946166</v>
      </c>
      <c r="P94" s="18">
        <f t="shared" si="102"/>
        <v>1.6877951990754703</v>
      </c>
      <c r="Q94" s="18">
        <f t="shared" si="103"/>
        <v>0.19928636794370735</v>
      </c>
      <c r="S94" s="18">
        <f t="shared" si="104"/>
        <v>0.19928636794370735</v>
      </c>
      <c r="T94" s="18">
        <f t="shared" si="105"/>
        <v>1.7608322216337458</v>
      </c>
      <c r="U94" s="18">
        <f t="shared" si="106"/>
        <v>1.9174111230070512</v>
      </c>
      <c r="W94" t="str">
        <f t="shared" si="107"/>
        <v>42 Secretarial and related occupations</v>
      </c>
      <c r="X94" s="18">
        <f t="shared" si="108"/>
        <v>-1.3210161532281606</v>
      </c>
      <c r="Y94" s="18">
        <f t="shared" si="108"/>
        <v>-2.2742631550795922</v>
      </c>
      <c r="Z94" s="18">
        <f t="shared" si="108"/>
        <v>-1.4540025895009467</v>
      </c>
      <c r="AA94" s="18">
        <f t="shared" si="108"/>
        <v>-3.1797573015637126</v>
      </c>
      <c r="AB94" s="18">
        <f t="shared" si="109"/>
        <v>-2.6078901053712134</v>
      </c>
      <c r="AD94" s="18">
        <f t="shared" si="110"/>
        <v>-2.6078901053712134</v>
      </c>
      <c r="AE94" s="18">
        <f t="shared" si="111"/>
        <v>2.5504521615824061</v>
      </c>
      <c r="AF94" s="18">
        <f t="shared" si="112"/>
        <v>0.82870847299614248</v>
      </c>
    </row>
    <row r="95" spans="1:32" x14ac:dyDescent="0.2">
      <c r="A95" t="str">
        <f t="shared" si="95"/>
        <v>51 Skilled agricultural and related trades</v>
      </c>
      <c r="B95" s="18">
        <f t="shared" si="96"/>
        <v>-0.9701753091363452</v>
      </c>
      <c r="C95" s="18">
        <f t="shared" si="96"/>
        <v>16.760977569830416</v>
      </c>
      <c r="D95" s="18">
        <f t="shared" si="96"/>
        <v>-1.4927372603544709</v>
      </c>
      <c r="E95" s="18">
        <f t="shared" si="96"/>
        <v>-8.0946163232842316E-2</v>
      </c>
      <c r="F95" s="18">
        <f t="shared" si="97"/>
        <v>-0.55377716898685758</v>
      </c>
      <c r="H95" s="18">
        <f t="shared" si="98"/>
        <v>-0.55377716898685758</v>
      </c>
      <c r="I95" s="18">
        <f t="shared" si="99"/>
        <v>2.7992133655734053</v>
      </c>
      <c r="J95" s="18">
        <f t="shared" si="100"/>
        <v>2.4279631345120123</v>
      </c>
      <c r="L95" t="str">
        <f t="shared" si="101"/>
        <v>51 Skilled agricultural and related trades</v>
      </c>
      <c r="M95" s="18">
        <f t="shared" si="102"/>
        <v>-5.4921176960574964</v>
      </c>
      <c r="N95" s="18">
        <f t="shared" si="102"/>
        <v>35.926826134506662</v>
      </c>
      <c r="O95" s="18">
        <f t="shared" si="102"/>
        <v>-2.0252190415739557</v>
      </c>
      <c r="P95" s="18">
        <f t="shared" si="102"/>
        <v>-0.33750594538231038</v>
      </c>
      <c r="Q95" s="18">
        <f t="shared" si="103"/>
        <v>-0.90328277405176127</v>
      </c>
      <c r="S95" s="18">
        <f t="shared" si="104"/>
        <v>-0.90328277405176127</v>
      </c>
      <c r="T95" s="18">
        <f t="shared" si="105"/>
        <v>2.5166975902787492</v>
      </c>
      <c r="U95" s="18">
        <f t="shared" si="106"/>
        <v>1.8916872787809957</v>
      </c>
      <c r="W95" t="str">
        <f t="shared" si="107"/>
        <v>51 Skilled agricultural and related trades</v>
      </c>
      <c r="X95" s="18">
        <f t="shared" si="108"/>
        <v>12.545508111850046</v>
      </c>
      <c r="Y95" s="18">
        <f t="shared" si="108"/>
        <v>-20.583850984401941</v>
      </c>
      <c r="Z95" s="18">
        <f t="shared" si="108"/>
        <v>0.20450433410206248</v>
      </c>
      <c r="AA95" s="18">
        <f t="shared" si="108"/>
        <v>0.65030110274704178</v>
      </c>
      <c r="AB95" s="18">
        <f t="shared" si="109"/>
        <v>0.50148224872037517</v>
      </c>
      <c r="AD95" s="18">
        <f t="shared" si="110"/>
        <v>0.50148224872037517</v>
      </c>
      <c r="AE95" s="18">
        <f t="shared" si="111"/>
        <v>3.6699292985259868</v>
      </c>
      <c r="AF95" s="18">
        <f t="shared" si="112"/>
        <v>3.9771107171164388</v>
      </c>
    </row>
    <row r="96" spans="1:32" x14ac:dyDescent="0.2">
      <c r="A96" t="str">
        <f t="shared" si="95"/>
        <v>52 Skilled metal, electrical and electronic trades</v>
      </c>
      <c r="B96" s="18">
        <f t="shared" si="96"/>
        <v>-0.66626788872553577</v>
      </c>
      <c r="C96" s="18">
        <f t="shared" si="96"/>
        <v>-11.434116202666743</v>
      </c>
      <c r="D96" s="18">
        <f t="shared" si="96"/>
        <v>-0.65279464965372069</v>
      </c>
      <c r="E96" s="18">
        <f t="shared" si="96"/>
        <v>-0.74977604861181657</v>
      </c>
      <c r="F96" s="18">
        <f t="shared" si="97"/>
        <v>-0.71745943929563127</v>
      </c>
      <c r="H96" s="18">
        <f t="shared" si="98"/>
        <v>-0.71745943929563127</v>
      </c>
      <c r="I96" s="18">
        <f t="shared" si="99"/>
        <v>2.050153774660024</v>
      </c>
      <c r="J96" s="18">
        <f t="shared" si="100"/>
        <v>1.5173986845777643</v>
      </c>
      <c r="L96" t="str">
        <f t="shared" si="101"/>
        <v>52 Skilled metal, electrical and electronic trades</v>
      </c>
      <c r="M96" s="18">
        <f t="shared" si="102"/>
        <v>-0.872963975526031</v>
      </c>
      <c r="N96" s="18">
        <f t="shared" si="102"/>
        <v>-11.115437103098758</v>
      </c>
      <c r="O96" s="18">
        <f t="shared" si="102"/>
        <v>-0.94535049052260067</v>
      </c>
      <c r="P96" s="18">
        <f t="shared" si="102"/>
        <v>-0.87628346237238475</v>
      </c>
      <c r="Q96" s="18">
        <f t="shared" si="103"/>
        <v>-0.89931115429868758</v>
      </c>
      <c r="S96" s="18">
        <f t="shared" si="104"/>
        <v>-0.89931115429868758</v>
      </c>
      <c r="T96" s="18">
        <f t="shared" si="105"/>
        <v>1.9889634291039959</v>
      </c>
      <c r="U96" s="18">
        <f t="shared" si="106"/>
        <v>1.3176381158185979</v>
      </c>
      <c r="W96" t="str">
        <f t="shared" si="107"/>
        <v>52 Skilled metal, electrical and electronic trades</v>
      </c>
      <c r="X96" s="18">
        <f t="shared" si="108"/>
        <v>10.839531783854305</v>
      </c>
      <c r="Y96" s="18">
        <f t="shared" si="108"/>
        <v>-24.95283170374115</v>
      </c>
      <c r="Z96" s="18">
        <f t="shared" si="108"/>
        <v>10.926904398995042</v>
      </c>
      <c r="AA96" s="18">
        <f t="shared" si="108"/>
        <v>2.3610171900984023</v>
      </c>
      <c r="AB96" s="18">
        <f t="shared" si="109"/>
        <v>5.1401744110639136</v>
      </c>
      <c r="AD96" s="18">
        <f t="shared" si="110"/>
        <v>5.1401744110639136</v>
      </c>
      <c r="AE96" s="18">
        <f t="shared" si="111"/>
        <v>4.6095969300851136</v>
      </c>
      <c r="AF96" s="18">
        <f t="shared" si="112"/>
        <v>7.8039950612486697</v>
      </c>
    </row>
    <row r="97" spans="1:32" x14ac:dyDescent="0.2">
      <c r="A97" t="str">
        <f t="shared" si="95"/>
        <v>53 Skilled construction and building trades</v>
      </c>
      <c r="B97" s="18">
        <f t="shared" si="96"/>
        <v>-1.4372783330063532</v>
      </c>
      <c r="C97" s="18">
        <f t="shared" si="96"/>
        <v>-18.257660021783639</v>
      </c>
      <c r="D97" s="18">
        <f t="shared" si="96"/>
        <v>-0.79161358351703681</v>
      </c>
      <c r="E97" s="18">
        <f t="shared" si="96"/>
        <v>-1.5153949237584619</v>
      </c>
      <c r="F97" s="18">
        <f t="shared" si="97"/>
        <v>-1.2747230980522328</v>
      </c>
      <c r="H97" s="18">
        <f t="shared" si="98"/>
        <v>-1.2747230980522328</v>
      </c>
      <c r="I97" s="18">
        <f t="shared" si="99"/>
        <v>2.1528061469234139</v>
      </c>
      <c r="J97" s="18">
        <f t="shared" si="100"/>
        <v>1.230633490970634</v>
      </c>
      <c r="L97" t="str">
        <f t="shared" si="101"/>
        <v>53 Skilled construction and building trades</v>
      </c>
      <c r="M97" s="18">
        <f t="shared" si="102"/>
        <v>-1.508748670200033</v>
      </c>
      <c r="N97" s="18">
        <f t="shared" si="102"/>
        <v>-18.466882961915545</v>
      </c>
      <c r="O97" s="18">
        <f t="shared" si="102"/>
        <v>-0.66857973566861739</v>
      </c>
      <c r="P97" s="18">
        <f t="shared" si="102"/>
        <v>-1.5219652718313936</v>
      </c>
      <c r="Q97" s="18">
        <f t="shared" si="103"/>
        <v>-1.2383211845532816</v>
      </c>
      <c r="S97" s="18">
        <f t="shared" si="104"/>
        <v>-1.2383211845532816</v>
      </c>
      <c r="T97" s="18">
        <f t="shared" si="105"/>
        <v>2.1596843466681781</v>
      </c>
      <c r="U97" s="18">
        <f t="shared" si="106"/>
        <v>1.2640656358598346</v>
      </c>
      <c r="W97" t="str">
        <f t="shared" si="107"/>
        <v>53 Skilled construction and building trades</v>
      </c>
      <c r="X97" s="18">
        <f t="shared" si="108"/>
        <v>6.0400555270492706</v>
      </c>
      <c r="Y97" s="18">
        <f t="shared" si="108"/>
        <v>2.2929579007513468E-3</v>
      </c>
      <c r="Z97" s="18">
        <f t="shared" si="108"/>
        <v>-11.727546514352083</v>
      </c>
      <c r="AA97" s="18">
        <f t="shared" si="108"/>
        <v>-0.70293405001239373</v>
      </c>
      <c r="AB97" s="18">
        <f t="shared" si="109"/>
        <v>-4.5228727578075389</v>
      </c>
      <c r="AD97" s="18">
        <f t="shared" si="110"/>
        <v>-4.5228727578075389</v>
      </c>
      <c r="AE97" s="18">
        <f t="shared" si="111"/>
        <v>1.6459131511836089</v>
      </c>
      <c r="AF97" s="18">
        <f t="shared" si="112"/>
        <v>-1.6687710795051602</v>
      </c>
    </row>
    <row r="98" spans="1:32" x14ac:dyDescent="0.2">
      <c r="A98" t="str">
        <f t="shared" si="95"/>
        <v>54 Textiles, printing and other skilled trades</v>
      </c>
      <c r="B98" s="18">
        <f t="shared" si="96"/>
        <v>-3.9125828945056895</v>
      </c>
      <c r="C98" s="18">
        <f t="shared" si="96"/>
        <v>-3.1731622188125752</v>
      </c>
      <c r="D98" s="18">
        <f t="shared" si="96"/>
        <v>1.8895944006747101E-2</v>
      </c>
      <c r="E98" s="18">
        <f t="shared" si="96"/>
        <v>-0.77607289251053757</v>
      </c>
      <c r="F98" s="18">
        <f t="shared" si="97"/>
        <v>-0.51178783423651009</v>
      </c>
      <c r="H98" s="18">
        <f t="shared" si="98"/>
        <v>-0.51178783423651009</v>
      </c>
      <c r="I98" s="18">
        <f t="shared" si="99"/>
        <v>2.3034217769711818</v>
      </c>
      <c r="J98" s="18">
        <f t="shared" si="100"/>
        <v>1.9352560795648177</v>
      </c>
      <c r="L98" t="str">
        <f t="shared" si="101"/>
        <v>54 Textiles, printing and other skilled trades</v>
      </c>
      <c r="M98" s="18">
        <f t="shared" si="102"/>
        <v>-5.4812830756598485</v>
      </c>
      <c r="N98" s="18">
        <f t="shared" si="102"/>
        <v>-4.9092850424375616</v>
      </c>
      <c r="O98" s="18">
        <f t="shared" si="102"/>
        <v>0.74809912876658835</v>
      </c>
      <c r="P98" s="18">
        <f t="shared" si="102"/>
        <v>-0.7449883848430483</v>
      </c>
      <c r="Q98" s="18">
        <f t="shared" si="103"/>
        <v>-0.24976750104409584</v>
      </c>
      <c r="S98" s="18">
        <f t="shared" si="104"/>
        <v>-0.24976750104409584</v>
      </c>
      <c r="T98" s="18">
        <f t="shared" si="105"/>
        <v>1.8426493993221715</v>
      </c>
      <c r="U98" s="18">
        <f t="shared" si="106"/>
        <v>1.6500373063012441</v>
      </c>
      <c r="W98" t="str">
        <f t="shared" si="107"/>
        <v>54 Textiles, printing and other skilled trades</v>
      </c>
      <c r="X98" s="18">
        <f t="shared" si="108"/>
        <v>-1.787394842833856</v>
      </c>
      <c r="Y98" s="18">
        <f t="shared" si="108"/>
        <v>-1.0358366539877761</v>
      </c>
      <c r="Z98" s="18">
        <f t="shared" si="108"/>
        <v>-0.87208594729997202</v>
      </c>
      <c r="AA98" s="18">
        <f t="shared" si="108"/>
        <v>-0.81607648141683864</v>
      </c>
      <c r="AB98" s="18">
        <f t="shared" si="109"/>
        <v>-0.8347498187827318</v>
      </c>
      <c r="AD98" s="18">
        <f t="shared" si="110"/>
        <v>-0.8347498187827318</v>
      </c>
      <c r="AE98" s="18">
        <f t="shared" si="111"/>
        <v>2.8134310140405461</v>
      </c>
      <c r="AF98" s="18">
        <f t="shared" si="112"/>
        <v>2.2588250125338272</v>
      </c>
    </row>
    <row r="99" spans="1:32" x14ac:dyDescent="0.2">
      <c r="A99" t="str">
        <f t="shared" si="95"/>
        <v>61 Caring personal service occupations</v>
      </c>
      <c r="B99" s="18">
        <f t="shared" si="96"/>
        <v>0.35532337155650406</v>
      </c>
      <c r="C99" s="18">
        <f t="shared" si="96"/>
        <v>-3.1343411981067049</v>
      </c>
      <c r="D99" s="18">
        <f t="shared" si="96"/>
        <v>0.70587973357889577</v>
      </c>
      <c r="E99" s="18">
        <f t="shared" si="96"/>
        <v>0.66297293131791779</v>
      </c>
      <c r="F99" s="18">
        <f t="shared" si="97"/>
        <v>0.67727316714287777</v>
      </c>
      <c r="H99" s="18">
        <f t="shared" si="98"/>
        <v>0.67727316714287777</v>
      </c>
      <c r="I99" s="18">
        <f t="shared" si="99"/>
        <v>3.1159751585862372</v>
      </c>
      <c r="J99" s="18">
        <f t="shared" si="100"/>
        <v>3.5643474375970596</v>
      </c>
      <c r="L99" t="str">
        <f t="shared" si="101"/>
        <v>61 Caring personal service occupations</v>
      </c>
      <c r="M99" s="18">
        <f t="shared" si="102"/>
        <v>0.66147457596890114</v>
      </c>
      <c r="N99" s="18">
        <f t="shared" si="102"/>
        <v>1.8414299359141406</v>
      </c>
      <c r="O99" s="18">
        <f t="shared" si="102"/>
        <v>3.6186844860899514</v>
      </c>
      <c r="P99" s="18">
        <f t="shared" si="102"/>
        <v>1.4943380047121479</v>
      </c>
      <c r="Q99" s="18">
        <f t="shared" si="103"/>
        <v>2.1975697087945445</v>
      </c>
      <c r="S99" s="18">
        <f t="shared" si="104"/>
        <v>2.1975697087945445</v>
      </c>
      <c r="T99" s="18">
        <f t="shared" si="105"/>
        <v>2.9097626741461102</v>
      </c>
      <c r="U99" s="18">
        <f t="shared" si="106"/>
        <v>4.456106771787427</v>
      </c>
      <c r="W99" t="str">
        <f t="shared" si="107"/>
        <v>61 Caring personal service occupations</v>
      </c>
      <c r="X99" s="18">
        <f t="shared" si="108"/>
        <v>0.30307334660175655</v>
      </c>
      <c r="Y99" s="18">
        <f t="shared" si="108"/>
        <v>-3.9911444393984974</v>
      </c>
      <c r="Z99" s="18">
        <f t="shared" si="108"/>
        <v>0.13573877861494665</v>
      </c>
      <c r="AA99" s="18">
        <f t="shared" si="108"/>
        <v>0.47438037127571775</v>
      </c>
      <c r="AB99" s="18">
        <f t="shared" si="109"/>
        <v>0.36137278385104388</v>
      </c>
      <c r="AD99" s="18">
        <f t="shared" si="110"/>
        <v>0.36137278385104388</v>
      </c>
      <c r="AE99" s="18">
        <f t="shared" si="111"/>
        <v>3.1530250407969529</v>
      </c>
      <c r="AF99" s="18">
        <f t="shared" si="112"/>
        <v>3.3892103203979174</v>
      </c>
    </row>
    <row r="100" spans="1:32" x14ac:dyDescent="0.2">
      <c r="A100" t="str">
        <f t="shared" si="95"/>
        <v>62 Leisure, travel and related personal service occupations</v>
      </c>
      <c r="B100" s="18">
        <f t="shared" si="96"/>
        <v>6.0135501623544085</v>
      </c>
      <c r="C100" s="18">
        <f t="shared" si="96"/>
        <v>-3.1095027863263236</v>
      </c>
      <c r="D100" s="18">
        <f t="shared" si="96"/>
        <v>-1.6341816783302821</v>
      </c>
      <c r="E100" s="18">
        <f t="shared" si="96"/>
        <v>6.3096421443331607E-2</v>
      </c>
      <c r="F100" s="18">
        <f t="shared" si="97"/>
        <v>-0.50589225225016188</v>
      </c>
      <c r="H100" s="18">
        <f t="shared" si="98"/>
        <v>-0.50589225225016188</v>
      </c>
      <c r="I100" s="18">
        <f t="shared" si="99"/>
        <v>2.5914764670686985</v>
      </c>
      <c r="J100" s="18">
        <f t="shared" si="100"/>
        <v>2.2419222057054045</v>
      </c>
      <c r="L100" t="str">
        <f t="shared" si="101"/>
        <v>62 Leisure, travel and related personal service occupations</v>
      </c>
      <c r="M100" s="18">
        <f t="shared" si="102"/>
        <v>3.1712097206733514</v>
      </c>
      <c r="N100" s="18">
        <f t="shared" si="102"/>
        <v>-1.3269952071095381</v>
      </c>
      <c r="O100" s="18">
        <f t="shared" si="102"/>
        <v>-1.1834749485799212</v>
      </c>
      <c r="P100" s="18">
        <f t="shared" si="102"/>
        <v>0.66949180631847849</v>
      </c>
      <c r="Q100" s="18">
        <f t="shared" si="103"/>
        <v>4.8007374430025784E-2</v>
      </c>
      <c r="S100" s="18">
        <f t="shared" si="104"/>
        <v>4.8007374430025784E-2</v>
      </c>
      <c r="T100" s="18">
        <f t="shared" si="105"/>
        <v>2.3298094253868751</v>
      </c>
      <c r="U100" s="18">
        <f t="shared" si="106"/>
        <v>2.3646193621728706</v>
      </c>
      <c r="W100" t="str">
        <f t="shared" si="107"/>
        <v>62 Leisure, travel and related personal service occupations</v>
      </c>
      <c r="X100" s="18">
        <f t="shared" si="108"/>
        <v>7.2077961624365416</v>
      </c>
      <c r="Y100" s="18">
        <f t="shared" si="108"/>
        <v>-3.7896658975366537</v>
      </c>
      <c r="Z100" s="18">
        <f t="shared" si="108"/>
        <v>-1.8128344310477162</v>
      </c>
      <c r="AA100" s="18">
        <f t="shared" si="108"/>
        <v>-0.19160469567111038</v>
      </c>
      <c r="AB100" s="18">
        <f t="shared" si="109"/>
        <v>-0.73496733689821792</v>
      </c>
      <c r="AD100" s="18">
        <f t="shared" si="110"/>
        <v>-0.73496733689821792</v>
      </c>
      <c r="AE100" s="18">
        <f t="shared" si="111"/>
        <v>2.691386013777608</v>
      </c>
      <c r="AF100" s="18">
        <f t="shared" si="112"/>
        <v>2.193338711407522</v>
      </c>
    </row>
    <row r="101" spans="1:32" x14ac:dyDescent="0.2">
      <c r="A101" t="str">
        <f t="shared" si="95"/>
        <v>63 Community and civil enforcement occupations</v>
      </c>
      <c r="B101" s="18">
        <f t="shared" si="96"/>
        <v>-4.8574267096918256</v>
      </c>
      <c r="C101" s="18">
        <f t="shared" si="96"/>
        <v>26.558262050817085</v>
      </c>
      <c r="D101" s="18">
        <f t="shared" si="96"/>
        <v>-5.2515166674560243</v>
      </c>
      <c r="E101" s="18">
        <f t="shared" si="96"/>
        <v>1.1400681354551523</v>
      </c>
      <c r="F101" s="18">
        <f t="shared" si="97"/>
        <v>-1.0369852633635102</v>
      </c>
      <c r="H101" s="18">
        <f t="shared" si="98"/>
        <v>-1.0369852633635102</v>
      </c>
      <c r="I101" s="18">
        <f t="shared" si="99"/>
        <v>2.1126429037435557</v>
      </c>
      <c r="J101" s="18">
        <f t="shared" si="100"/>
        <v>1.3543356107488913</v>
      </c>
      <c r="L101" t="str">
        <f t="shared" si="101"/>
        <v>63 Community and civil enforcement occupations</v>
      </c>
      <c r="M101" s="18">
        <f t="shared" si="102"/>
        <v>-7.5799673339077112</v>
      </c>
      <c r="N101" s="18">
        <f t="shared" si="102"/>
        <v>43.040203565660072</v>
      </c>
      <c r="O101" s="18">
        <f t="shared" si="102"/>
        <v>-8.7695704857193348</v>
      </c>
      <c r="P101" s="18">
        <f t="shared" si="102"/>
        <v>1.7350795894349957</v>
      </c>
      <c r="Q101" s="18">
        <f t="shared" si="103"/>
        <v>-1.8944163184752449</v>
      </c>
      <c r="S101" s="18">
        <f t="shared" si="104"/>
        <v>-1.8944163184752449</v>
      </c>
      <c r="T101" s="18">
        <f t="shared" si="105"/>
        <v>1.6475762567022878</v>
      </c>
      <c r="U101" s="18">
        <f t="shared" si="106"/>
        <v>0.18669628773619884</v>
      </c>
      <c r="W101" t="str">
        <f t="shared" si="107"/>
        <v>63 Community and civil enforcement occupations</v>
      </c>
      <c r="X101" s="18">
        <f t="shared" si="108"/>
        <v>4.4624719534250845</v>
      </c>
      <c r="Y101" s="18">
        <f t="shared" si="108"/>
        <v>-15.18616668524907</v>
      </c>
      <c r="Z101" s="18">
        <f t="shared" si="108"/>
        <v>5.8024728248601054</v>
      </c>
      <c r="AA101" s="18">
        <f t="shared" si="108"/>
        <v>-0.17878007192498879</v>
      </c>
      <c r="AB101" s="18">
        <f t="shared" si="109"/>
        <v>1.7764241513161805</v>
      </c>
      <c r="AD101" s="18">
        <f t="shared" si="110"/>
        <v>1.7764241513161805</v>
      </c>
      <c r="AE101" s="18">
        <f t="shared" si="111"/>
        <v>3.8215972013607269</v>
      </c>
      <c r="AF101" s="18">
        <f t="shared" si="112"/>
        <v>4.9273151087798617</v>
      </c>
    </row>
    <row r="102" spans="1:32" x14ac:dyDescent="0.2">
      <c r="A102" t="str">
        <f t="shared" si="95"/>
        <v>71 Sales occupations</v>
      </c>
      <c r="B102" s="18">
        <f t="shared" si="96"/>
        <v>-2.2503104164614207</v>
      </c>
      <c r="C102" s="18">
        <f t="shared" si="96"/>
        <v>-2.3269202507478548</v>
      </c>
      <c r="D102" s="18">
        <f t="shared" si="96"/>
        <v>-0.59931074753049041</v>
      </c>
      <c r="E102" s="18">
        <f t="shared" si="96"/>
        <v>-0.29719852448796269</v>
      </c>
      <c r="F102" s="18">
        <f t="shared" si="97"/>
        <v>-0.39800448581286396</v>
      </c>
      <c r="H102" s="18">
        <f t="shared" si="98"/>
        <v>-0.39800448581286396</v>
      </c>
      <c r="I102" s="18">
        <f t="shared" si="99"/>
        <v>2.5205025104798162</v>
      </c>
      <c r="J102" s="18">
        <f t="shared" si="100"/>
        <v>2.2420724399585312</v>
      </c>
      <c r="L102" t="str">
        <f t="shared" si="101"/>
        <v>71 Sales occupations</v>
      </c>
      <c r="M102" s="18">
        <f t="shared" si="102"/>
        <v>-1.4726790128792522</v>
      </c>
      <c r="N102" s="18">
        <f t="shared" si="102"/>
        <v>0.1272752638496355</v>
      </c>
      <c r="O102" s="18">
        <f t="shared" si="102"/>
        <v>-0.47816077729641027</v>
      </c>
      <c r="P102" s="18">
        <f t="shared" si="102"/>
        <v>-0.14472874236101108</v>
      </c>
      <c r="Q102" s="18">
        <f t="shared" si="103"/>
        <v>-0.25599669296456629</v>
      </c>
      <c r="S102" s="18">
        <f t="shared" si="104"/>
        <v>-0.25599669296456629</v>
      </c>
      <c r="T102" s="18">
        <f t="shared" si="105"/>
        <v>1.8700549648340115</v>
      </c>
      <c r="U102" s="18">
        <f t="shared" si="106"/>
        <v>1.6734131770268945</v>
      </c>
      <c r="W102" t="str">
        <f t="shared" si="107"/>
        <v>71 Sales occupations</v>
      </c>
      <c r="X102" s="18">
        <f t="shared" si="108"/>
        <v>-2.696710851625217</v>
      </c>
      <c r="Y102" s="18">
        <f t="shared" si="108"/>
        <v>-3.7804418979354049</v>
      </c>
      <c r="Z102" s="18">
        <f t="shared" si="108"/>
        <v>-0.67427226515122118</v>
      </c>
      <c r="AA102" s="18">
        <f t="shared" si="108"/>
        <v>-0.39316936752187281</v>
      </c>
      <c r="AB102" s="18">
        <f t="shared" si="109"/>
        <v>-0.48695861712744204</v>
      </c>
      <c r="AD102" s="18">
        <f t="shared" si="110"/>
        <v>-0.48695861712744204</v>
      </c>
      <c r="AE102" s="18">
        <f t="shared" si="111"/>
        <v>2.8943623994575285</v>
      </c>
      <c r="AF102" s="18">
        <f t="shared" si="112"/>
        <v>2.5716799803722878</v>
      </c>
    </row>
    <row r="103" spans="1:32" x14ac:dyDescent="0.2">
      <c r="A103" t="str">
        <f t="shared" si="95"/>
        <v>72 Customer service occupations</v>
      </c>
      <c r="B103" s="18">
        <f t="shared" si="96"/>
        <v>1.5097029505585891</v>
      </c>
      <c r="C103" s="18">
        <f t="shared" si="96"/>
        <v>2.8283697503880489</v>
      </c>
      <c r="D103" s="18">
        <f t="shared" si="96"/>
        <v>1.8775373382021954</v>
      </c>
      <c r="E103" s="18">
        <f t="shared" si="96"/>
        <v>0.99810649738796275</v>
      </c>
      <c r="F103" s="18">
        <f t="shared" si="97"/>
        <v>1.2904033636425893</v>
      </c>
      <c r="H103" s="18">
        <f t="shared" si="98"/>
        <v>1.2904033636425893</v>
      </c>
      <c r="I103" s="18">
        <f t="shared" si="99"/>
        <v>2.850490696932817</v>
      </c>
      <c r="J103" s="18">
        <f t="shared" si="100"/>
        <v>3.74745937432166</v>
      </c>
      <c r="L103" t="str">
        <f t="shared" si="101"/>
        <v>72 Customer service occupations</v>
      </c>
      <c r="M103" s="18">
        <f t="shared" si="102"/>
        <v>-2.5870186415871355</v>
      </c>
      <c r="N103" s="18">
        <f t="shared" si="102"/>
        <v>19.584614354976981</v>
      </c>
      <c r="O103" s="18">
        <f t="shared" si="102"/>
        <v>4.4859093909406234</v>
      </c>
      <c r="P103" s="18">
        <f t="shared" si="102"/>
        <v>1.2000917671407318</v>
      </c>
      <c r="Q103" s="18">
        <f t="shared" si="103"/>
        <v>2.2837196491412692</v>
      </c>
      <c r="S103" s="18">
        <f t="shared" si="104"/>
        <v>2.2837196491412692</v>
      </c>
      <c r="T103" s="18">
        <f t="shared" si="105"/>
        <v>2.3866704265275818</v>
      </c>
      <c r="U103" s="18">
        <f t="shared" si="106"/>
        <v>4.1018933346981257</v>
      </c>
      <c r="W103" t="str">
        <f t="shared" si="107"/>
        <v>72 Customer service occupations</v>
      </c>
      <c r="X103" s="18">
        <f t="shared" si="108"/>
        <v>3.4155412708635424</v>
      </c>
      <c r="Y103" s="18">
        <f t="shared" si="108"/>
        <v>-3.8787683929034977</v>
      </c>
      <c r="Z103" s="18">
        <f t="shared" si="108"/>
        <v>0.47212392961892835</v>
      </c>
      <c r="AA103" s="18">
        <f t="shared" si="108"/>
        <v>0.87396713128813364</v>
      </c>
      <c r="AB103" s="18">
        <f t="shared" si="109"/>
        <v>0.73984113724383516</v>
      </c>
      <c r="AD103" s="18">
        <f t="shared" si="110"/>
        <v>0.73984113724383516</v>
      </c>
      <c r="AE103" s="18">
        <f t="shared" si="111"/>
        <v>3.0709760285896781</v>
      </c>
      <c r="AF103" s="18">
        <f t="shared" si="112"/>
        <v>3.5644292984960524</v>
      </c>
    </row>
    <row r="104" spans="1:32" x14ac:dyDescent="0.2">
      <c r="A104" t="str">
        <f t="shared" si="95"/>
        <v>81 Process, plant and machine operatives</v>
      </c>
      <c r="B104" s="18">
        <f t="shared" si="96"/>
        <v>-1.0723125808887013</v>
      </c>
      <c r="C104" s="18">
        <f t="shared" si="96"/>
        <v>-11.062248136621855</v>
      </c>
      <c r="D104" s="18">
        <f t="shared" si="96"/>
        <v>0.35025778829398391</v>
      </c>
      <c r="E104" s="18">
        <f t="shared" si="96"/>
        <v>-0.7503941206391973</v>
      </c>
      <c r="F104" s="18">
        <f t="shared" si="97"/>
        <v>-0.38485807210871803</v>
      </c>
      <c r="H104" s="18">
        <f t="shared" si="98"/>
        <v>-0.38485807210871803</v>
      </c>
      <c r="I104" s="18">
        <f t="shared" si="99"/>
        <v>2.2464388671006752</v>
      </c>
      <c r="J104" s="18">
        <f t="shared" si="100"/>
        <v>1.9666282511225708</v>
      </c>
      <c r="L104" t="str">
        <f t="shared" si="101"/>
        <v>81 Process, plant and machine operatives</v>
      </c>
      <c r="M104" s="18">
        <f t="shared" si="102"/>
        <v>-1.9139532509536039</v>
      </c>
      <c r="N104" s="18">
        <f t="shared" si="102"/>
        <v>-8.3039602210425834</v>
      </c>
      <c r="O104" s="18">
        <f t="shared" si="102"/>
        <v>-0.39502020073366451</v>
      </c>
      <c r="P104" s="18">
        <f t="shared" si="102"/>
        <v>-1.2658368419665167</v>
      </c>
      <c r="Q104" s="18">
        <f t="shared" si="103"/>
        <v>-0.97641385317328577</v>
      </c>
      <c r="S104" s="18">
        <f t="shared" si="104"/>
        <v>-0.97641385317328577</v>
      </c>
      <c r="T104" s="18">
        <f t="shared" si="105"/>
        <v>1.9924106096618432</v>
      </c>
      <c r="U104" s="18">
        <f t="shared" si="106"/>
        <v>1.2649703446861338</v>
      </c>
      <c r="W104" t="str">
        <f t="shared" si="107"/>
        <v>81 Process, plant and machine operatives</v>
      </c>
      <c r="X104" s="18">
        <f t="shared" si="108"/>
        <v>1.3364344269193973</v>
      </c>
      <c r="Y104" s="18">
        <f t="shared" si="108"/>
        <v>-18.340806371932437</v>
      </c>
      <c r="Z104" s="18">
        <f t="shared" si="108"/>
        <v>2.4374121658168768</v>
      </c>
      <c r="AA104" s="18">
        <f t="shared" si="108"/>
        <v>0.47604088633088626</v>
      </c>
      <c r="AB104" s="18">
        <f t="shared" si="109"/>
        <v>1.1256226891876997</v>
      </c>
      <c r="AD104" s="18">
        <f t="shared" si="110"/>
        <v>1.1256226891876997</v>
      </c>
      <c r="AE104" s="18">
        <f t="shared" si="111"/>
        <v>2.9511694948809231</v>
      </c>
      <c r="AF104" s="18">
        <f t="shared" si="112"/>
        <v>3.7207023000230155</v>
      </c>
    </row>
    <row r="105" spans="1:32" x14ac:dyDescent="0.2">
      <c r="A105" t="str">
        <f t="shared" si="95"/>
        <v>82 Transport and mobile machine drivers and operatives</v>
      </c>
      <c r="B105" s="18">
        <f t="shared" si="96"/>
        <v>0.89648879978838636</v>
      </c>
      <c r="C105" s="18">
        <f t="shared" si="96"/>
        <v>-2.1055017047676094</v>
      </c>
      <c r="D105" s="18">
        <f t="shared" si="96"/>
        <v>-0.21812217575232218</v>
      </c>
      <c r="E105" s="18">
        <f t="shared" si="96"/>
        <v>-0.43597898005102165</v>
      </c>
      <c r="F105" s="18">
        <f t="shared" si="97"/>
        <v>-0.36341294700982241</v>
      </c>
      <c r="H105" s="18">
        <f t="shared" si="98"/>
        <v>-0.36341294700982241</v>
      </c>
      <c r="I105" s="18">
        <f t="shared" si="99"/>
        <v>2.7999761618350938</v>
      </c>
      <c r="J105" s="18">
        <f t="shared" si="100"/>
        <v>2.5552349776610583</v>
      </c>
      <c r="L105" t="str">
        <f t="shared" si="101"/>
        <v>82 Transport and mobile machine drivers and operatives</v>
      </c>
      <c r="M105" s="18">
        <f t="shared" si="102"/>
        <v>0.86794777653922406</v>
      </c>
      <c r="N105" s="18">
        <f t="shared" si="102"/>
        <v>-1.8893762853416818</v>
      </c>
      <c r="O105" s="18">
        <f t="shared" si="102"/>
        <v>-0.47967689149037707</v>
      </c>
      <c r="P105" s="18">
        <f t="shared" si="102"/>
        <v>-0.52060718608211154</v>
      </c>
      <c r="Q105" s="18">
        <f t="shared" si="103"/>
        <v>-0.50696562529763955</v>
      </c>
      <c r="S105" s="18">
        <f t="shared" si="104"/>
        <v>-0.50696562529763955</v>
      </c>
      <c r="T105" s="18">
        <f t="shared" si="105"/>
        <v>2.7407969699565049</v>
      </c>
      <c r="U105" s="18">
        <f t="shared" si="106"/>
        <v>2.3977503121285437</v>
      </c>
      <c r="W105" t="str">
        <f t="shared" si="107"/>
        <v>82 Transport and mobile machine drivers and operatives</v>
      </c>
      <c r="X105" s="18">
        <f t="shared" si="108"/>
        <v>1.4349285785894894</v>
      </c>
      <c r="Y105" s="18">
        <f t="shared" si="108"/>
        <v>-6.126142336016116</v>
      </c>
      <c r="Z105" s="18">
        <f t="shared" si="108"/>
        <v>4.3941135137300247</v>
      </c>
      <c r="AA105" s="18">
        <f t="shared" si="108"/>
        <v>0.78499802314024869</v>
      </c>
      <c r="AB105" s="18">
        <f t="shared" si="109"/>
        <v>1.9739552759340251</v>
      </c>
      <c r="AD105" s="18">
        <f t="shared" si="110"/>
        <v>1.9739552759340251</v>
      </c>
      <c r="AE105" s="18">
        <f t="shared" si="111"/>
        <v>3.8651307491830877</v>
      </c>
      <c r="AF105" s="18">
        <f t="shared" si="112"/>
        <v>5.0937643586027814</v>
      </c>
    </row>
    <row r="106" spans="1:32" x14ac:dyDescent="0.2">
      <c r="A106" t="str">
        <f t="shared" si="95"/>
        <v>91 Elementary trades and related occupations</v>
      </c>
      <c r="B106" s="18">
        <f t="shared" si="96"/>
        <v>-2.9965296584723022</v>
      </c>
      <c r="C106" s="18">
        <f t="shared" si="96"/>
        <v>-8.0406950265293986</v>
      </c>
      <c r="D106" s="18">
        <f t="shared" si="96"/>
        <v>11.132283338265525</v>
      </c>
      <c r="E106" s="18">
        <f t="shared" si="96"/>
        <v>0.7138038800924118</v>
      </c>
      <c r="F106" s="18">
        <f t="shared" si="97"/>
        <v>4.0733207095563051</v>
      </c>
      <c r="H106" s="18">
        <f t="shared" si="98"/>
        <v>4.0733207095563051</v>
      </c>
      <c r="I106" s="18">
        <f t="shared" si="99"/>
        <v>3.9726937051337563</v>
      </c>
      <c r="J106" s="18">
        <f t="shared" si="100"/>
        <v>6.6153608038780121</v>
      </c>
      <c r="L106" t="str">
        <f t="shared" si="101"/>
        <v>91 Elementary trades and related occupations</v>
      </c>
      <c r="M106" s="18">
        <f t="shared" si="102"/>
        <v>-3.5696570471827616</v>
      </c>
      <c r="N106" s="18">
        <f t="shared" si="102"/>
        <v>-1.7411846460053226</v>
      </c>
      <c r="O106" s="18">
        <f t="shared" si="102"/>
        <v>5.6463971645523303</v>
      </c>
      <c r="P106" s="18">
        <f t="shared" si="102"/>
        <v>0.4549840721200793</v>
      </c>
      <c r="Q106" s="18">
        <f t="shared" si="103"/>
        <v>2.1564728724671633</v>
      </c>
      <c r="S106" s="18">
        <f t="shared" si="104"/>
        <v>2.1564728724671633</v>
      </c>
      <c r="T106" s="18">
        <f t="shared" si="105"/>
        <v>2.4722808760927251</v>
      </c>
      <c r="U106" s="18">
        <f t="shared" si="106"/>
        <v>4.0715055215113205</v>
      </c>
      <c r="W106" t="str">
        <f t="shared" si="107"/>
        <v>91 Elementary trades and related occupations</v>
      </c>
      <c r="X106" s="18">
        <f t="shared" si="108"/>
        <v>-1.5321724304276585</v>
      </c>
      <c r="Y106" s="18">
        <f t="shared" si="108"/>
        <v>-23.318200815939825</v>
      </c>
      <c r="Z106" s="18">
        <f t="shared" si="108"/>
        <v>23.501072043222358</v>
      </c>
      <c r="AA106" s="18">
        <f t="shared" si="108"/>
        <v>1.0721976786739473</v>
      </c>
      <c r="AB106" s="18">
        <f t="shared" si="109"/>
        <v>8.0549620448545411</v>
      </c>
      <c r="AD106" s="18">
        <f t="shared" si="110"/>
        <v>8.0549620448545411</v>
      </c>
      <c r="AE106" s="18">
        <f t="shared" si="111"/>
        <v>7.3213360683039408</v>
      </c>
      <c r="AF106" s="18">
        <f t="shared" si="112"/>
        <v>11.447789644068539</v>
      </c>
    </row>
    <row r="107" spans="1:32" x14ac:dyDescent="0.2">
      <c r="A107" t="str">
        <f t="shared" si="95"/>
        <v>92 Elementary administration and service occupations</v>
      </c>
      <c r="B107" s="18">
        <f t="shared" si="96"/>
        <v>-0.73498493077527316</v>
      </c>
      <c r="C107" s="18">
        <f t="shared" si="96"/>
        <v>-7.5419237224674029</v>
      </c>
      <c r="D107" s="18">
        <f t="shared" si="96"/>
        <v>-2.448447038511159</v>
      </c>
      <c r="E107" s="18">
        <f t="shared" si="96"/>
        <v>-0.99711918494923557</v>
      </c>
      <c r="F107" s="18">
        <f t="shared" si="97"/>
        <v>-1.4832785420224925</v>
      </c>
      <c r="H107" s="18">
        <f t="shared" si="98"/>
        <v>-1.4832785420224925</v>
      </c>
      <c r="I107" s="18">
        <f t="shared" si="99"/>
        <v>2.2794424228522736</v>
      </c>
      <c r="J107" s="18">
        <f t="shared" si="100"/>
        <v>1.2309760752373444</v>
      </c>
      <c r="L107" t="str">
        <f t="shared" si="101"/>
        <v>92 Elementary administration and service occupations</v>
      </c>
      <c r="M107" s="18">
        <f t="shared" si="102"/>
        <v>-2.3136489830386853</v>
      </c>
      <c r="N107" s="18">
        <f t="shared" si="102"/>
        <v>-4.2633839314353938</v>
      </c>
      <c r="O107" s="18">
        <f t="shared" si="102"/>
        <v>-0.69434603798710359</v>
      </c>
      <c r="P107" s="18">
        <f t="shared" si="102"/>
        <v>-0.91628254692739386</v>
      </c>
      <c r="Q107" s="18">
        <f t="shared" si="103"/>
        <v>-0.84235887677216459</v>
      </c>
      <c r="S107" s="18">
        <f t="shared" si="104"/>
        <v>-0.84235887677216459</v>
      </c>
      <c r="T107" s="18">
        <f t="shared" si="105"/>
        <v>2.1167863216122962</v>
      </c>
      <c r="U107" s="18">
        <f t="shared" si="106"/>
        <v>1.4987466014983353</v>
      </c>
      <c r="W107" t="str">
        <f t="shared" si="107"/>
        <v>92 Elementary administration and service occupations</v>
      </c>
      <c r="X107" s="18">
        <f t="shared" si="108"/>
        <v>0.87838989120414546</v>
      </c>
      <c r="Y107" s="18">
        <f t="shared" si="108"/>
        <v>-10.63375775707609</v>
      </c>
      <c r="Z107" s="18">
        <f t="shared" si="108"/>
        <v>-4.3588332295274927</v>
      </c>
      <c r="AA107" s="18">
        <f t="shared" si="108"/>
        <v>-1.0964882217137428</v>
      </c>
      <c r="AB107" s="18">
        <f t="shared" si="109"/>
        <v>-2.1961171407546831</v>
      </c>
      <c r="AD107" s="18">
        <f t="shared" si="110"/>
        <v>-2.1961171407546831</v>
      </c>
      <c r="AE107" s="18">
        <f t="shared" si="111"/>
        <v>2.4401730978444336</v>
      </c>
      <c r="AF107" s="18">
        <f t="shared" si="112"/>
        <v>0.94999262114612293</v>
      </c>
    </row>
    <row r="108" spans="1:32" x14ac:dyDescent="0.2">
      <c r="C108" s="18"/>
      <c r="F108" s="18"/>
      <c r="H108" s="18"/>
      <c r="I108" s="18"/>
      <c r="J108" s="18"/>
      <c r="N108" s="18"/>
      <c r="Q108" s="18"/>
      <c r="S108" s="18"/>
      <c r="T108" s="18"/>
      <c r="U108" s="18"/>
      <c r="Y108" s="18"/>
      <c r="AB108" s="18"/>
      <c r="AD108" s="18"/>
      <c r="AE108" s="18"/>
      <c r="AF108" s="18"/>
    </row>
    <row r="109" spans="1:32" x14ac:dyDescent="0.2">
      <c r="A109" s="24" t="str">
        <f>A35</f>
        <v>All occupations</v>
      </c>
      <c r="B109" s="26">
        <f>IF(AND(C$6-B$6 &lt;&gt; 0,B35&lt;&gt;0,C35&lt;&gt;0),(EXP(LN(C35/B35)/(C$6-B$6))-1)*100,0)</f>
        <v>0.60067062186752729</v>
      </c>
      <c r="C109" s="26">
        <f>IF(AND(D$6-C$6 &lt;&gt; 0,C35&lt;&gt;0,D35&lt;&gt;0),(EXP(LN(D35/C35)/(D$6-C$6))-1)*100,0)</f>
        <v>0.21001779020024536</v>
      </c>
      <c r="D109" s="26">
        <f>IF(AND(E$6-D$6 &lt;&gt; 0,D35&lt;&gt;0,E35&lt;&gt;0),(EXP(LN(E35/D35)/(E$6-D$6))-1)*100,0)</f>
        <v>0.2137122903617783</v>
      </c>
      <c r="E109" s="26">
        <f>IF(AND(F$6-E$6 &lt;&gt; 0,E35&lt;&gt;0,F35&lt;&gt;0),(EXP(LN(F35/E35)/(F$6-E$6))-1)*100,0)</f>
        <v>0.23844593453650198</v>
      </c>
      <c r="F109" s="26">
        <f t="shared" ref="F109" si="113">IF(AND(F$6-D$6 &lt;&gt; 0,D35&lt;&gt;0,F35&lt;&gt;0),(EXP(LN(F35/D35)/(F$6-D$6))-1)*100,0)</f>
        <v>0.23020070827648453</v>
      </c>
      <c r="H109" s="26">
        <f t="shared" ref="H109" si="114">IF($F$6-$D$6 &lt;&gt; 0,(EXP(LN(1+(H72/100))/($F$6-$D$6))-1)*100,0)</f>
        <v>0.23020070827648453</v>
      </c>
      <c r="I109" s="26">
        <f>IF(D35&gt;0,((1+(I35/D35))^(1/($F$6-$D$6))-1)*100,0)</f>
        <v>2.6696961595657598</v>
      </c>
      <c r="J109" s="26">
        <f t="shared" ref="J109" si="115">IF($F$6-$D$6 &lt;&gt; 0,(EXP(LN(1+(J72/100))/($F$6-$D$6))-1)*100,0)</f>
        <v>2.8297189996571159</v>
      </c>
      <c r="L109" s="24" t="str">
        <f>L35</f>
        <v>All occupations</v>
      </c>
      <c r="M109" s="26">
        <f>IF(AND(N$6-M$6 &lt;&gt; 0,M35&lt;&gt;0,N35&lt;&gt;0),(EXP(LN(N35/M35)/(N$6-M$6))-1)*100,0)</f>
        <v>-0.30761970467830801</v>
      </c>
      <c r="N109" s="26">
        <f>IF(AND(O$6-N$6 &lt;&gt; 0,N35&lt;&gt;0,O35&lt;&gt;0),(EXP(LN(O35/N35)/(O$6-N$6))-1)*100,0)</f>
        <v>1.9970760416515576</v>
      </c>
      <c r="O109" s="26">
        <f>IF(AND(P$6-O$6 &lt;&gt; 0,O35&lt;&gt;0,P35&lt;&gt;0),(EXP(LN(P35/O35)/(P$6-O$6))-1)*100,0)</f>
        <v>0.12026170748109521</v>
      </c>
      <c r="P109" s="26">
        <f>IF(AND(Q$6-P$6 &lt;&gt; 0,P35&lt;&gt;0,Q35&lt;&gt;0),(EXP(LN(Q35/P35)/(Q$6-P$6))-1)*100,0)</f>
        <v>0.13828051845521383</v>
      </c>
      <c r="Q109" s="26">
        <f t="shared" ref="Q109" si="116">IF(AND(Q$6-O$6 &lt;&gt; 0,O35&lt;&gt;0,Q35&lt;&gt;0),(EXP(LN(Q35/O35)/(Q$6-O$6))-1)*100,0)</f>
        <v>0.13227388783982885</v>
      </c>
      <c r="S109" s="26">
        <f t="shared" ref="S109" si="117">IF($F$6-$D$6 &lt;&gt; 0,(EXP(LN(1+(S72/100))/($F$6-$D$6))-1)*100,0)</f>
        <v>0.13227388783982885</v>
      </c>
      <c r="T109" s="26">
        <f t="shared" ref="T109" si="118">IF(O35&gt;0,((1+(T35/O35))^(1/($F$6-$D$6))-1)*100,0)</f>
        <v>2.2779635744216709</v>
      </c>
      <c r="U109" s="26">
        <f t="shared" ref="U109" si="119">IF($F$6-$D$6 &lt;&gt; 0,(EXP(LN(1+(U72/100))/($F$6-$D$6))-1)*100,0)</f>
        <v>2.3747183879633704</v>
      </c>
      <c r="W109" s="24" t="str">
        <f>W35</f>
        <v>All occupations</v>
      </c>
      <c r="X109" s="26">
        <f>IF(AND(Y$6-X$6 &lt;&gt; 0,X35&lt;&gt;0,Y35&lt;&gt;0),(EXP(LN(Y35/X35)/(Y$6-X$6))-1)*100,0)</f>
        <v>1.6091302228793625</v>
      </c>
      <c r="Y109" s="26">
        <f>IF(AND(Z$6-Y$6 &lt;&gt; 0,Y35&lt;&gt;0,Z35&lt;&gt;0),(EXP(LN(Z35/Y35)/(Z$6-Y$6))-1)*100,0)</f>
        <v>-1.68189137658451</v>
      </c>
      <c r="Z109" s="26">
        <f>IF(AND(AA$6-Z$6 &lt;&gt; 0,Z35&lt;&gt;0,AA35&lt;&gt;0),(EXP(LN(AA35/Z35)/(AA$6-Z$6))-1)*100,0)</f>
        <v>0.315947786971571</v>
      </c>
      <c r="AA109" s="26">
        <f>IF(AND(AB$6-AA$6 &lt;&gt; 0,AA35&lt;&gt;0,AB35&lt;&gt;0),(EXP(LN(AB35/AA35)/(AB$6-AA$6))-1)*100,0)</f>
        <v>0.3463744662698387</v>
      </c>
      <c r="AB109" s="26">
        <f t="shared" ref="AB109" si="120">IF(AND(AB$6-Z$6 &lt;&gt; 0,Z35&lt;&gt;0,AB35&lt;&gt;0),(EXP(LN(AB35/Z35)/(AB$6-Z$6))-1)*100,0)</f>
        <v>0.33623121456747285</v>
      </c>
      <c r="AD109" s="26">
        <f t="shared" ref="AD109" si="121">IF($F$6-$D$6 &lt;&gt; 0,(EXP(LN(1+(AD72/100))/($F$6-$D$6))-1)*100,0)</f>
        <v>0.33623121456747285</v>
      </c>
      <c r="AE109" s="26">
        <f t="shared" ref="AE109" si="122">IF(Z35&gt;0,((1+(AE35/Z35))^(1/($F$6-$D$6))-1)*100,0)</f>
        <v>3.0771138600786729</v>
      </c>
      <c r="AF109" s="26">
        <f t="shared" ref="AF109" si="123">IF($F$6-$D$6 &lt;&gt; 0,(EXP(LN(1+(AF72/100))/($F$6-$D$6))-1)*100,0)</f>
        <v>3.2989651247028684</v>
      </c>
    </row>
    <row r="112" spans="1:32" ht="15.75" x14ac:dyDescent="0.25">
      <c r="A112" s="19" t="str">
        <f>CONCATENATE(A$1," (Continued)")</f>
        <v>Occupation Table 2  Employment Change by Occupation (SOC 2020) and Replacement Demand, 2015-2035, Greater Lincolnshire (Continued)</v>
      </c>
      <c r="L112" s="19" t="str">
        <f>CONCATENATE(L$1," (Continued)")</f>
        <v>Occupation Table 2.1  Males: Employment Change by Occupation (SOC 2020) and Replacement Demand, 2015-2035, Greater Lincolnshire (Continued)</v>
      </c>
      <c r="W112" s="19" t="str">
        <f>CONCATENATE(W$1," (Continued)")</f>
        <v>Occupation Table 2.2  Females: Employment Change by Occupation (SOC 2020) and Replacement Demand, 2015-2035, Greater Lincolnshire (Continued)</v>
      </c>
    </row>
    <row r="114" spans="1:28" x14ac:dyDescent="0.2">
      <c r="F114" s="16" t="s">
        <v>36</v>
      </c>
      <c r="Q114" s="16" t="s">
        <v>36</v>
      </c>
      <c r="AB114" s="16" t="s">
        <v>36</v>
      </c>
    </row>
    <row r="115" spans="1:28" x14ac:dyDescent="0.2">
      <c r="A115" s="36"/>
      <c r="B115" s="36"/>
      <c r="C115" s="36"/>
      <c r="D115" s="36"/>
      <c r="E115" s="36"/>
      <c r="F115" s="36"/>
      <c r="L115" s="36"/>
      <c r="M115" s="36"/>
      <c r="N115" s="36"/>
      <c r="O115" s="36"/>
      <c r="P115" s="36"/>
      <c r="Q115" s="36"/>
      <c r="W115" s="36"/>
      <c r="X115" s="36"/>
      <c r="Y115" s="36"/>
      <c r="Z115" s="36"/>
      <c r="AA115" s="36"/>
      <c r="AB115" s="36"/>
    </row>
    <row r="117" spans="1:28" x14ac:dyDescent="0.2">
      <c r="A117" s="41" t="s">
        <v>19</v>
      </c>
      <c r="B117" s="64" t="str">
        <f>CONCATENATE(B$6,"-",C$6)</f>
        <v>2015-2019</v>
      </c>
      <c r="C117" s="64" t="str">
        <f>CONCATENATE(C$6,"-",D$6)</f>
        <v>2019-2020</v>
      </c>
      <c r="D117" s="64" t="str">
        <f>CONCATENATE(D$6,"-",E$6)</f>
        <v>2020-2025</v>
      </c>
      <c r="E117" s="64" t="str">
        <f>CONCATENATE(E$6,"-",F$6)</f>
        <v>2025-2035</v>
      </c>
      <c r="F117" s="64" t="str">
        <f>CONCATENATE(D$6,"-",F$6)</f>
        <v>2020-2035</v>
      </c>
      <c r="L117" s="41" t="s">
        <v>19</v>
      </c>
      <c r="M117" s="64" t="str">
        <f>CONCATENATE(M$6,"-",N$6)</f>
        <v>2015-2019</v>
      </c>
      <c r="N117" s="64" t="str">
        <f>CONCATENATE(N$6,"-",O$6)</f>
        <v>2019-2020</v>
      </c>
      <c r="O117" s="64" t="str">
        <f>CONCATENATE(O$6,"-",P$6)</f>
        <v>2020-2025</v>
      </c>
      <c r="P117" s="64" t="str">
        <f>CONCATENATE(P$6,"-",Q$6)</f>
        <v>2025-2035</v>
      </c>
      <c r="Q117" s="64" t="str">
        <f>CONCATENATE(O$6,"-",Q$6)</f>
        <v>2020-2035</v>
      </c>
      <c r="W117" s="41" t="s">
        <v>19</v>
      </c>
      <c r="X117" s="64" t="str">
        <f>CONCATENATE(X$6,"-",Y$6)</f>
        <v>2015-2019</v>
      </c>
      <c r="Y117" s="64" t="str">
        <f>CONCATENATE(Y$6,"-",Z$6)</f>
        <v>2019-2020</v>
      </c>
      <c r="Z117" s="64" t="str">
        <f>CONCATENATE(Z$6,"-",AA$6)</f>
        <v>2020-2025</v>
      </c>
      <c r="AA117" s="64" t="str">
        <f>CONCATENATE(AA$6,"-",AB$6)</f>
        <v>2025-2035</v>
      </c>
      <c r="AB117" s="64" t="str">
        <f>CONCATENATE(Z$6,"-",AB$6)</f>
        <v>2020-2035</v>
      </c>
    </row>
    <row r="118" spans="1:28" x14ac:dyDescent="0.2">
      <c r="B118" s="20"/>
      <c r="C118" s="20"/>
      <c r="D118" s="20"/>
      <c r="E118" s="20"/>
      <c r="F118" s="20"/>
      <c r="M118" s="20"/>
      <c r="N118" s="20"/>
      <c r="O118" s="20"/>
      <c r="P118" s="20"/>
      <c r="Q118" s="20"/>
      <c r="X118" s="20"/>
      <c r="Y118" s="20"/>
      <c r="Z118" s="20"/>
      <c r="AA118" s="20"/>
      <c r="AB118" s="20"/>
    </row>
    <row r="119" spans="1:28" x14ac:dyDescent="0.2">
      <c r="A119" t="str">
        <f t="shared" ref="A119:A144" si="124">A8</f>
        <v>11 Corporate managers and directors</v>
      </c>
      <c r="B119" s="27">
        <f t="shared" ref="B119:E144" si="125">C8-B8</f>
        <v>5.1876055400931946</v>
      </c>
      <c r="C119" s="27">
        <f t="shared" si="125"/>
        <v>1.8499610104355142</v>
      </c>
      <c r="D119" s="27">
        <f t="shared" si="125"/>
        <v>-4.0309241930718187</v>
      </c>
      <c r="E119" s="27">
        <f t="shared" si="125"/>
        <v>2.5186867184371451</v>
      </c>
      <c r="F119" s="27">
        <f t="shared" ref="F119:F144" si="126">F8-D8</f>
        <v>-1.5122374746346736</v>
      </c>
      <c r="L119" t="str">
        <f t="shared" ref="L119:L144" si="127">L8</f>
        <v>11 Corporate managers and directors</v>
      </c>
      <c r="M119" s="27">
        <f t="shared" ref="M119:P144" si="128">N8-M8</f>
        <v>2.4401663904862474</v>
      </c>
      <c r="N119" s="27">
        <f t="shared" si="128"/>
        <v>1.5055031309602214</v>
      </c>
      <c r="O119" s="27">
        <f t="shared" si="128"/>
        <v>-3.6653111707934372</v>
      </c>
      <c r="P119" s="27">
        <f t="shared" si="128"/>
        <v>0.7158258267743669</v>
      </c>
      <c r="Q119" s="27">
        <f t="shared" ref="Q119:Q144" si="129">Q8-O8</f>
        <v>-2.9494853440190703</v>
      </c>
      <c r="W119" t="str">
        <f t="shared" ref="W119:W144" si="130">W8</f>
        <v>11 Corporate managers and directors</v>
      </c>
      <c r="X119" s="27">
        <f t="shared" ref="X119:AA144" si="131">Y8-X8</f>
        <v>2.7474391496070076</v>
      </c>
      <c r="Y119" s="27">
        <f t="shared" si="131"/>
        <v>0.34445787947525197</v>
      </c>
      <c r="Z119" s="27">
        <f t="shared" si="131"/>
        <v>-0.3656130222783851</v>
      </c>
      <c r="AA119" s="27">
        <f t="shared" si="131"/>
        <v>1.8028608916628546</v>
      </c>
      <c r="AB119" s="27">
        <f t="shared" ref="AB119:AB144" si="132">AB8-Z8</f>
        <v>1.4372478693844695</v>
      </c>
    </row>
    <row r="120" spans="1:28" x14ac:dyDescent="0.2">
      <c r="A120" t="str">
        <f t="shared" si="124"/>
        <v>12 Other managers and proprietors</v>
      </c>
      <c r="B120" s="27">
        <f t="shared" si="125"/>
        <v>1.2985135883524066</v>
      </c>
      <c r="C120" s="27">
        <f t="shared" si="125"/>
        <v>0.84161162269206713</v>
      </c>
      <c r="D120" s="27">
        <f t="shared" si="125"/>
        <v>0.50905717833236963</v>
      </c>
      <c r="E120" s="27">
        <f t="shared" si="125"/>
        <v>2.0384009582017804</v>
      </c>
      <c r="F120" s="27">
        <f t="shared" si="126"/>
        <v>2.54745813653415</v>
      </c>
      <c r="L120" t="str">
        <f t="shared" si="127"/>
        <v>12 Other managers and proprietors</v>
      </c>
      <c r="M120" s="27">
        <f t="shared" si="128"/>
        <v>0.4859698860709738</v>
      </c>
      <c r="N120" s="27">
        <f t="shared" si="128"/>
        <v>0.83587110602998216</v>
      </c>
      <c r="O120" s="27">
        <f t="shared" si="128"/>
        <v>1.2264260700892144</v>
      </c>
      <c r="P120" s="27">
        <f t="shared" si="128"/>
        <v>1.5180015137812966</v>
      </c>
      <c r="Q120" s="27">
        <f t="shared" si="129"/>
        <v>2.744427583870511</v>
      </c>
      <c r="W120" t="str">
        <f t="shared" si="130"/>
        <v>12 Other managers and proprietors</v>
      </c>
      <c r="X120" s="27">
        <f t="shared" si="131"/>
        <v>0.81254370228142037</v>
      </c>
      <c r="Y120" s="27">
        <f t="shared" si="131"/>
        <v>5.7405166621107284E-3</v>
      </c>
      <c r="Z120" s="27">
        <f t="shared" si="131"/>
        <v>-0.71736889175684215</v>
      </c>
      <c r="AA120" s="27">
        <f t="shared" si="131"/>
        <v>0.52039944442046426</v>
      </c>
      <c r="AB120" s="27">
        <f t="shared" si="132"/>
        <v>-0.19696944733637789</v>
      </c>
    </row>
    <row r="121" spans="1:28" x14ac:dyDescent="0.2">
      <c r="A121" t="str">
        <f t="shared" si="124"/>
        <v>21 Science, research, engineering and technology professionals</v>
      </c>
      <c r="B121" s="27">
        <f t="shared" si="125"/>
        <v>2.9356042400065618</v>
      </c>
      <c r="C121" s="27">
        <f t="shared" si="125"/>
        <v>1.8927641669207631</v>
      </c>
      <c r="D121" s="27">
        <f t="shared" si="125"/>
        <v>6.4056946730086359</v>
      </c>
      <c r="E121" s="27">
        <f t="shared" si="125"/>
        <v>5.0990104746482103</v>
      </c>
      <c r="F121" s="27">
        <f t="shared" si="126"/>
        <v>11.504705147656846</v>
      </c>
      <c r="L121" t="str">
        <f t="shared" si="127"/>
        <v>21 Science, research, engineering and technology professionals</v>
      </c>
      <c r="M121" s="27">
        <f t="shared" si="128"/>
        <v>2.4311353126537369</v>
      </c>
      <c r="N121" s="27">
        <f t="shared" si="128"/>
        <v>0.77934686150203092</v>
      </c>
      <c r="O121" s="27">
        <f t="shared" si="128"/>
        <v>4.4401828480478329</v>
      </c>
      <c r="P121" s="27">
        <f t="shared" si="128"/>
        <v>3.3969774404746538</v>
      </c>
      <c r="Q121" s="27">
        <f t="shared" si="129"/>
        <v>7.8371602885224867</v>
      </c>
      <c r="W121" t="str">
        <f t="shared" si="130"/>
        <v>21 Science, research, engineering and technology professionals</v>
      </c>
      <c r="X121" s="27">
        <f t="shared" si="131"/>
        <v>0.50446892735278537</v>
      </c>
      <c r="Y121" s="27">
        <f t="shared" si="131"/>
        <v>1.1134173054188228</v>
      </c>
      <c r="Z121" s="27">
        <f t="shared" si="131"/>
        <v>1.9655118249607497</v>
      </c>
      <c r="AA121" s="27">
        <f t="shared" si="131"/>
        <v>1.7020330341736232</v>
      </c>
      <c r="AB121" s="27">
        <f t="shared" si="132"/>
        <v>3.6675448591343729</v>
      </c>
    </row>
    <row r="122" spans="1:28" x14ac:dyDescent="0.2">
      <c r="A122" t="str">
        <f t="shared" si="124"/>
        <v>22 Health professionals</v>
      </c>
      <c r="B122" s="27">
        <f t="shared" si="125"/>
        <v>2.8466240485853334</v>
      </c>
      <c r="C122" s="27">
        <f t="shared" si="125"/>
        <v>0.20926329016682743</v>
      </c>
      <c r="D122" s="27">
        <f t="shared" si="125"/>
        <v>-0.47889159126810554</v>
      </c>
      <c r="E122" s="27">
        <f t="shared" si="125"/>
        <v>1.4775221390170863</v>
      </c>
      <c r="F122" s="27">
        <f t="shared" si="126"/>
        <v>0.99863054774898075</v>
      </c>
      <c r="L122" t="str">
        <f t="shared" si="127"/>
        <v>22 Health professionals</v>
      </c>
      <c r="M122" s="27">
        <f t="shared" si="128"/>
        <v>0.32732024470527765</v>
      </c>
      <c r="N122" s="27">
        <f t="shared" si="128"/>
        <v>0.7183031449805215</v>
      </c>
      <c r="O122" s="27">
        <f t="shared" si="128"/>
        <v>-0.14470940858845971</v>
      </c>
      <c r="P122" s="27">
        <f t="shared" si="128"/>
        <v>0.3398814539090651</v>
      </c>
      <c r="Q122" s="27">
        <f t="shared" si="129"/>
        <v>0.19517204532060539</v>
      </c>
      <c r="W122" t="str">
        <f t="shared" si="130"/>
        <v>22 Health professionals</v>
      </c>
      <c r="X122" s="27">
        <f t="shared" si="131"/>
        <v>2.5193038038800655</v>
      </c>
      <c r="Y122" s="27">
        <f t="shared" si="131"/>
        <v>-0.50903985481367542</v>
      </c>
      <c r="Z122" s="27">
        <f t="shared" si="131"/>
        <v>-0.33418218267966537</v>
      </c>
      <c r="AA122" s="27">
        <f t="shared" si="131"/>
        <v>1.1376406851080425</v>
      </c>
      <c r="AB122" s="27">
        <f t="shared" si="132"/>
        <v>0.80345850242837713</v>
      </c>
    </row>
    <row r="123" spans="1:28" x14ac:dyDescent="0.2">
      <c r="A123" t="str">
        <f t="shared" si="124"/>
        <v>23 Teaching and other educational professionals</v>
      </c>
      <c r="B123" s="27">
        <f t="shared" si="125"/>
        <v>0.31703644074582726</v>
      </c>
      <c r="C123" s="27">
        <f t="shared" si="125"/>
        <v>0.84973299416448</v>
      </c>
      <c r="D123" s="27">
        <f t="shared" si="125"/>
        <v>-1.3955261426576833</v>
      </c>
      <c r="E123" s="27">
        <f t="shared" si="125"/>
        <v>0.5273996454104406</v>
      </c>
      <c r="F123" s="27">
        <f t="shared" si="126"/>
        <v>-0.86812649724724267</v>
      </c>
      <c r="L123" t="str">
        <f t="shared" si="127"/>
        <v>23 Teaching and other educational professionals</v>
      </c>
      <c r="M123" s="27">
        <f t="shared" si="128"/>
        <v>-0.50707280083894357</v>
      </c>
      <c r="N123" s="27">
        <f t="shared" si="128"/>
        <v>0.31573161564314312</v>
      </c>
      <c r="O123" s="27">
        <f t="shared" si="128"/>
        <v>-0.18135016937242909</v>
      </c>
      <c r="P123" s="27">
        <f t="shared" si="128"/>
        <v>0.21395981075105475</v>
      </c>
      <c r="Q123" s="27">
        <f t="shared" si="129"/>
        <v>3.2609641378625653E-2</v>
      </c>
      <c r="W123" t="str">
        <f t="shared" si="130"/>
        <v>23 Teaching and other educational professionals</v>
      </c>
      <c r="X123" s="27">
        <f t="shared" si="131"/>
        <v>0.82410924158478238</v>
      </c>
      <c r="Y123" s="27">
        <f t="shared" si="131"/>
        <v>0.53400137852136709</v>
      </c>
      <c r="Z123" s="27">
        <f t="shared" si="131"/>
        <v>-1.2141759732852915</v>
      </c>
      <c r="AA123" s="27">
        <f t="shared" si="131"/>
        <v>0.31343983465939296</v>
      </c>
      <c r="AB123" s="27">
        <f t="shared" si="132"/>
        <v>-0.90073613862589852</v>
      </c>
    </row>
    <row r="124" spans="1:28" x14ac:dyDescent="0.2">
      <c r="A124" t="str">
        <f t="shared" si="124"/>
        <v>24 Business, media and public service professionals</v>
      </c>
      <c r="B124" s="27">
        <f t="shared" si="125"/>
        <v>3.6952776422394926</v>
      </c>
      <c r="C124" s="27">
        <f t="shared" si="125"/>
        <v>3.8588652888090174</v>
      </c>
      <c r="D124" s="27">
        <f t="shared" si="125"/>
        <v>1.1351037929031769</v>
      </c>
      <c r="E124" s="27">
        <f t="shared" si="125"/>
        <v>3.7471775990974905</v>
      </c>
      <c r="F124" s="27">
        <f t="shared" si="126"/>
        <v>4.8822813920006674</v>
      </c>
      <c r="L124" t="str">
        <f t="shared" si="127"/>
        <v>24 Business, media and public service professionals</v>
      </c>
      <c r="M124" s="27">
        <f t="shared" si="128"/>
        <v>0.88498837855387258</v>
      </c>
      <c r="N124" s="27">
        <f t="shared" si="128"/>
        <v>1.9111853064241071</v>
      </c>
      <c r="O124" s="27">
        <f t="shared" si="128"/>
        <v>0.75349053913134867</v>
      </c>
      <c r="P124" s="27">
        <f t="shared" si="128"/>
        <v>1.4817213424651996</v>
      </c>
      <c r="Q124" s="27">
        <f t="shared" si="129"/>
        <v>2.2352118815965483</v>
      </c>
      <c r="W124" t="str">
        <f t="shared" si="130"/>
        <v>24 Business, media and public service professionals</v>
      </c>
      <c r="X124" s="27">
        <f t="shared" si="131"/>
        <v>2.8102892636856431</v>
      </c>
      <c r="Y124" s="27">
        <f t="shared" si="131"/>
        <v>1.9476799823848943</v>
      </c>
      <c r="Z124" s="27">
        <f t="shared" si="131"/>
        <v>0.38161325377182287</v>
      </c>
      <c r="AA124" s="27">
        <f t="shared" si="131"/>
        <v>2.2654562566323353</v>
      </c>
      <c r="AB124" s="27">
        <f t="shared" si="132"/>
        <v>2.6470695104041582</v>
      </c>
    </row>
    <row r="125" spans="1:28" x14ac:dyDescent="0.2">
      <c r="A125" t="str">
        <f t="shared" si="124"/>
        <v>31 Science, engineering and technology associate professionals</v>
      </c>
      <c r="B125" s="27">
        <f t="shared" si="125"/>
        <v>1.1851945880002068</v>
      </c>
      <c r="C125" s="27">
        <f t="shared" si="125"/>
        <v>1.1470355744821017</v>
      </c>
      <c r="D125" s="27">
        <f t="shared" si="125"/>
        <v>-0.75450805147813149</v>
      </c>
      <c r="E125" s="27">
        <f t="shared" si="125"/>
        <v>0.70235783482911174</v>
      </c>
      <c r="F125" s="27">
        <f t="shared" si="126"/>
        <v>-5.2150216649019754E-2</v>
      </c>
      <c r="L125" t="str">
        <f t="shared" si="127"/>
        <v>31 Science, engineering and technology associate professionals</v>
      </c>
      <c r="M125" s="27">
        <f t="shared" si="128"/>
        <v>1.0568822266647873</v>
      </c>
      <c r="N125" s="27">
        <f t="shared" si="128"/>
        <v>0.66300957087184464</v>
      </c>
      <c r="O125" s="27">
        <f t="shared" si="128"/>
        <v>-0.90066798091721267</v>
      </c>
      <c r="P125" s="27">
        <f t="shared" si="128"/>
        <v>0.22857533524339946</v>
      </c>
      <c r="Q125" s="27">
        <f t="shared" si="129"/>
        <v>-0.67209264567381322</v>
      </c>
      <c r="W125" t="str">
        <f t="shared" si="130"/>
        <v>31 Science, engineering and technology associate professionals</v>
      </c>
      <c r="X125" s="27">
        <f t="shared" si="131"/>
        <v>0.12831236133543844</v>
      </c>
      <c r="Y125" s="27">
        <f t="shared" si="131"/>
        <v>0.48402600361025172</v>
      </c>
      <c r="Z125" s="27">
        <f t="shared" si="131"/>
        <v>0.14615992943905676</v>
      </c>
      <c r="AA125" s="27">
        <f t="shared" si="131"/>
        <v>0.47378249958571006</v>
      </c>
      <c r="AB125" s="27">
        <f t="shared" si="132"/>
        <v>0.61994242902476682</v>
      </c>
    </row>
    <row r="126" spans="1:28" x14ac:dyDescent="0.2">
      <c r="A126" t="str">
        <f t="shared" si="124"/>
        <v>32 Health and social care associate professionals</v>
      </c>
      <c r="B126" s="27">
        <f t="shared" si="125"/>
        <v>1.1414109921548938</v>
      </c>
      <c r="C126" s="27">
        <f t="shared" si="125"/>
        <v>0.21255762305231052</v>
      </c>
      <c r="D126" s="27">
        <f t="shared" si="125"/>
        <v>5.6459922808339957</v>
      </c>
      <c r="E126" s="27">
        <f t="shared" si="125"/>
        <v>2.6886013509111741</v>
      </c>
      <c r="F126" s="27">
        <f t="shared" si="126"/>
        <v>8.3345936317451699</v>
      </c>
      <c r="L126" t="str">
        <f t="shared" si="127"/>
        <v>32 Health and social care associate professionals</v>
      </c>
      <c r="M126" s="27">
        <f t="shared" si="128"/>
        <v>3.9931906211905233E-3</v>
      </c>
      <c r="N126" s="27">
        <f t="shared" si="128"/>
        <v>0.24595233079211565</v>
      </c>
      <c r="O126" s="27">
        <f t="shared" si="128"/>
        <v>0.67202412446048632</v>
      </c>
      <c r="P126" s="27">
        <f t="shared" si="128"/>
        <v>0.3632009171511279</v>
      </c>
      <c r="Q126" s="27">
        <f t="shared" si="129"/>
        <v>1.0352250416116142</v>
      </c>
      <c r="W126" t="str">
        <f t="shared" si="130"/>
        <v>32 Health and social care associate professionals</v>
      </c>
      <c r="X126" s="27">
        <f t="shared" si="131"/>
        <v>1.1374178015337106</v>
      </c>
      <c r="Y126" s="27">
        <f t="shared" si="131"/>
        <v>-3.3394707739804907E-2</v>
      </c>
      <c r="Z126" s="27">
        <f t="shared" si="131"/>
        <v>4.9739681563734877</v>
      </c>
      <c r="AA126" s="27">
        <f t="shared" si="131"/>
        <v>2.32540043376002</v>
      </c>
      <c r="AB126" s="27">
        <f t="shared" si="132"/>
        <v>7.2993685901335077</v>
      </c>
    </row>
    <row r="127" spans="1:28" x14ac:dyDescent="0.2">
      <c r="A127" t="str">
        <f t="shared" si="124"/>
        <v>33 Protective service occupations</v>
      </c>
      <c r="B127" s="27">
        <f t="shared" si="125"/>
        <v>-1.2788782075540794E-2</v>
      </c>
      <c r="C127" s="27">
        <f t="shared" si="125"/>
        <v>0.28252998716719979</v>
      </c>
      <c r="D127" s="27">
        <f t="shared" si="125"/>
        <v>-0.779538984688803</v>
      </c>
      <c r="E127" s="27">
        <f t="shared" si="125"/>
        <v>0.28053604486955486</v>
      </c>
      <c r="F127" s="27">
        <f t="shared" si="126"/>
        <v>-0.49900293981924815</v>
      </c>
      <c r="L127" t="str">
        <f t="shared" si="127"/>
        <v>33 Protective service occupations</v>
      </c>
      <c r="M127" s="27">
        <f t="shared" si="128"/>
        <v>-0.10224658197640935</v>
      </c>
      <c r="N127" s="27">
        <f t="shared" si="128"/>
        <v>0.15164771737934046</v>
      </c>
      <c r="O127" s="27">
        <f t="shared" si="128"/>
        <v>-0.64662245239141392</v>
      </c>
      <c r="P127" s="27">
        <f t="shared" si="128"/>
        <v>-6.2960033769924095E-2</v>
      </c>
      <c r="Q127" s="27">
        <f t="shared" si="129"/>
        <v>-0.70958248616133801</v>
      </c>
      <c r="W127" t="str">
        <f t="shared" si="130"/>
        <v>33 Protective service occupations</v>
      </c>
      <c r="X127" s="27">
        <f t="shared" si="131"/>
        <v>8.945779990086733E-2</v>
      </c>
      <c r="Y127" s="27">
        <f t="shared" si="131"/>
        <v>0.13088226978785933</v>
      </c>
      <c r="Z127" s="27">
        <f t="shared" si="131"/>
        <v>-0.13291653229739464</v>
      </c>
      <c r="AA127" s="27">
        <f t="shared" si="131"/>
        <v>0.34349607863948139</v>
      </c>
      <c r="AB127" s="27">
        <f t="shared" si="132"/>
        <v>0.21057954634208675</v>
      </c>
    </row>
    <row r="128" spans="1:28" x14ac:dyDescent="0.2">
      <c r="A128" t="str">
        <f t="shared" si="124"/>
        <v>34 Culture, media and sports occupations</v>
      </c>
      <c r="B128" s="27">
        <f t="shared" si="125"/>
        <v>6.8797921800779704E-2</v>
      </c>
      <c r="C128" s="27">
        <f t="shared" si="125"/>
        <v>0.21012595219348196</v>
      </c>
      <c r="D128" s="27">
        <f t="shared" si="125"/>
        <v>-1.0090101368732496</v>
      </c>
      <c r="E128" s="27">
        <f t="shared" si="125"/>
        <v>0.32204255058128872</v>
      </c>
      <c r="F128" s="27">
        <f t="shared" si="126"/>
        <v>-0.68696758629196086</v>
      </c>
      <c r="L128" t="str">
        <f t="shared" si="127"/>
        <v>34 Culture, media and sports occupations</v>
      </c>
      <c r="M128" s="27">
        <f t="shared" si="128"/>
        <v>-0.37760268340109659</v>
      </c>
      <c r="N128" s="27">
        <f t="shared" si="128"/>
        <v>1.4293302390568918E-3</v>
      </c>
      <c r="O128" s="27">
        <f t="shared" si="128"/>
        <v>-0.56481916468996474</v>
      </c>
      <c r="P128" s="27">
        <f t="shared" si="128"/>
        <v>0.15707767521050098</v>
      </c>
      <c r="Q128" s="27">
        <f t="shared" si="129"/>
        <v>-0.40774148947946376</v>
      </c>
      <c r="W128" t="str">
        <f t="shared" si="130"/>
        <v>34 Culture, media and sports occupations</v>
      </c>
      <c r="X128" s="27">
        <f t="shared" si="131"/>
        <v>0.44640060520187053</v>
      </c>
      <c r="Y128" s="27">
        <f t="shared" si="131"/>
        <v>0.20869662195443395</v>
      </c>
      <c r="Z128" s="27">
        <f t="shared" si="131"/>
        <v>-0.4441909721832924</v>
      </c>
      <c r="AA128" s="27">
        <f t="shared" si="131"/>
        <v>0.16496487537079263</v>
      </c>
      <c r="AB128" s="27">
        <f t="shared" si="132"/>
        <v>-0.27922609681249977</v>
      </c>
    </row>
    <row r="129" spans="1:28" x14ac:dyDescent="0.2">
      <c r="A129" t="str">
        <f t="shared" si="124"/>
        <v>35 Business and public service associate professionals</v>
      </c>
      <c r="B129" s="27">
        <f t="shared" si="125"/>
        <v>1.4821964609269891</v>
      </c>
      <c r="C129" s="27">
        <f t="shared" si="125"/>
        <v>1.7934273789432922</v>
      </c>
      <c r="D129" s="27">
        <f t="shared" si="125"/>
        <v>-0.11730198044780238</v>
      </c>
      <c r="E129" s="27">
        <f t="shared" si="125"/>
        <v>1.3823621103986312</v>
      </c>
      <c r="F129" s="27">
        <f t="shared" si="126"/>
        <v>1.2650601299508288</v>
      </c>
      <c r="L129" t="str">
        <f t="shared" si="127"/>
        <v>35 Business and public service associate professionals</v>
      </c>
      <c r="M129" s="27">
        <f t="shared" si="128"/>
        <v>0.30452870497344797</v>
      </c>
      <c r="N129" s="27">
        <f t="shared" si="128"/>
        <v>1.2676256503556207</v>
      </c>
      <c r="O129" s="27">
        <f t="shared" si="128"/>
        <v>-0.24927733110857275</v>
      </c>
      <c r="P129" s="27">
        <f t="shared" si="128"/>
        <v>0.17997265012354724</v>
      </c>
      <c r="Q129" s="27">
        <f t="shared" si="129"/>
        <v>-6.9304680985025513E-2</v>
      </c>
      <c r="W129" t="str">
        <f t="shared" si="130"/>
        <v>35 Business and public service associate professionals</v>
      </c>
      <c r="X129" s="27">
        <f t="shared" si="131"/>
        <v>1.1776677559535926</v>
      </c>
      <c r="Y129" s="27">
        <f t="shared" si="131"/>
        <v>0.52580172858765195</v>
      </c>
      <c r="Z129" s="27">
        <f t="shared" si="131"/>
        <v>0.13197535066082189</v>
      </c>
      <c r="AA129" s="27">
        <f t="shared" si="131"/>
        <v>1.2023894602750538</v>
      </c>
      <c r="AB129" s="27">
        <f t="shared" si="132"/>
        <v>1.3343648109358757</v>
      </c>
    </row>
    <row r="130" spans="1:28" x14ac:dyDescent="0.2">
      <c r="A130" t="str">
        <f t="shared" si="124"/>
        <v>41 Administrative occupations</v>
      </c>
      <c r="B130" s="27">
        <f t="shared" si="125"/>
        <v>-1.1216386198934742</v>
      </c>
      <c r="C130" s="27">
        <f t="shared" si="125"/>
        <v>1.7734780774857839</v>
      </c>
      <c r="D130" s="27">
        <f t="shared" si="125"/>
        <v>0.56200355387159107</v>
      </c>
      <c r="E130" s="27">
        <f t="shared" si="125"/>
        <v>-0.78847702748481652</v>
      </c>
      <c r="F130" s="27">
        <f t="shared" si="126"/>
        <v>-0.22647347361322545</v>
      </c>
      <c r="L130" t="str">
        <f t="shared" si="127"/>
        <v>41 Administrative occupations</v>
      </c>
      <c r="M130" s="27">
        <f t="shared" si="128"/>
        <v>-0.8417837997224229</v>
      </c>
      <c r="N130" s="27">
        <f t="shared" si="128"/>
        <v>2.0606976249774949</v>
      </c>
      <c r="O130" s="27">
        <f t="shared" si="128"/>
        <v>0.49771837381347872</v>
      </c>
      <c r="P130" s="27">
        <f t="shared" si="128"/>
        <v>1.1365526882769448</v>
      </c>
      <c r="Q130" s="27">
        <f t="shared" si="129"/>
        <v>1.6342710620904235</v>
      </c>
      <c r="W130" t="str">
        <f t="shared" si="130"/>
        <v>41 Administrative occupations</v>
      </c>
      <c r="X130" s="27">
        <f t="shared" si="131"/>
        <v>-0.27985482017093233</v>
      </c>
      <c r="Y130" s="27">
        <f t="shared" si="131"/>
        <v>-0.2872195474917163</v>
      </c>
      <c r="Z130" s="27">
        <f t="shared" si="131"/>
        <v>6.4285180058075042E-2</v>
      </c>
      <c r="AA130" s="27">
        <f t="shared" si="131"/>
        <v>-1.9250297157617418</v>
      </c>
      <c r="AB130" s="27">
        <f t="shared" si="132"/>
        <v>-1.8607445357036667</v>
      </c>
    </row>
    <row r="131" spans="1:28" x14ac:dyDescent="0.2">
      <c r="A131" t="str">
        <f t="shared" si="124"/>
        <v>42 Secretarial and related occupations</v>
      </c>
      <c r="B131" s="27">
        <f t="shared" si="125"/>
        <v>-0.69884146660068147</v>
      </c>
      <c r="C131" s="27">
        <f t="shared" si="125"/>
        <v>-0.16726802401831975</v>
      </c>
      <c r="D131" s="27">
        <f t="shared" si="125"/>
        <v>-0.68417609102520949</v>
      </c>
      <c r="E131" s="27">
        <f t="shared" si="125"/>
        <v>-2.0648645580936078</v>
      </c>
      <c r="F131" s="27">
        <f t="shared" si="126"/>
        <v>-2.7490406491188173</v>
      </c>
      <c r="L131" t="str">
        <f t="shared" si="127"/>
        <v>42 Secretarial and related occupations</v>
      </c>
      <c r="M131" s="27">
        <f t="shared" si="128"/>
        <v>-0.22572575181664845</v>
      </c>
      <c r="N131" s="27">
        <f t="shared" si="128"/>
        <v>2.9680913186954871E-2</v>
      </c>
      <c r="O131" s="27">
        <f t="shared" si="128"/>
        <v>-8.6551847581164632E-2</v>
      </c>
      <c r="P131" s="27">
        <f t="shared" si="128"/>
        <v>0.10697409935543845</v>
      </c>
      <c r="Q131" s="27">
        <f t="shared" si="129"/>
        <v>2.0422251774273814E-2</v>
      </c>
      <c r="W131" t="str">
        <f t="shared" si="130"/>
        <v>42 Secretarial and related occupations</v>
      </c>
      <c r="X131" s="27">
        <f t="shared" si="131"/>
        <v>-0.47311571478403813</v>
      </c>
      <c r="Y131" s="27">
        <f t="shared" si="131"/>
        <v>-0.19694893720527062</v>
      </c>
      <c r="Z131" s="27">
        <f t="shared" si="131"/>
        <v>-0.59762424344404153</v>
      </c>
      <c r="AA131" s="27">
        <f t="shared" si="131"/>
        <v>-2.17183865744905</v>
      </c>
      <c r="AB131" s="27">
        <f t="shared" si="132"/>
        <v>-2.7694629008930916</v>
      </c>
    </row>
    <row r="132" spans="1:28" x14ac:dyDescent="0.2">
      <c r="A132" t="str">
        <f t="shared" si="124"/>
        <v>51 Skilled agricultural and related trades</v>
      </c>
      <c r="B132" s="27">
        <f t="shared" si="125"/>
        <v>-0.34240410196226811</v>
      </c>
      <c r="C132" s="27">
        <f t="shared" si="125"/>
        <v>1.4431694342059895</v>
      </c>
      <c r="D132" s="27">
        <f t="shared" si="125"/>
        <v>-0.72828910337471875</v>
      </c>
      <c r="E132" s="27">
        <f t="shared" si="125"/>
        <v>-7.5209345209213296E-2</v>
      </c>
      <c r="F132" s="27">
        <f t="shared" si="126"/>
        <v>-0.80349844858393205</v>
      </c>
      <c r="L132" t="str">
        <f t="shared" si="127"/>
        <v>51 Skilled agricultural and related trades</v>
      </c>
      <c r="M132" s="27">
        <f t="shared" si="128"/>
        <v>-1.442491880751013</v>
      </c>
      <c r="N132" s="27">
        <f t="shared" si="128"/>
        <v>2.0442630946183362</v>
      </c>
      <c r="O132" s="27">
        <f t="shared" si="128"/>
        <v>-0.75209985823920089</v>
      </c>
      <c r="P132" s="27">
        <f t="shared" si="128"/>
        <v>-0.23210762187399947</v>
      </c>
      <c r="Q132" s="27">
        <f t="shared" si="129"/>
        <v>-0.98420748011320036</v>
      </c>
      <c r="W132" t="str">
        <f t="shared" si="130"/>
        <v>51 Skilled agricultural and related trades</v>
      </c>
      <c r="X132" s="27">
        <f t="shared" si="131"/>
        <v>1.1000877787887335</v>
      </c>
      <c r="Y132" s="27">
        <f t="shared" si="131"/>
        <v>-0.60109366041233248</v>
      </c>
      <c r="Z132" s="27">
        <f t="shared" si="131"/>
        <v>2.3810754864477701E-2</v>
      </c>
      <c r="AA132" s="27">
        <f t="shared" si="131"/>
        <v>0.15689827666478573</v>
      </c>
      <c r="AB132" s="27">
        <f t="shared" si="132"/>
        <v>0.18070903152926343</v>
      </c>
    </row>
    <row r="133" spans="1:28" x14ac:dyDescent="0.2">
      <c r="A133" t="str">
        <f t="shared" si="124"/>
        <v>52 Skilled metal, electrical and electronic trades</v>
      </c>
      <c r="B133" s="27">
        <f t="shared" si="125"/>
        <v>-0.55860822852796232</v>
      </c>
      <c r="C133" s="27">
        <f t="shared" si="125"/>
        <v>-2.3568438427376037</v>
      </c>
      <c r="D133" s="27">
        <f t="shared" si="125"/>
        <v>-0.58812710671011459</v>
      </c>
      <c r="E133" s="27">
        <f t="shared" si="125"/>
        <v>-1.2808483093293468</v>
      </c>
      <c r="F133" s="27">
        <f t="shared" si="126"/>
        <v>-1.8689754160394614</v>
      </c>
      <c r="L133" t="str">
        <f t="shared" si="127"/>
        <v>52 Skilled metal, electrical and electronic trades</v>
      </c>
      <c r="M133" s="27">
        <f t="shared" si="128"/>
        <v>-0.71879688811426945</v>
      </c>
      <c r="N133" s="27">
        <f t="shared" si="128"/>
        <v>-2.2383905057482067</v>
      </c>
      <c r="O133" s="27">
        <f t="shared" si="128"/>
        <v>-0.83020897066486299</v>
      </c>
      <c r="P133" s="27">
        <f t="shared" si="128"/>
        <v>-1.4381111681617647</v>
      </c>
      <c r="Q133" s="27">
        <f t="shared" si="129"/>
        <v>-2.2683201388266276</v>
      </c>
      <c r="W133" t="str">
        <f t="shared" si="130"/>
        <v>52 Skilled metal, electrical and electronic trades</v>
      </c>
      <c r="X133" s="27">
        <f t="shared" si="131"/>
        <v>0.16018865958628753</v>
      </c>
      <c r="Y133" s="27">
        <f t="shared" si="131"/>
        <v>-0.1184533369893635</v>
      </c>
      <c r="Z133" s="27">
        <f t="shared" si="131"/>
        <v>0.24208186395475345</v>
      </c>
      <c r="AA133" s="27">
        <f t="shared" si="131"/>
        <v>0.15726285883240188</v>
      </c>
      <c r="AB133" s="27">
        <f t="shared" si="132"/>
        <v>0.39934472278715533</v>
      </c>
    </row>
    <row r="134" spans="1:28" x14ac:dyDescent="0.2">
      <c r="A134" t="str">
        <f t="shared" si="124"/>
        <v>53 Skilled construction and building trades</v>
      </c>
      <c r="B134" s="27">
        <f t="shared" si="125"/>
        <v>-0.81432650267932694</v>
      </c>
      <c r="C134" s="27">
        <f t="shared" si="125"/>
        <v>-2.4938346031154026</v>
      </c>
      <c r="D134" s="27">
        <f t="shared" si="125"/>
        <v>-0.43498776612278611</v>
      </c>
      <c r="E134" s="27">
        <f t="shared" si="125"/>
        <v>-1.5195414664295814</v>
      </c>
      <c r="F134" s="27">
        <f t="shared" si="126"/>
        <v>-1.9545292325523675</v>
      </c>
      <c r="L134" t="str">
        <f t="shared" si="127"/>
        <v>53 Skilled construction and building trades</v>
      </c>
      <c r="M134" s="27">
        <f t="shared" si="128"/>
        <v>-0.84668165852347421</v>
      </c>
      <c r="N134" s="27">
        <f t="shared" si="128"/>
        <v>-2.4938381510891094</v>
      </c>
      <c r="O134" s="27">
        <f t="shared" si="128"/>
        <v>-0.363182372068378</v>
      </c>
      <c r="P134" s="27">
        <f t="shared" si="128"/>
        <v>-1.5138929050094472</v>
      </c>
      <c r="Q134" s="27">
        <f t="shared" si="129"/>
        <v>-1.8770752770778252</v>
      </c>
      <c r="W134" t="str">
        <f t="shared" si="130"/>
        <v>53 Skilled construction and building trades</v>
      </c>
      <c r="X134" s="27">
        <f t="shared" si="131"/>
        <v>3.2355155844163028E-2</v>
      </c>
      <c r="Y134" s="27">
        <f t="shared" si="131"/>
        <v>3.5479737234833664E-6</v>
      </c>
      <c r="Z134" s="27">
        <f t="shared" si="131"/>
        <v>-7.1805394054405489E-2</v>
      </c>
      <c r="AA134" s="27">
        <f t="shared" si="131"/>
        <v>-5.6485614201501472E-3</v>
      </c>
      <c r="AB134" s="27">
        <f t="shared" si="132"/>
        <v>-7.7453955474555636E-2</v>
      </c>
    </row>
    <row r="135" spans="1:28" x14ac:dyDescent="0.2">
      <c r="A135" t="str">
        <f t="shared" si="124"/>
        <v>54 Textiles, printing and other skilled trades</v>
      </c>
      <c r="B135" s="27">
        <f t="shared" si="125"/>
        <v>-1.6194132322904018</v>
      </c>
      <c r="C135" s="27">
        <f t="shared" si="125"/>
        <v>-0.2968659786142922</v>
      </c>
      <c r="D135" s="27">
        <f t="shared" si="125"/>
        <v>8.5618305679293627E-3</v>
      </c>
      <c r="E135" s="27">
        <f t="shared" si="125"/>
        <v>-0.67960925938377237</v>
      </c>
      <c r="F135" s="27">
        <f t="shared" si="126"/>
        <v>-0.67104742881584301</v>
      </c>
      <c r="L135" t="str">
        <f t="shared" si="127"/>
        <v>54 Textiles, printing and other skilled trades</v>
      </c>
      <c r="M135" s="27">
        <f t="shared" si="128"/>
        <v>-1.305722613744158</v>
      </c>
      <c r="N135" s="27">
        <f t="shared" si="128"/>
        <v>-0.25343075091876344</v>
      </c>
      <c r="O135" s="27">
        <f t="shared" si="128"/>
        <v>0.18638294677138401</v>
      </c>
      <c r="P135" s="27">
        <f t="shared" si="128"/>
        <v>-0.36711248051292067</v>
      </c>
      <c r="Q135" s="27">
        <f t="shared" si="129"/>
        <v>-0.18072953374153666</v>
      </c>
      <c r="W135" t="str">
        <f t="shared" si="130"/>
        <v>54 Textiles, printing and other skilled trades</v>
      </c>
      <c r="X135" s="27">
        <f t="shared" si="131"/>
        <v>-0.31369061854624025</v>
      </c>
      <c r="Y135" s="27">
        <f t="shared" si="131"/>
        <v>-4.3435227695535872E-2</v>
      </c>
      <c r="Z135" s="27">
        <f t="shared" si="131"/>
        <v>-0.17782111620342889</v>
      </c>
      <c r="AA135" s="27">
        <f t="shared" si="131"/>
        <v>-0.31249677887087035</v>
      </c>
      <c r="AB135" s="27">
        <f t="shared" si="132"/>
        <v>-0.49031789507429924</v>
      </c>
    </row>
    <row r="136" spans="1:28" x14ac:dyDescent="0.2">
      <c r="A136" t="str">
        <f t="shared" si="124"/>
        <v>61 Caring personal service occupations</v>
      </c>
      <c r="B136" s="27">
        <f t="shared" si="125"/>
        <v>0.62968579631333199</v>
      </c>
      <c r="C136" s="27">
        <f t="shared" si="125"/>
        <v>-1.4009867388702801</v>
      </c>
      <c r="D136" s="27">
        <f t="shared" si="125"/>
        <v>1.5498492235480157</v>
      </c>
      <c r="E136" s="27">
        <f t="shared" si="125"/>
        <v>3.0635123138034714</v>
      </c>
      <c r="F136" s="27">
        <f t="shared" si="126"/>
        <v>4.6133615373514871</v>
      </c>
      <c r="L136" t="str">
        <f t="shared" si="127"/>
        <v>61 Caring personal service occupations</v>
      </c>
      <c r="M136" s="27">
        <f t="shared" si="128"/>
        <v>0.17089733677306551</v>
      </c>
      <c r="N136" s="27">
        <f t="shared" si="128"/>
        <v>0.1209104305758073</v>
      </c>
      <c r="O136" s="27">
        <f t="shared" si="128"/>
        <v>1.3007042613004884</v>
      </c>
      <c r="P136" s="27">
        <f t="shared" si="128"/>
        <v>1.2771870640755267</v>
      </c>
      <c r="Q136" s="27">
        <f t="shared" si="129"/>
        <v>2.5778913253760152</v>
      </c>
      <c r="W136" t="str">
        <f t="shared" si="130"/>
        <v>61 Caring personal service occupations</v>
      </c>
      <c r="X136" s="27">
        <f t="shared" si="131"/>
        <v>0.45878845954028691</v>
      </c>
      <c r="Y136" s="27">
        <f t="shared" si="131"/>
        <v>-1.5218971694461132</v>
      </c>
      <c r="Z136" s="27">
        <f t="shared" si="131"/>
        <v>0.24914496224753435</v>
      </c>
      <c r="AA136" s="27">
        <f t="shared" si="131"/>
        <v>1.7863252497279518</v>
      </c>
      <c r="AB136" s="27">
        <f t="shared" si="132"/>
        <v>2.0354702119754862</v>
      </c>
    </row>
    <row r="137" spans="1:28" x14ac:dyDescent="0.2">
      <c r="A137" t="str">
        <f t="shared" si="124"/>
        <v>62 Leisure, travel and related personal service occupations</v>
      </c>
      <c r="B137" s="27">
        <f t="shared" si="125"/>
        <v>2.793869778563602</v>
      </c>
      <c r="C137" s="27">
        <f t="shared" si="125"/>
        <v>-0.41704645601556933</v>
      </c>
      <c r="D137" s="27">
        <f t="shared" si="125"/>
        <v>-1.0276644351359963</v>
      </c>
      <c r="E137" s="27">
        <f t="shared" si="125"/>
        <v>7.5724057642904796E-2</v>
      </c>
      <c r="F137" s="27">
        <f t="shared" si="126"/>
        <v>-0.95194037749309146</v>
      </c>
      <c r="L137" t="str">
        <f t="shared" si="127"/>
        <v>62 Leisure, travel and related personal service occupations</v>
      </c>
      <c r="M137" s="27">
        <f t="shared" si="128"/>
        <v>0.43486393032891923</v>
      </c>
      <c r="N137" s="27">
        <f t="shared" si="128"/>
        <v>-4.9155211772812901E-2</v>
      </c>
      <c r="O137" s="27">
        <f t="shared" si="128"/>
        <v>-0.21122647590148391</v>
      </c>
      <c r="P137" s="27">
        <f t="shared" si="128"/>
        <v>0.23763583255252918</v>
      </c>
      <c r="Q137" s="27">
        <f t="shared" si="129"/>
        <v>2.6409356651045268E-2</v>
      </c>
      <c r="W137" t="str">
        <f t="shared" si="130"/>
        <v>62 Leisure, travel and related personal service occupations</v>
      </c>
      <c r="X137" s="27">
        <f t="shared" si="131"/>
        <v>2.3590058482347018</v>
      </c>
      <c r="Y137" s="27">
        <f t="shared" si="131"/>
        <v>-0.36789124424275599</v>
      </c>
      <c r="Z137" s="27">
        <f t="shared" si="131"/>
        <v>-0.81643795923451634</v>
      </c>
      <c r="AA137" s="27">
        <f t="shared" si="131"/>
        <v>-0.16191177490961906</v>
      </c>
      <c r="AB137" s="27">
        <f t="shared" si="132"/>
        <v>-0.9783497341441354</v>
      </c>
    </row>
    <row r="138" spans="1:28" x14ac:dyDescent="0.2">
      <c r="A138" t="str">
        <f t="shared" si="124"/>
        <v>63 Community and civil enforcement occupations</v>
      </c>
      <c r="B138" s="27">
        <f t="shared" si="125"/>
        <v>-9.6575275081420553E-2</v>
      </c>
      <c r="C138" s="27">
        <f t="shared" si="125"/>
        <v>0.11637610885515343</v>
      </c>
      <c r="D138" s="27">
        <f t="shared" si="125"/>
        <v>-0.1311043092370337</v>
      </c>
      <c r="E138" s="27">
        <f t="shared" si="125"/>
        <v>5.0831345669931804E-2</v>
      </c>
      <c r="F138" s="27">
        <f t="shared" si="126"/>
        <v>-8.0272963567101896E-2</v>
      </c>
      <c r="L138" t="str">
        <f t="shared" si="127"/>
        <v>63 Community and civil enforcement occupations</v>
      </c>
      <c r="M138" s="27">
        <f t="shared" si="128"/>
        <v>-0.11645016757318222</v>
      </c>
      <c r="N138" s="27">
        <f t="shared" si="128"/>
        <v>0.13521264285390538</v>
      </c>
      <c r="O138" s="27">
        <f t="shared" si="128"/>
        <v>-0.16537911350639739</v>
      </c>
      <c r="P138" s="27">
        <f t="shared" si="128"/>
        <v>5.3304928100943672E-2</v>
      </c>
      <c r="Q138" s="27">
        <f t="shared" si="129"/>
        <v>-0.11207418540545372</v>
      </c>
      <c r="W138" t="str">
        <f t="shared" si="130"/>
        <v>63 Community and civil enforcement occupations</v>
      </c>
      <c r="X138" s="27">
        <f t="shared" si="131"/>
        <v>1.9874892491762358E-2</v>
      </c>
      <c r="Y138" s="27">
        <f t="shared" si="131"/>
        <v>-1.8836533998753333E-2</v>
      </c>
      <c r="Z138" s="27">
        <f t="shared" si="131"/>
        <v>3.4274804269365036E-2</v>
      </c>
      <c r="AA138" s="27">
        <f t="shared" si="131"/>
        <v>-2.4735824310125054E-3</v>
      </c>
      <c r="AB138" s="27">
        <f t="shared" si="132"/>
        <v>3.1801221838352531E-2</v>
      </c>
    </row>
    <row r="139" spans="1:28" x14ac:dyDescent="0.2">
      <c r="A139" t="str">
        <f t="shared" si="124"/>
        <v>71 Sales occupations</v>
      </c>
      <c r="B139" s="27">
        <f t="shared" si="125"/>
        <v>-3.3914529214377396</v>
      </c>
      <c r="C139" s="27">
        <f t="shared" si="125"/>
        <v>-0.82796644813348053</v>
      </c>
      <c r="D139" s="27">
        <f t="shared" si="125"/>
        <v>-1.0290172977868224</v>
      </c>
      <c r="E139" s="27">
        <f t="shared" si="125"/>
        <v>-0.98900558850772313</v>
      </c>
      <c r="F139" s="27">
        <f t="shared" si="126"/>
        <v>-2.0180228862945455</v>
      </c>
      <c r="L139" t="str">
        <f t="shared" si="127"/>
        <v>71 Sales occupations</v>
      </c>
      <c r="M139" s="27">
        <f t="shared" si="128"/>
        <v>-0.80921843756603451</v>
      </c>
      <c r="N139" s="27">
        <f t="shared" si="128"/>
        <v>1.6845101292471298E-2</v>
      </c>
      <c r="O139" s="27">
        <f t="shared" si="128"/>
        <v>-0.31381430452833747</v>
      </c>
      <c r="P139" s="27">
        <f t="shared" si="128"/>
        <v>-0.18603815041880623</v>
      </c>
      <c r="Q139" s="27">
        <f t="shared" si="129"/>
        <v>-0.4998524549471437</v>
      </c>
      <c r="W139" t="str">
        <f t="shared" si="130"/>
        <v>71 Sales occupations</v>
      </c>
      <c r="X139" s="27">
        <f t="shared" si="131"/>
        <v>-2.5822344838716695</v>
      </c>
      <c r="Y139" s="27">
        <f t="shared" si="131"/>
        <v>-0.84481154942599446</v>
      </c>
      <c r="Z139" s="27">
        <f t="shared" si="131"/>
        <v>-0.71520299325842984</v>
      </c>
      <c r="AA139" s="27">
        <f t="shared" si="131"/>
        <v>-0.80296743808889914</v>
      </c>
      <c r="AB139" s="27">
        <f t="shared" si="132"/>
        <v>-1.518170431347329</v>
      </c>
    </row>
    <row r="140" spans="1:28" x14ac:dyDescent="0.2">
      <c r="A140" t="str">
        <f t="shared" si="124"/>
        <v>72 Customer service occupations</v>
      </c>
      <c r="B140" s="27">
        <f t="shared" si="125"/>
        <v>0.45675713263058348</v>
      </c>
      <c r="C140" s="27">
        <f t="shared" si="125"/>
        <v>0.22206390705093693</v>
      </c>
      <c r="D140" s="27">
        <f t="shared" si="125"/>
        <v>0.78690166631139746</v>
      </c>
      <c r="E140" s="27">
        <f t="shared" si="125"/>
        <v>0.92514551856608485</v>
      </c>
      <c r="F140" s="27">
        <f t="shared" si="126"/>
        <v>1.7120471848774823</v>
      </c>
      <c r="L140" t="str">
        <f t="shared" si="127"/>
        <v>72 Customer service occupations</v>
      </c>
      <c r="M140" s="27">
        <f t="shared" si="128"/>
        <v>-0.24808033387844253</v>
      </c>
      <c r="N140" s="27">
        <f t="shared" si="128"/>
        <v>0.43954510032199723</v>
      </c>
      <c r="O140" s="27">
        <f t="shared" si="128"/>
        <v>0.65846944182406153</v>
      </c>
      <c r="P140" s="27">
        <f t="shared" si="128"/>
        <v>0.4234828363146792</v>
      </c>
      <c r="Q140" s="27">
        <f t="shared" si="129"/>
        <v>1.0819522781387407</v>
      </c>
      <c r="W140" t="str">
        <f t="shared" si="130"/>
        <v>72 Customer service occupations</v>
      </c>
      <c r="X140" s="27">
        <f t="shared" si="131"/>
        <v>0.70483746650903534</v>
      </c>
      <c r="Y140" s="27">
        <f t="shared" si="131"/>
        <v>-0.21748119327106519</v>
      </c>
      <c r="Z140" s="27">
        <f t="shared" si="131"/>
        <v>0.12843222448733993</v>
      </c>
      <c r="AA140" s="27">
        <f t="shared" si="131"/>
        <v>0.50166268225141319</v>
      </c>
      <c r="AB140" s="27">
        <f t="shared" si="132"/>
        <v>0.63009490673875312</v>
      </c>
    </row>
    <row r="141" spans="1:28" x14ac:dyDescent="0.2">
      <c r="A141" t="str">
        <f t="shared" si="124"/>
        <v>81 Process, plant and machine operatives</v>
      </c>
      <c r="B141" s="27">
        <f t="shared" si="125"/>
        <v>-0.99685686909236892</v>
      </c>
      <c r="C141" s="27">
        <f t="shared" si="125"/>
        <v>-2.5024067500952754</v>
      </c>
      <c r="D141" s="27">
        <f t="shared" si="125"/>
        <v>0.35481400517223349</v>
      </c>
      <c r="E141" s="27">
        <f t="shared" si="125"/>
        <v>-1.4854694732794655</v>
      </c>
      <c r="F141" s="27">
        <f t="shared" si="126"/>
        <v>-1.1306554681072321</v>
      </c>
      <c r="L141" t="str">
        <f t="shared" si="127"/>
        <v>81 Process, plant and machine operatives</v>
      </c>
      <c r="M141" s="27">
        <f t="shared" si="128"/>
        <v>-1.3183696727474192</v>
      </c>
      <c r="N141" s="27">
        <f t="shared" si="128"/>
        <v>-1.362221909497924</v>
      </c>
      <c r="O141" s="27">
        <f t="shared" si="128"/>
        <v>-0.29476193391761818</v>
      </c>
      <c r="P141" s="27">
        <f t="shared" si="128"/>
        <v>-1.7639667086890487</v>
      </c>
      <c r="Q141" s="27">
        <f t="shared" si="129"/>
        <v>-2.0587286426066669</v>
      </c>
      <c r="W141" t="str">
        <f t="shared" si="130"/>
        <v>81 Process, plant and machine operatives</v>
      </c>
      <c r="X141" s="27">
        <f t="shared" si="131"/>
        <v>0.32151280365510715</v>
      </c>
      <c r="Y141" s="27">
        <f t="shared" si="131"/>
        <v>-1.1401848405973434</v>
      </c>
      <c r="Z141" s="27">
        <f t="shared" si="131"/>
        <v>0.64957593908980282</v>
      </c>
      <c r="AA141" s="27">
        <f t="shared" si="131"/>
        <v>0.2784972354096249</v>
      </c>
      <c r="AB141" s="27">
        <f t="shared" si="132"/>
        <v>0.92807317449942772</v>
      </c>
    </row>
    <row r="142" spans="1:28" x14ac:dyDescent="0.2">
      <c r="A142" t="str">
        <f t="shared" si="124"/>
        <v>82 Transport and mobile machine drivers and operatives</v>
      </c>
      <c r="B142" s="27">
        <f t="shared" si="125"/>
        <v>0.76701086343373603</v>
      </c>
      <c r="C142" s="27">
        <f t="shared" si="125"/>
        <v>-0.46049059525342884</v>
      </c>
      <c r="D142" s="27">
        <f t="shared" si="125"/>
        <v>-0.23248701116389725</v>
      </c>
      <c r="E142" s="27">
        <f t="shared" si="125"/>
        <v>-0.90540417538534967</v>
      </c>
      <c r="F142" s="27">
        <f t="shared" si="126"/>
        <v>-1.1378911865492469</v>
      </c>
      <c r="L142" t="str">
        <f t="shared" si="127"/>
        <v>82 Transport and mobile machine drivers and operatives</v>
      </c>
      <c r="M142" s="27">
        <f t="shared" si="128"/>
        <v>0.70520736119887673</v>
      </c>
      <c r="N142" s="27">
        <f t="shared" si="128"/>
        <v>-0.39214294061883237</v>
      </c>
      <c r="O142" s="27">
        <f t="shared" si="128"/>
        <v>-0.48372036786278372</v>
      </c>
      <c r="P142" s="27">
        <f t="shared" si="128"/>
        <v>-1.0110180207274269</v>
      </c>
      <c r="Q142" s="27">
        <f t="shared" si="129"/>
        <v>-1.4947383885902106</v>
      </c>
      <c r="W142" t="str">
        <f t="shared" si="130"/>
        <v>82 Transport and mobile machine drivers and operatives</v>
      </c>
      <c r="X142" s="27">
        <f t="shared" si="131"/>
        <v>6.1803502234855312E-2</v>
      </c>
      <c r="Y142" s="27">
        <f t="shared" si="131"/>
        <v>-6.8347654634530297E-2</v>
      </c>
      <c r="Z142" s="27">
        <f t="shared" si="131"/>
        <v>0.25123335669883895</v>
      </c>
      <c r="AA142" s="27">
        <f t="shared" si="131"/>
        <v>0.10561384534206675</v>
      </c>
      <c r="AB142" s="27">
        <f t="shared" si="132"/>
        <v>0.3568472020409057</v>
      </c>
    </row>
    <row r="143" spans="1:28" x14ac:dyDescent="0.2">
      <c r="A143" t="str">
        <f t="shared" si="124"/>
        <v>91 Elementary trades and related occupations</v>
      </c>
      <c r="B143" s="27">
        <f t="shared" si="125"/>
        <v>-1.49386509444194</v>
      </c>
      <c r="C143" s="27">
        <f t="shared" si="125"/>
        <v>-0.92820386967905577</v>
      </c>
      <c r="D143" s="27">
        <f t="shared" si="125"/>
        <v>7.379162129830144</v>
      </c>
      <c r="E143" s="27">
        <f t="shared" si="125"/>
        <v>1.3265287898659537</v>
      </c>
      <c r="F143" s="27">
        <f t="shared" si="126"/>
        <v>8.7056909196960977</v>
      </c>
      <c r="L143" t="str">
        <f t="shared" si="127"/>
        <v>91 Elementary trades and related occupations</v>
      </c>
      <c r="M143" s="27">
        <f t="shared" si="128"/>
        <v>-1.2791504601784514</v>
      </c>
      <c r="N143" s="27">
        <f t="shared" si="128"/>
        <v>-0.14231664047533776</v>
      </c>
      <c r="O143" s="27">
        <f t="shared" si="128"/>
        <v>2.5382980110546161</v>
      </c>
      <c r="P143" s="27">
        <f t="shared" si="128"/>
        <v>0.49086339199423534</v>
      </c>
      <c r="Q143" s="27">
        <f t="shared" si="129"/>
        <v>3.0291614030488514</v>
      </c>
      <c r="W143" t="str">
        <f t="shared" si="130"/>
        <v>91 Elementary trades and related occupations</v>
      </c>
      <c r="X143" s="27">
        <f t="shared" si="131"/>
        <v>-0.21471463426347492</v>
      </c>
      <c r="Y143" s="27">
        <f t="shared" si="131"/>
        <v>-0.78588722920372023</v>
      </c>
      <c r="Z143" s="27">
        <f t="shared" si="131"/>
        <v>4.8408641187755368</v>
      </c>
      <c r="AA143" s="27">
        <f t="shared" si="131"/>
        <v>0.83566539787172278</v>
      </c>
      <c r="AB143" s="27">
        <f t="shared" si="132"/>
        <v>5.6765295166472596</v>
      </c>
    </row>
    <row r="144" spans="1:28" x14ac:dyDescent="0.2">
      <c r="A144" t="str">
        <f t="shared" si="124"/>
        <v>92 Elementary administration and service occupations</v>
      </c>
      <c r="B144" s="27">
        <f t="shared" si="125"/>
        <v>-1.4978139397641854</v>
      </c>
      <c r="C144" s="27">
        <f t="shared" si="125"/>
        <v>-3.7720491100919773</v>
      </c>
      <c r="D144" s="27">
        <f t="shared" si="125"/>
        <v>-5.3905861333372584</v>
      </c>
      <c r="E144" s="27">
        <f t="shared" si="125"/>
        <v>-3.8954102488477318</v>
      </c>
      <c r="F144" s="27">
        <f t="shared" si="126"/>
        <v>-9.2859963821849902</v>
      </c>
      <c r="L144" t="str">
        <f t="shared" si="127"/>
        <v>92 Elementary administration and service occupations</v>
      </c>
      <c r="M144" s="27">
        <f t="shared" si="128"/>
        <v>-2.3826920857078377</v>
      </c>
      <c r="N144" s="27">
        <f t="shared" si="128"/>
        <v>-1.0349059930662854</v>
      </c>
      <c r="O144" s="27">
        <f t="shared" si="128"/>
        <v>-0.7956819977439693</v>
      </c>
      <c r="P144" s="27">
        <f t="shared" si="128"/>
        <v>-1.9737217375834675</v>
      </c>
      <c r="Q144" s="27">
        <f t="shared" si="129"/>
        <v>-2.7694037353274368</v>
      </c>
      <c r="W144" t="str">
        <f t="shared" si="130"/>
        <v>92 Elementary administration and service occupations</v>
      </c>
      <c r="X144" s="27">
        <f t="shared" si="131"/>
        <v>0.88487814594356351</v>
      </c>
      <c r="Y144" s="27">
        <f t="shared" si="131"/>
        <v>-2.7371431170256315</v>
      </c>
      <c r="Z144" s="27">
        <f t="shared" si="131"/>
        <v>-4.5949041355932856</v>
      </c>
      <c r="AA144" s="27">
        <f t="shared" si="131"/>
        <v>-1.9216885112643283</v>
      </c>
      <c r="AB144" s="27">
        <f t="shared" si="132"/>
        <v>-6.5165926468576139</v>
      </c>
    </row>
    <row r="145" spans="1:31" x14ac:dyDescent="0.2">
      <c r="C145" s="27"/>
      <c r="F145" s="27"/>
      <c r="N145" s="27"/>
      <c r="Q145" s="27"/>
      <c r="Y145" s="27"/>
      <c r="AB145" s="27"/>
    </row>
    <row r="146" spans="1:31" x14ac:dyDescent="0.2">
      <c r="A146" s="24" t="str">
        <f>A35</f>
        <v>All occupations</v>
      </c>
      <c r="B146" s="29">
        <f>C35-B35</f>
        <v>12.160999999999603</v>
      </c>
      <c r="C146" s="29">
        <f t="shared" ref="C146" si="133">D35-C35</f>
        <v>1.0790000000001783</v>
      </c>
      <c r="D146" s="29">
        <f>E35-D35</f>
        <v>5.5249999999999773</v>
      </c>
      <c r="E146" s="29">
        <f>F35-E35</f>
        <v>12.541999999999689</v>
      </c>
      <c r="F146" s="29">
        <f t="shared" ref="F146" si="134">F35-D35</f>
        <v>18.066999999999666</v>
      </c>
      <c r="L146" s="24" t="str">
        <f>L35</f>
        <v>All occupations</v>
      </c>
      <c r="M146" s="29">
        <f>N35-M35</f>
        <v>-3.2761328535094094</v>
      </c>
      <c r="N146" s="29">
        <f t="shared" ref="N146" si="135">O35-N35</f>
        <v>5.2763585698177735</v>
      </c>
      <c r="O146" s="29">
        <f>P35-O35</f>
        <v>1.6243116966171556</v>
      </c>
      <c r="P146" s="29">
        <f>Q35-P35</f>
        <v>3.7722659798076847</v>
      </c>
      <c r="Q146" s="29">
        <f t="shared" ref="Q146" si="136">Q35-O35</f>
        <v>5.3965776764248403</v>
      </c>
      <c r="W146" s="24" t="str">
        <f>W35</f>
        <v>All occupations</v>
      </c>
      <c r="X146" s="29">
        <f>Y35-X35</f>
        <v>15.437132853509326</v>
      </c>
      <c r="Y146" s="29">
        <f t="shared" ref="Y146" si="137">Z35-Y35</f>
        <v>-4.1973585698172258</v>
      </c>
      <c r="Z146" s="29">
        <f>AA35-Z35</f>
        <v>3.9006883033826796</v>
      </c>
      <c r="AA146" s="29">
        <f>AB35-AA35</f>
        <v>8.7697340201920611</v>
      </c>
      <c r="AB146" s="29">
        <f t="shared" ref="AB146" si="138">AB35-Z35</f>
        <v>12.670422323574741</v>
      </c>
    </row>
    <row r="150" spans="1:31" x14ac:dyDescent="0.2">
      <c r="D150" s="1" t="s">
        <v>13</v>
      </c>
      <c r="H150" s="41" t="s">
        <v>44</v>
      </c>
      <c r="O150" s="1" t="s">
        <v>13</v>
      </c>
      <c r="S150" s="41" t="s">
        <v>44</v>
      </c>
      <c r="Z150" s="1" t="s">
        <v>13</v>
      </c>
      <c r="AD150" s="41" t="s">
        <v>44</v>
      </c>
    </row>
    <row r="151" spans="1:31" x14ac:dyDescent="0.2">
      <c r="A151" s="22"/>
      <c r="B151" s="23">
        <f>B6</f>
        <v>2015</v>
      </c>
      <c r="C151" s="23">
        <f t="shared" ref="C151:F151" si="139">C6</f>
        <v>2019</v>
      </c>
      <c r="D151" s="23">
        <f t="shared" si="139"/>
        <v>2020</v>
      </c>
      <c r="E151" s="23">
        <f t="shared" si="139"/>
        <v>2025</v>
      </c>
      <c r="F151" s="23">
        <f t="shared" si="139"/>
        <v>2035</v>
      </c>
      <c r="H151" s="75" t="str">
        <f>CONCATENATE(B$6,"-",D$6)</f>
        <v>2015-2020</v>
      </c>
      <c r="I151" s="75" t="str">
        <f>CONCATENATE(D$6,"-",F$6)</f>
        <v>2020-2035</v>
      </c>
      <c r="L151" s="22"/>
      <c r="M151" s="23">
        <f>M6</f>
        <v>2015</v>
      </c>
      <c r="N151" s="23">
        <f t="shared" ref="N151:Q151" si="140">N6</f>
        <v>2019</v>
      </c>
      <c r="O151" s="23">
        <f t="shared" si="140"/>
        <v>2020</v>
      </c>
      <c r="P151" s="23">
        <f t="shared" si="140"/>
        <v>2025</v>
      </c>
      <c r="Q151" s="23">
        <f t="shared" si="140"/>
        <v>2035</v>
      </c>
      <c r="S151" s="75" t="str">
        <f>CONCATENATE(M$6,"-",O$6)</f>
        <v>2015-2020</v>
      </c>
      <c r="T151" s="75" t="str">
        <f>CONCATENATE(O$6,"-",Q$6)</f>
        <v>2020-2035</v>
      </c>
      <c r="W151" s="22"/>
      <c r="X151" s="23">
        <f>X6</f>
        <v>2015</v>
      </c>
      <c r="Y151" s="23">
        <f t="shared" ref="Y151:AB151" si="141">Y6</f>
        <v>2019</v>
      </c>
      <c r="Z151" s="23">
        <f t="shared" si="141"/>
        <v>2020</v>
      </c>
      <c r="AA151" s="23">
        <f t="shared" si="141"/>
        <v>2025</v>
      </c>
      <c r="AB151" s="23">
        <f t="shared" si="141"/>
        <v>2035</v>
      </c>
      <c r="AD151" s="75" t="str">
        <f>CONCATENATE(X$6,"-",Z$6)</f>
        <v>2015-2020</v>
      </c>
      <c r="AE151" s="75" t="str">
        <f>CONCATENATE(Z$6,"-",AB$6)</f>
        <v>2020-2035</v>
      </c>
    </row>
    <row r="152" spans="1:31" x14ac:dyDescent="0.2">
      <c r="A152" s="10"/>
      <c r="B152" s="11"/>
      <c r="C152" s="11"/>
      <c r="D152" s="11"/>
      <c r="E152" s="11"/>
      <c r="F152" s="11"/>
      <c r="H152" s="40"/>
      <c r="I152" s="40"/>
      <c r="L152" s="10"/>
      <c r="M152" s="11"/>
      <c r="N152" s="11"/>
      <c r="O152" s="11"/>
      <c r="P152" s="11"/>
      <c r="Q152" s="11"/>
      <c r="S152" s="40"/>
      <c r="T152" s="40"/>
      <c r="W152" s="10"/>
      <c r="X152" s="11"/>
      <c r="Y152" s="11"/>
      <c r="Z152" s="11"/>
      <c r="AA152" s="11"/>
      <c r="AB152" s="11"/>
      <c r="AD152" s="40"/>
      <c r="AE152" s="40"/>
    </row>
    <row r="153" spans="1:31" x14ac:dyDescent="0.2">
      <c r="A153" s="10" t="str">
        <f t="shared" ref="A153:B178" si="142">A8</f>
        <v>11 Corporate managers and directors</v>
      </c>
      <c r="B153" s="11">
        <f t="shared" si="142"/>
        <v>30.247562792471243</v>
      </c>
      <c r="C153" s="11">
        <f t="shared" ref="C153:F153" si="143">C8</f>
        <v>35.435168332564437</v>
      </c>
      <c r="D153" s="11">
        <f t="shared" si="143"/>
        <v>37.285129342999952</v>
      </c>
      <c r="E153" s="11">
        <f t="shared" si="143"/>
        <v>33.254205149928133</v>
      </c>
      <c r="F153" s="11">
        <f t="shared" si="143"/>
        <v>35.772891868365278</v>
      </c>
      <c r="H153" s="40">
        <f>IF(D$151-B$151 &lt;&gt; 0,(EXP(LN(D153/B153)/(D$151-B$151))-1)*100,0)</f>
        <v>4.2723240701384002</v>
      </c>
      <c r="I153" s="40">
        <f>IF(F$151-D$151 &lt;&gt; 0,(EXP(LN(F153/D153)/(F$151-D$151))-1)*100,0)</f>
        <v>-0.27564721899374645</v>
      </c>
      <c r="L153" s="10" t="str">
        <f>L8</f>
        <v>11 Corporate managers and directors</v>
      </c>
      <c r="M153" s="11">
        <f>M8</f>
        <v>21.803721256734949</v>
      </c>
      <c r="N153" s="11">
        <f t="shared" ref="N153:Q153" si="144">N8</f>
        <v>24.243887647221197</v>
      </c>
      <c r="O153" s="11">
        <f t="shared" si="144"/>
        <v>25.749390778181418</v>
      </c>
      <c r="P153" s="11">
        <f t="shared" si="144"/>
        <v>22.084079607387981</v>
      </c>
      <c r="Q153" s="11">
        <f t="shared" si="144"/>
        <v>22.799905434162348</v>
      </c>
      <c r="S153" s="40">
        <f>IF(O$151-M$151 &lt;&gt; 0,(EXP(LN(O153/M153)/(O$151-M$151))-1)*100,0)</f>
        <v>3.3825564898544824</v>
      </c>
      <c r="T153" s="40">
        <f>IF(Q$151-O$151 &lt;&gt; 0,(EXP(LN(Q153/O153)/(Q$151-O$151))-1)*100,0)</f>
        <v>-0.80775054995531059</v>
      </c>
      <c r="W153" s="10" t="str">
        <f>W8</f>
        <v>11 Corporate managers and directors</v>
      </c>
      <c r="X153" s="11">
        <f>X8</f>
        <v>8.443841535736242</v>
      </c>
      <c r="Y153" s="11">
        <f t="shared" ref="Y153:AB153" si="145">Y8</f>
        <v>11.19128068534325</v>
      </c>
      <c r="Z153" s="11">
        <f t="shared" si="145"/>
        <v>11.535738564818502</v>
      </c>
      <c r="AA153" s="11">
        <f t="shared" si="145"/>
        <v>11.170125542540116</v>
      </c>
      <c r="AB153" s="11">
        <f t="shared" si="145"/>
        <v>12.972986434202971</v>
      </c>
      <c r="AD153" s="40">
        <f>IF(Z$151-X$151 &lt;&gt; 0,(EXP(LN(Z153/X153)/(Z$151-X$151))-1)*100,0)</f>
        <v>6.4390687352035458</v>
      </c>
      <c r="AE153" s="40">
        <f>IF(AB$151-Z$151 &lt;&gt; 0,(EXP(LN(AB153/Z153)/(AB$151-Z$151))-1)*100,0)</f>
        <v>0.78586726118470285</v>
      </c>
    </row>
    <row r="154" spans="1:31" x14ac:dyDescent="0.2">
      <c r="A154" s="10" t="str">
        <f t="shared" si="142"/>
        <v>12 Other managers and proprietors</v>
      </c>
      <c r="B154" s="11">
        <f t="shared" si="142"/>
        <v>15.483032384061453</v>
      </c>
      <c r="C154" s="11">
        <f t="shared" ref="C154:F178" si="146">C9</f>
        <v>16.781545972413859</v>
      </c>
      <c r="D154" s="11">
        <f t="shared" si="146"/>
        <v>17.623157595105926</v>
      </c>
      <c r="E154" s="11">
        <f t="shared" si="146"/>
        <v>18.132214773438296</v>
      </c>
      <c r="F154" s="11">
        <f t="shared" si="146"/>
        <v>20.170615731640076</v>
      </c>
      <c r="H154" s="40">
        <f t="shared" ref="H154:H177" si="147">IF(D$151-B$151 &lt;&gt; 0,(EXP(LN(D154/B154)/(D$151-B$151))-1)*100,0)</f>
        <v>2.6231971261082121</v>
      </c>
      <c r="I154" s="40">
        <f t="shared" ref="I154:I180" si="148">IF(F$151-D$151 &lt;&gt; 0,(EXP(LN(F154/D154)/(F$151-D$151))-1)*100,0)</f>
        <v>0.90415009162645443</v>
      </c>
      <c r="L154" s="10" t="str">
        <f t="shared" ref="L154:Q154" si="149">L9</f>
        <v>12 Other managers and proprietors</v>
      </c>
      <c r="M154" s="11">
        <f t="shared" si="149"/>
        <v>9.9096161060912422</v>
      </c>
      <c r="N154" s="11">
        <f t="shared" si="149"/>
        <v>10.395585992162216</v>
      </c>
      <c r="O154" s="11">
        <f t="shared" si="149"/>
        <v>11.231457098192198</v>
      </c>
      <c r="P154" s="11">
        <f t="shared" si="149"/>
        <v>12.457883168281413</v>
      </c>
      <c r="Q154" s="11">
        <f t="shared" si="149"/>
        <v>13.975884682062709</v>
      </c>
      <c r="S154" s="40">
        <f t="shared" ref="S154:S177" si="150">IF(O$151-M$151 &lt;&gt; 0,(EXP(LN(O154/M154)/(O$151-M$151))-1)*100,0)</f>
        <v>2.5358779634647277</v>
      </c>
      <c r="T154" s="40">
        <f t="shared" ref="T154:T177" si="151">IF(Q$151-O$151 &lt;&gt; 0,(EXP(LN(Q154/O154)/(Q$151-O$151))-1)*100,0)</f>
        <v>1.4681043976047636</v>
      </c>
      <c r="W154" s="10" t="str">
        <f t="shared" ref="W154:AB154" si="152">W9</f>
        <v>12 Other managers and proprietors</v>
      </c>
      <c r="X154" s="11">
        <f t="shared" si="152"/>
        <v>5.5734162779702121</v>
      </c>
      <c r="Y154" s="11">
        <f t="shared" si="152"/>
        <v>6.3859599802516325</v>
      </c>
      <c r="Z154" s="11">
        <f t="shared" si="152"/>
        <v>6.3917004969137432</v>
      </c>
      <c r="AA154" s="11">
        <f t="shared" si="152"/>
        <v>5.674331605156901</v>
      </c>
      <c r="AB154" s="11">
        <f t="shared" si="152"/>
        <v>6.1947310495773653</v>
      </c>
      <c r="AD154" s="40">
        <f t="shared" ref="AD154:AD177" si="153">IF(Z$151-X$151 &lt;&gt; 0,(EXP(LN(Z154/X154)/(Z$151-X$151))-1)*100,0)</f>
        <v>2.7777218504402068</v>
      </c>
      <c r="AE154" s="40">
        <f t="shared" ref="AE154:AE177" si="154">IF(AB$151-Z$151 &lt;&gt; 0,(EXP(LN(AB154/Z154)/(AB$151-Z$151))-1)*100,0)</f>
        <v>-0.20845743448459908</v>
      </c>
    </row>
    <row r="155" spans="1:31" x14ac:dyDescent="0.2">
      <c r="A155" s="10" t="str">
        <f t="shared" si="142"/>
        <v>21 Science, research, engineering and technology professionals</v>
      </c>
      <c r="B155" s="11">
        <f t="shared" si="142"/>
        <v>23.25915527928213</v>
      </c>
      <c r="C155" s="11">
        <f t="shared" si="146"/>
        <v>26.194759519288692</v>
      </c>
      <c r="D155" s="11">
        <f t="shared" si="146"/>
        <v>28.087523686209455</v>
      </c>
      <c r="E155" s="11">
        <f t="shared" si="146"/>
        <v>34.493218359218091</v>
      </c>
      <c r="F155" s="11">
        <f t="shared" si="146"/>
        <v>39.592228833866301</v>
      </c>
      <c r="H155" s="40">
        <f t="shared" si="147"/>
        <v>3.8445963923345428</v>
      </c>
      <c r="I155" s="40">
        <f t="shared" si="148"/>
        <v>2.3151079070570457</v>
      </c>
      <c r="L155" s="10" t="str">
        <f t="shared" ref="L155:Q155" si="155">L10</f>
        <v>21 Science, research, engineering and technology professionals</v>
      </c>
      <c r="M155" s="11">
        <f t="shared" si="155"/>
        <v>19.28427401958124</v>
      </c>
      <c r="N155" s="11">
        <f t="shared" si="155"/>
        <v>21.715409332234977</v>
      </c>
      <c r="O155" s="11">
        <f t="shared" si="155"/>
        <v>22.494756193737008</v>
      </c>
      <c r="P155" s="11">
        <f t="shared" si="155"/>
        <v>26.93493904178484</v>
      </c>
      <c r="Q155" s="11">
        <f t="shared" si="155"/>
        <v>30.331916482259494</v>
      </c>
      <c r="S155" s="40">
        <f t="shared" si="150"/>
        <v>3.1277634679570898</v>
      </c>
      <c r="T155" s="40">
        <f t="shared" si="151"/>
        <v>2.012777143044775</v>
      </c>
      <c r="W155" s="10" t="str">
        <f t="shared" ref="W155:AB155" si="156">W10</f>
        <v>21 Science, research, engineering and technology professionals</v>
      </c>
      <c r="X155" s="11">
        <f t="shared" si="156"/>
        <v>3.9748812597008878</v>
      </c>
      <c r="Y155" s="11">
        <f t="shared" si="156"/>
        <v>4.4793501870536732</v>
      </c>
      <c r="Z155" s="11">
        <f t="shared" si="156"/>
        <v>5.5927674924724959</v>
      </c>
      <c r="AA155" s="11">
        <f t="shared" si="156"/>
        <v>7.5582793174332457</v>
      </c>
      <c r="AB155" s="11">
        <f t="shared" si="156"/>
        <v>9.2603123516068688</v>
      </c>
      <c r="AD155" s="40">
        <f t="shared" si="153"/>
        <v>7.0682048154627752</v>
      </c>
      <c r="AE155" s="40">
        <f t="shared" si="154"/>
        <v>3.4189025186742272</v>
      </c>
    </row>
    <row r="156" spans="1:31" x14ac:dyDescent="0.2">
      <c r="A156" s="10" t="str">
        <f t="shared" si="142"/>
        <v>22 Health professionals</v>
      </c>
      <c r="B156" s="11">
        <f t="shared" si="142"/>
        <v>19.148814719960843</v>
      </c>
      <c r="C156" s="11">
        <f t="shared" si="146"/>
        <v>21.995438768546176</v>
      </c>
      <c r="D156" s="11">
        <f t="shared" si="146"/>
        <v>22.204702058713004</v>
      </c>
      <c r="E156" s="11">
        <f t="shared" si="146"/>
        <v>21.725810467444898</v>
      </c>
      <c r="F156" s="11">
        <f t="shared" si="146"/>
        <v>23.203332606461984</v>
      </c>
      <c r="H156" s="40">
        <f t="shared" si="147"/>
        <v>3.0055465035826234</v>
      </c>
      <c r="I156" s="40">
        <f t="shared" si="148"/>
        <v>0.29370944541005084</v>
      </c>
      <c r="L156" s="10" t="str">
        <f t="shared" ref="L156:Q156" si="157">L11</f>
        <v>22 Health professionals</v>
      </c>
      <c r="M156" s="11">
        <f t="shared" si="157"/>
        <v>4.9630058695494483</v>
      </c>
      <c r="N156" s="11">
        <f t="shared" si="157"/>
        <v>5.290326114254726</v>
      </c>
      <c r="O156" s="11">
        <f t="shared" si="157"/>
        <v>6.0086292592352475</v>
      </c>
      <c r="P156" s="11">
        <f t="shared" si="157"/>
        <v>5.8639198506467878</v>
      </c>
      <c r="Q156" s="11">
        <f t="shared" si="157"/>
        <v>6.2038013045558529</v>
      </c>
      <c r="S156" s="40">
        <f t="shared" si="150"/>
        <v>3.897745519465845</v>
      </c>
      <c r="T156" s="40">
        <f t="shared" si="151"/>
        <v>0.21333104051954876</v>
      </c>
      <c r="W156" s="10" t="str">
        <f t="shared" ref="W156:AB156" si="158">W11</f>
        <v>22 Health professionals</v>
      </c>
      <c r="X156" s="11">
        <f t="shared" si="158"/>
        <v>14.185808850411375</v>
      </c>
      <c r="Y156" s="11">
        <f t="shared" si="158"/>
        <v>16.70511265429144</v>
      </c>
      <c r="Z156" s="11">
        <f t="shared" si="158"/>
        <v>16.196072799477765</v>
      </c>
      <c r="AA156" s="11">
        <f t="shared" si="158"/>
        <v>15.8618906167981</v>
      </c>
      <c r="AB156" s="11">
        <f t="shared" si="158"/>
        <v>16.999531301906142</v>
      </c>
      <c r="AD156" s="40">
        <f t="shared" si="153"/>
        <v>2.6859731684090393</v>
      </c>
      <c r="AE156" s="40">
        <f t="shared" si="154"/>
        <v>0.32330136272700205</v>
      </c>
    </row>
    <row r="157" spans="1:31" x14ac:dyDescent="0.2">
      <c r="A157" s="10" t="str">
        <f t="shared" si="142"/>
        <v>23 Teaching and other educational professionals</v>
      </c>
      <c r="B157" s="11">
        <f t="shared" si="142"/>
        <v>18.259091469867247</v>
      </c>
      <c r="C157" s="11">
        <f t="shared" si="146"/>
        <v>18.576127910613074</v>
      </c>
      <c r="D157" s="11">
        <f t="shared" si="146"/>
        <v>19.425860904777554</v>
      </c>
      <c r="E157" s="11">
        <f t="shared" si="146"/>
        <v>18.030334762119871</v>
      </c>
      <c r="F157" s="11">
        <f t="shared" si="146"/>
        <v>18.557734407530312</v>
      </c>
      <c r="H157" s="40">
        <f t="shared" si="147"/>
        <v>1.2465473525053561</v>
      </c>
      <c r="I157" s="40">
        <f t="shared" si="148"/>
        <v>-0.30432640784666676</v>
      </c>
      <c r="L157" s="10" t="str">
        <f t="shared" ref="L157:Q157" si="159">L12</f>
        <v>23 Teaching and other educational professionals</v>
      </c>
      <c r="M157" s="11">
        <f t="shared" si="159"/>
        <v>7.3714109889697976</v>
      </c>
      <c r="N157" s="11">
        <f t="shared" si="159"/>
        <v>6.8643381881308541</v>
      </c>
      <c r="O157" s="11">
        <f t="shared" si="159"/>
        <v>7.1800698037739972</v>
      </c>
      <c r="P157" s="11">
        <f t="shared" si="159"/>
        <v>6.9987196344015681</v>
      </c>
      <c r="Q157" s="11">
        <f t="shared" si="159"/>
        <v>7.2126794451526228</v>
      </c>
      <c r="S157" s="40">
        <f t="shared" si="150"/>
        <v>-0.52461970335623276</v>
      </c>
      <c r="T157" s="40">
        <f t="shared" si="151"/>
        <v>3.0213938702061682E-2</v>
      </c>
      <c r="W157" s="10" t="str">
        <f t="shared" ref="W157:AB157" si="160">W12</f>
        <v>23 Teaching and other educational professionals</v>
      </c>
      <c r="X157" s="11">
        <f t="shared" si="160"/>
        <v>10.887680480897437</v>
      </c>
      <c r="Y157" s="11">
        <f t="shared" si="160"/>
        <v>11.711789722482219</v>
      </c>
      <c r="Z157" s="11">
        <f t="shared" si="160"/>
        <v>12.245791101003586</v>
      </c>
      <c r="AA157" s="11">
        <f t="shared" si="160"/>
        <v>11.031615127718295</v>
      </c>
      <c r="AB157" s="11">
        <f t="shared" si="160"/>
        <v>11.345054962377688</v>
      </c>
      <c r="AD157" s="40">
        <f t="shared" si="153"/>
        <v>2.3788615452790873</v>
      </c>
      <c r="AE157" s="40">
        <f t="shared" si="154"/>
        <v>-0.50804062931540939</v>
      </c>
    </row>
    <row r="158" spans="1:31" x14ac:dyDescent="0.2">
      <c r="A158" s="10" t="str">
        <f t="shared" si="142"/>
        <v>24 Business, media and public service professionals</v>
      </c>
      <c r="B158" s="11">
        <f t="shared" si="142"/>
        <v>23.48099893135856</v>
      </c>
      <c r="C158" s="11">
        <f t="shared" si="146"/>
        <v>27.176276573598052</v>
      </c>
      <c r="D158" s="11">
        <f t="shared" si="146"/>
        <v>31.03514186240707</v>
      </c>
      <c r="E158" s="11">
        <f t="shared" si="146"/>
        <v>32.170245655310246</v>
      </c>
      <c r="F158" s="11">
        <f t="shared" si="146"/>
        <v>35.917423254407737</v>
      </c>
      <c r="H158" s="40">
        <f t="shared" si="147"/>
        <v>5.7371092945450286</v>
      </c>
      <c r="I158" s="40">
        <f t="shared" si="148"/>
        <v>0.97877453193280228</v>
      </c>
      <c r="L158" s="10" t="str">
        <f t="shared" ref="L158:Q158" si="161">L13</f>
        <v>24 Business, media and public service professionals</v>
      </c>
      <c r="M158" s="11">
        <f t="shared" si="161"/>
        <v>13.777348837908342</v>
      </c>
      <c r="N158" s="11">
        <f t="shared" si="161"/>
        <v>14.662337216462214</v>
      </c>
      <c r="O158" s="11">
        <f t="shared" si="161"/>
        <v>16.573522522886321</v>
      </c>
      <c r="P158" s="11">
        <f t="shared" si="161"/>
        <v>17.32701306201767</v>
      </c>
      <c r="Q158" s="11">
        <f t="shared" si="161"/>
        <v>18.80873440448287</v>
      </c>
      <c r="S158" s="40">
        <f t="shared" si="150"/>
        <v>3.76474750330269</v>
      </c>
      <c r="T158" s="40">
        <f t="shared" si="151"/>
        <v>0.84700001622290966</v>
      </c>
      <c r="W158" s="10" t="str">
        <f t="shared" ref="W158:AB158" si="162">W13</f>
        <v>24 Business, media and public service professionals</v>
      </c>
      <c r="X158" s="11">
        <f t="shared" si="162"/>
        <v>9.7036500934502108</v>
      </c>
      <c r="Y158" s="11">
        <f t="shared" si="162"/>
        <v>12.513939357135854</v>
      </c>
      <c r="Z158" s="11">
        <f t="shared" si="162"/>
        <v>14.461619339520748</v>
      </c>
      <c r="AA158" s="11">
        <f t="shared" si="162"/>
        <v>14.843232593292571</v>
      </c>
      <c r="AB158" s="11">
        <f t="shared" si="162"/>
        <v>17.108688849924906</v>
      </c>
      <c r="AD158" s="40">
        <f t="shared" si="153"/>
        <v>8.3069583872910968</v>
      </c>
      <c r="AE158" s="40">
        <f t="shared" si="154"/>
        <v>1.1268904855024964</v>
      </c>
    </row>
    <row r="159" spans="1:31" x14ac:dyDescent="0.2">
      <c r="A159" s="10" t="str">
        <f t="shared" si="142"/>
        <v>31 Science, engineering and technology associate professionals</v>
      </c>
      <c r="B159" s="11">
        <f t="shared" si="142"/>
        <v>7.8788112683670883</v>
      </c>
      <c r="C159" s="11">
        <f t="shared" si="146"/>
        <v>9.0640058563672952</v>
      </c>
      <c r="D159" s="11">
        <f t="shared" si="146"/>
        <v>10.211041430849397</v>
      </c>
      <c r="E159" s="11">
        <f t="shared" si="146"/>
        <v>9.4565333793712654</v>
      </c>
      <c r="F159" s="11">
        <f t="shared" si="146"/>
        <v>10.158891214200377</v>
      </c>
      <c r="H159" s="40">
        <f t="shared" si="147"/>
        <v>5.3226719309982462</v>
      </c>
      <c r="I159" s="40">
        <f t="shared" si="148"/>
        <v>-3.4129669856530764E-2</v>
      </c>
      <c r="L159" s="10" t="str">
        <f t="shared" ref="L159:Q159" si="163">L14</f>
        <v>31 Science, engineering and technology associate professionals</v>
      </c>
      <c r="M159" s="11">
        <f t="shared" si="163"/>
        <v>5.8875835011389022</v>
      </c>
      <c r="N159" s="11">
        <f t="shared" si="163"/>
        <v>6.9444657278036894</v>
      </c>
      <c r="O159" s="11">
        <f t="shared" si="163"/>
        <v>7.6074752986755341</v>
      </c>
      <c r="P159" s="11">
        <f t="shared" si="163"/>
        <v>6.7068073177583214</v>
      </c>
      <c r="Q159" s="11">
        <f t="shared" si="163"/>
        <v>6.9353826530017209</v>
      </c>
      <c r="S159" s="40">
        <f t="shared" si="150"/>
        <v>5.2593525287918386</v>
      </c>
      <c r="T159" s="40">
        <f t="shared" si="151"/>
        <v>-0.61473688987717656</v>
      </c>
      <c r="W159" s="10" t="str">
        <f t="shared" ref="W159:AB159" si="164">W14</f>
        <v>31 Science, engineering and technology associate professionals</v>
      </c>
      <c r="X159" s="11">
        <f t="shared" si="164"/>
        <v>1.9912277672281815</v>
      </c>
      <c r="Y159" s="11">
        <f t="shared" si="164"/>
        <v>2.11954012856362</v>
      </c>
      <c r="Z159" s="11">
        <f t="shared" si="164"/>
        <v>2.6035661321738717</v>
      </c>
      <c r="AA159" s="11">
        <f t="shared" si="164"/>
        <v>2.7497260616129284</v>
      </c>
      <c r="AB159" s="11">
        <f t="shared" si="164"/>
        <v>3.2235085611986385</v>
      </c>
      <c r="AD159" s="40">
        <f t="shared" si="153"/>
        <v>5.509006771100089</v>
      </c>
      <c r="AE159" s="40">
        <f t="shared" si="154"/>
        <v>1.4341079716961636</v>
      </c>
    </row>
    <row r="160" spans="1:31" x14ac:dyDescent="0.2">
      <c r="A160" s="10" t="str">
        <f t="shared" si="142"/>
        <v>32 Health and social care associate professionals</v>
      </c>
      <c r="B160" s="11">
        <f t="shared" si="142"/>
        <v>8.4794949970886488</v>
      </c>
      <c r="C160" s="11">
        <f t="shared" si="146"/>
        <v>9.6209059892435427</v>
      </c>
      <c r="D160" s="11">
        <f t="shared" si="146"/>
        <v>9.8334636122958532</v>
      </c>
      <c r="E160" s="11">
        <f t="shared" si="146"/>
        <v>15.479455893129849</v>
      </c>
      <c r="F160" s="11">
        <f t="shared" si="146"/>
        <v>18.168057244041023</v>
      </c>
      <c r="H160" s="40">
        <f t="shared" si="147"/>
        <v>3.0071343626423941</v>
      </c>
      <c r="I160" s="40">
        <f t="shared" si="148"/>
        <v>4.1773881525108081</v>
      </c>
      <c r="L160" s="10" t="str">
        <f t="shared" ref="L160:Q160" si="165">L15</f>
        <v>32 Health and social care associate professionals</v>
      </c>
      <c r="M160" s="11">
        <f t="shared" si="165"/>
        <v>1.8176496714575312</v>
      </c>
      <c r="N160" s="11">
        <f t="shared" si="165"/>
        <v>1.8216428620787217</v>
      </c>
      <c r="O160" s="11">
        <f t="shared" si="165"/>
        <v>2.0675951928708374</v>
      </c>
      <c r="P160" s="11">
        <f t="shared" si="165"/>
        <v>2.7396193173313237</v>
      </c>
      <c r="Q160" s="11">
        <f t="shared" si="165"/>
        <v>3.1028202344824516</v>
      </c>
      <c r="S160" s="40">
        <f t="shared" si="150"/>
        <v>2.6103257402461111</v>
      </c>
      <c r="T160" s="40">
        <f>IF(Q$151-O$151 &lt;&gt; 0,(EXP(LN(Q160/O160)/(Q$151-O$151))-1)*100,0)</f>
        <v>2.7431176984470174</v>
      </c>
      <c r="W160" s="10" t="str">
        <f t="shared" ref="W160:AB160" si="166">W15</f>
        <v>32 Health and social care associate professionals</v>
      </c>
      <c r="X160" s="11">
        <f t="shared" si="166"/>
        <v>6.6618453256311181</v>
      </c>
      <c r="Y160" s="11">
        <f t="shared" si="166"/>
        <v>7.7992631271648287</v>
      </c>
      <c r="Z160" s="11">
        <f t="shared" si="166"/>
        <v>7.7658684194250238</v>
      </c>
      <c r="AA160" s="11">
        <f t="shared" si="166"/>
        <v>12.739836575798511</v>
      </c>
      <c r="AB160" s="11">
        <f t="shared" si="166"/>
        <v>15.065237009558532</v>
      </c>
      <c r="AD160" s="40">
        <f t="shared" si="153"/>
        <v>3.1143471721877036</v>
      </c>
      <c r="AE160" s="40">
        <f t="shared" si="154"/>
        <v>4.5167097409388068</v>
      </c>
    </row>
    <row r="161" spans="1:31" x14ac:dyDescent="0.2">
      <c r="A161" s="10" t="str">
        <f t="shared" si="142"/>
        <v>33 Protective service occupations</v>
      </c>
      <c r="B161" s="11">
        <f t="shared" si="142"/>
        <v>5.4562316961422113</v>
      </c>
      <c r="C161" s="11">
        <f t="shared" si="146"/>
        <v>5.4434429140666705</v>
      </c>
      <c r="D161" s="11">
        <f t="shared" si="146"/>
        <v>5.7259729012338703</v>
      </c>
      <c r="E161" s="11">
        <f t="shared" si="146"/>
        <v>4.9464339165450673</v>
      </c>
      <c r="F161" s="11">
        <f t="shared" si="146"/>
        <v>5.2269699614146221</v>
      </c>
      <c r="H161" s="40">
        <f t="shared" si="147"/>
        <v>0.96975369409324497</v>
      </c>
      <c r="I161" s="40">
        <f t="shared" si="148"/>
        <v>-0.6060276737569148</v>
      </c>
      <c r="L161" s="10" t="str">
        <f t="shared" ref="L161:Q161" si="167">L16</f>
        <v>33 Protective service occupations</v>
      </c>
      <c r="M161" s="11">
        <f t="shared" si="167"/>
        <v>4.4564946541910393</v>
      </c>
      <c r="N161" s="11">
        <f t="shared" si="167"/>
        <v>4.3542480722146299</v>
      </c>
      <c r="O161" s="11">
        <f t="shared" si="167"/>
        <v>4.5058957895939704</v>
      </c>
      <c r="P161" s="11">
        <f t="shared" si="167"/>
        <v>3.8592733372025565</v>
      </c>
      <c r="Q161" s="11">
        <f t="shared" si="167"/>
        <v>3.7963133034326324</v>
      </c>
      <c r="S161" s="40">
        <f t="shared" si="150"/>
        <v>0.22072743865682032</v>
      </c>
      <c r="T161" s="40">
        <f t="shared" si="151"/>
        <v>-1.1358750172118404</v>
      </c>
      <c r="W161" s="10" t="str">
        <f t="shared" ref="W161:AB161" si="168">W16</f>
        <v>33 Protective service occupations</v>
      </c>
      <c r="X161" s="11">
        <f t="shared" si="168"/>
        <v>0.99973704195117008</v>
      </c>
      <c r="Y161" s="11">
        <f t="shared" si="168"/>
        <v>1.0891948418520374</v>
      </c>
      <c r="Z161" s="11">
        <f t="shared" si="168"/>
        <v>1.2200771116398967</v>
      </c>
      <c r="AA161" s="11">
        <f t="shared" si="168"/>
        <v>1.0871605793425021</v>
      </c>
      <c r="AB161" s="11">
        <f t="shared" si="168"/>
        <v>1.4306566579819835</v>
      </c>
      <c r="AD161" s="40">
        <f t="shared" si="153"/>
        <v>4.0639482417492045</v>
      </c>
      <c r="AE161" s="40">
        <f t="shared" si="154"/>
        <v>1.0671166876663252</v>
      </c>
    </row>
    <row r="162" spans="1:31" x14ac:dyDescent="0.2">
      <c r="A162" s="10" t="str">
        <f t="shared" si="142"/>
        <v>34 Culture, media and sports occupations</v>
      </c>
      <c r="B162" s="11">
        <f t="shared" si="142"/>
        <v>6.3591490193584974</v>
      </c>
      <c r="C162" s="11">
        <f t="shared" si="146"/>
        <v>6.4279469411592771</v>
      </c>
      <c r="D162" s="11">
        <f t="shared" si="146"/>
        <v>6.6380728933527591</v>
      </c>
      <c r="E162" s="11">
        <f t="shared" si="146"/>
        <v>5.6290627564795095</v>
      </c>
      <c r="F162" s="11">
        <f t="shared" si="146"/>
        <v>5.9511053070607982</v>
      </c>
      <c r="H162" s="40">
        <f t="shared" si="147"/>
        <v>0.86223860740157754</v>
      </c>
      <c r="I162" s="40">
        <f t="shared" si="148"/>
        <v>-0.72565251059176772</v>
      </c>
      <c r="L162" s="10" t="str">
        <f t="shared" ref="L162:Q162" si="169">L17</f>
        <v>34 Culture, media and sports occupations</v>
      </c>
      <c r="M162" s="11">
        <f t="shared" si="169"/>
        <v>3.7407106176523288</v>
      </c>
      <c r="N162" s="11">
        <f t="shared" si="169"/>
        <v>3.3631079342512322</v>
      </c>
      <c r="O162" s="11">
        <f t="shared" si="169"/>
        <v>3.3645372644902891</v>
      </c>
      <c r="P162" s="11">
        <f t="shared" si="169"/>
        <v>2.7997180998003244</v>
      </c>
      <c r="Q162" s="11">
        <f t="shared" si="169"/>
        <v>2.9567957750108254</v>
      </c>
      <c r="S162" s="40">
        <f t="shared" si="150"/>
        <v>-2.0973953645606946</v>
      </c>
      <c r="T162" s="40">
        <f t="shared" si="151"/>
        <v>-0.85753049019164918</v>
      </c>
      <c r="W162" s="10" t="str">
        <f t="shared" ref="W162:AB162" si="170">W17</f>
        <v>34 Culture, media and sports occupations</v>
      </c>
      <c r="X162" s="11">
        <f t="shared" si="170"/>
        <v>2.6184384017061735</v>
      </c>
      <c r="Y162" s="11">
        <f t="shared" si="170"/>
        <v>3.064839006908044</v>
      </c>
      <c r="Z162" s="11">
        <f t="shared" si="170"/>
        <v>3.273535628862478</v>
      </c>
      <c r="AA162" s="11">
        <f t="shared" si="170"/>
        <v>2.8293446566791856</v>
      </c>
      <c r="AB162" s="11">
        <f t="shared" si="170"/>
        <v>2.9943095320499782</v>
      </c>
      <c r="AD162" s="40">
        <f t="shared" si="153"/>
        <v>4.5670707124451315</v>
      </c>
      <c r="AE162" s="40">
        <f t="shared" si="154"/>
        <v>-0.5926168452281444</v>
      </c>
    </row>
    <row r="163" spans="1:31" x14ac:dyDescent="0.2">
      <c r="A163" s="10" t="str">
        <f t="shared" si="142"/>
        <v>35 Business and public service associate professionals</v>
      </c>
      <c r="B163" s="11">
        <f t="shared" si="142"/>
        <v>25.75319846854515</v>
      </c>
      <c r="C163" s="11">
        <f t="shared" si="146"/>
        <v>27.23539492947214</v>
      </c>
      <c r="D163" s="11">
        <f t="shared" si="146"/>
        <v>29.028822308415432</v>
      </c>
      <c r="E163" s="11">
        <f t="shared" si="146"/>
        <v>28.911520327967629</v>
      </c>
      <c r="F163" s="11">
        <f t="shared" si="146"/>
        <v>30.293882438366261</v>
      </c>
      <c r="H163" s="40">
        <f t="shared" si="147"/>
        <v>2.4235085007760837</v>
      </c>
      <c r="I163" s="40">
        <f t="shared" si="148"/>
        <v>0.28478195746237667</v>
      </c>
      <c r="L163" s="10" t="str">
        <f t="shared" ref="L163:Q163" si="171">L18</f>
        <v>35 Business and public service associate professionals</v>
      </c>
      <c r="M163" s="11">
        <f t="shared" si="171"/>
        <v>14.326227916333306</v>
      </c>
      <c r="N163" s="11">
        <f t="shared" si="171"/>
        <v>14.630756621306753</v>
      </c>
      <c r="O163" s="11">
        <f t="shared" si="171"/>
        <v>15.898382271662374</v>
      </c>
      <c r="P163" s="11">
        <f t="shared" si="171"/>
        <v>15.649104940553801</v>
      </c>
      <c r="Q163" s="11">
        <f t="shared" si="171"/>
        <v>15.829077590677349</v>
      </c>
      <c r="S163" s="40">
        <f t="shared" si="150"/>
        <v>2.1043431582948191</v>
      </c>
      <c r="T163" s="40">
        <f t="shared" si="151"/>
        <v>-2.9120809951121984E-2</v>
      </c>
      <c r="W163" s="10" t="str">
        <f t="shared" ref="W163:AB163" si="172">W18</f>
        <v>35 Business and public service associate professionals</v>
      </c>
      <c r="X163" s="11">
        <f t="shared" si="172"/>
        <v>11.42697055221179</v>
      </c>
      <c r="Y163" s="11">
        <f t="shared" si="172"/>
        <v>12.604638308165383</v>
      </c>
      <c r="Z163" s="11">
        <f t="shared" si="172"/>
        <v>13.130440036753035</v>
      </c>
      <c r="AA163" s="11">
        <f t="shared" si="172"/>
        <v>13.262415387413856</v>
      </c>
      <c r="AB163" s="11">
        <f t="shared" si="172"/>
        <v>14.46480484768891</v>
      </c>
      <c r="AD163" s="40">
        <f t="shared" si="153"/>
        <v>2.8181142835611794</v>
      </c>
      <c r="AE163" s="40">
        <f t="shared" si="154"/>
        <v>0.64732109452425579</v>
      </c>
    </row>
    <row r="164" spans="1:31" x14ac:dyDescent="0.2">
      <c r="A164" s="10" t="str">
        <f t="shared" si="142"/>
        <v>41 Administrative occupations</v>
      </c>
      <c r="B164" s="11">
        <f t="shared" si="142"/>
        <v>41.363649282321632</v>
      </c>
      <c r="C164" s="11">
        <f t="shared" si="146"/>
        <v>40.242010662428157</v>
      </c>
      <c r="D164" s="11">
        <f t="shared" si="146"/>
        <v>42.015488739913941</v>
      </c>
      <c r="E164" s="11">
        <f t="shared" si="146"/>
        <v>42.577492293785532</v>
      </c>
      <c r="F164" s="11">
        <f t="shared" si="146"/>
        <v>41.789015266300716</v>
      </c>
      <c r="H164" s="40">
        <f t="shared" si="147"/>
        <v>0.31320689803877588</v>
      </c>
      <c r="I164" s="40">
        <f t="shared" si="148"/>
        <v>-3.6025625880720114E-2</v>
      </c>
      <c r="L164" s="10" t="str">
        <f t="shared" ref="L164:Q164" si="173">L19</f>
        <v>41 Administrative occupations</v>
      </c>
      <c r="M164" s="11">
        <f t="shared" si="173"/>
        <v>9.9499378870209618</v>
      </c>
      <c r="N164" s="11">
        <f t="shared" si="173"/>
        <v>9.1081540872985389</v>
      </c>
      <c r="O164" s="11">
        <f t="shared" si="173"/>
        <v>11.168851712276034</v>
      </c>
      <c r="P164" s="11">
        <f t="shared" si="173"/>
        <v>11.666570086089513</v>
      </c>
      <c r="Q164" s="11">
        <f t="shared" si="173"/>
        <v>12.803122774366457</v>
      </c>
      <c r="S164" s="40">
        <f t="shared" si="150"/>
        <v>2.3381663120976448</v>
      </c>
      <c r="T164" s="40">
        <f t="shared" si="151"/>
        <v>0.91455877172903488</v>
      </c>
      <c r="W164" s="10" t="str">
        <f t="shared" ref="W164:AB164" si="174">W19</f>
        <v>41 Administrative occupations</v>
      </c>
      <c r="X164" s="11">
        <f t="shared" si="174"/>
        <v>31.413711395300606</v>
      </c>
      <c r="Y164" s="11">
        <f t="shared" si="174"/>
        <v>31.133856575129673</v>
      </c>
      <c r="Z164" s="11">
        <f t="shared" si="174"/>
        <v>30.846637027637957</v>
      </c>
      <c r="AA164" s="11">
        <f t="shared" si="174"/>
        <v>30.910922207696032</v>
      </c>
      <c r="AB164" s="11">
        <f t="shared" si="174"/>
        <v>28.98589249193429</v>
      </c>
      <c r="AD164" s="40">
        <f t="shared" si="153"/>
        <v>-0.3636717522715549</v>
      </c>
      <c r="AE164" s="40">
        <f t="shared" si="154"/>
        <v>-0.41393085566848731</v>
      </c>
    </row>
    <row r="165" spans="1:31" x14ac:dyDescent="0.2">
      <c r="A165" s="10" t="str">
        <f t="shared" si="142"/>
        <v>42 Secretarial and related occupations</v>
      </c>
      <c r="B165" s="11">
        <f t="shared" si="142"/>
        <v>10.002761162761342</v>
      </c>
      <c r="C165" s="11">
        <f t="shared" si="146"/>
        <v>9.3039196961606603</v>
      </c>
      <c r="D165" s="11">
        <f t="shared" si="146"/>
        <v>9.1366516721423405</v>
      </c>
      <c r="E165" s="11">
        <f t="shared" si="146"/>
        <v>8.452475581117131</v>
      </c>
      <c r="F165" s="11">
        <f t="shared" si="146"/>
        <v>6.3876110230235232</v>
      </c>
      <c r="H165" s="40">
        <f t="shared" si="147"/>
        <v>-1.7950375833312715</v>
      </c>
      <c r="I165" s="40">
        <f t="shared" si="148"/>
        <v>-2.3579790711757642</v>
      </c>
      <c r="L165" s="10" t="str">
        <f t="shared" ref="L165:Q165" si="175">L20</f>
        <v>42 Secretarial and related occupations</v>
      </c>
      <c r="M165" s="11">
        <f t="shared" si="175"/>
        <v>0.86974447014264156</v>
      </c>
      <c r="N165" s="11">
        <f t="shared" si="175"/>
        <v>0.64401871832599311</v>
      </c>
      <c r="O165" s="11">
        <f t="shared" si="175"/>
        <v>0.67369963151294798</v>
      </c>
      <c r="P165" s="11">
        <f t="shared" si="175"/>
        <v>0.58714778393178335</v>
      </c>
      <c r="Q165" s="11">
        <f t="shared" si="175"/>
        <v>0.6941218832872218</v>
      </c>
      <c r="S165" s="40">
        <f>IF(O$151-M$151 &lt;&gt; 0,(EXP(LN(O165/M165)/(O$151-M$151))-1)*100,0)</f>
        <v>-4.9800217381800067</v>
      </c>
      <c r="T165" s="40">
        <f t="shared" si="151"/>
        <v>0.19928636794370735</v>
      </c>
      <c r="W165" s="10" t="str">
        <f t="shared" ref="W165:AB165" si="176">W20</f>
        <v>42 Secretarial and related occupations</v>
      </c>
      <c r="X165" s="11">
        <f t="shared" si="176"/>
        <v>9.1330166926186998</v>
      </c>
      <c r="Y165" s="11">
        <f t="shared" si="176"/>
        <v>8.6599009778346616</v>
      </c>
      <c r="Z165" s="11">
        <f t="shared" si="176"/>
        <v>8.462952040629391</v>
      </c>
      <c r="AA165" s="11">
        <f t="shared" si="176"/>
        <v>7.8653277971853495</v>
      </c>
      <c r="AB165" s="11">
        <f t="shared" si="176"/>
        <v>5.6934891397362994</v>
      </c>
      <c r="AD165" s="40">
        <f t="shared" si="153"/>
        <v>-1.5124065279710441</v>
      </c>
      <c r="AE165" s="40">
        <f t="shared" si="154"/>
        <v>-2.6078901053712134</v>
      </c>
    </row>
    <row r="166" spans="1:31" x14ac:dyDescent="0.2">
      <c r="A166" s="10" t="str">
        <f t="shared" si="142"/>
        <v>51 Skilled agricultural and related trades</v>
      </c>
      <c r="B166" s="11">
        <f t="shared" si="142"/>
        <v>8.9526980313788851</v>
      </c>
      <c r="C166" s="11">
        <f t="shared" si="146"/>
        <v>8.610293929416617</v>
      </c>
      <c r="D166" s="11">
        <f t="shared" si="146"/>
        <v>10.053463363622607</v>
      </c>
      <c r="E166" s="11">
        <f t="shared" si="146"/>
        <v>9.3251742602478878</v>
      </c>
      <c r="F166" s="11">
        <f t="shared" si="146"/>
        <v>9.2499649150386745</v>
      </c>
      <c r="H166" s="40">
        <f t="shared" si="147"/>
        <v>2.3463485233949255</v>
      </c>
      <c r="I166" s="40">
        <f t="shared" si="148"/>
        <v>-0.55377716898685758</v>
      </c>
      <c r="L166" s="10" t="str">
        <f t="shared" ref="L166:Q166" si="177">L21</f>
        <v>51 Skilled agricultural and related trades</v>
      </c>
      <c r="M166" s="11">
        <f t="shared" si="177"/>
        <v>7.1325661638641584</v>
      </c>
      <c r="N166" s="11">
        <f t="shared" si="177"/>
        <v>5.6900742831131454</v>
      </c>
      <c r="O166" s="11">
        <f t="shared" si="177"/>
        <v>7.7343373777314817</v>
      </c>
      <c r="P166" s="11">
        <f t="shared" si="177"/>
        <v>6.9822375194922808</v>
      </c>
      <c r="Q166" s="11">
        <f t="shared" si="177"/>
        <v>6.7501298976182813</v>
      </c>
      <c r="S166" s="40">
        <f t="shared" si="150"/>
        <v>1.6331674223289294</v>
      </c>
      <c r="T166" s="40">
        <f t="shared" si="151"/>
        <v>-0.90328277405176127</v>
      </c>
      <c r="W166" s="10" t="str">
        <f t="shared" ref="W166:AB166" si="178">W21</f>
        <v>51 Skilled agricultural and related trades</v>
      </c>
      <c r="X166" s="11">
        <f t="shared" si="178"/>
        <v>1.8201318675147202</v>
      </c>
      <c r="Y166" s="11">
        <f t="shared" si="178"/>
        <v>2.9202196463034538</v>
      </c>
      <c r="Z166" s="11">
        <f t="shared" si="178"/>
        <v>2.3191259858911213</v>
      </c>
      <c r="AA166" s="11">
        <f t="shared" si="178"/>
        <v>2.342936740755599</v>
      </c>
      <c r="AB166" s="11">
        <f t="shared" si="178"/>
        <v>2.4998350174203847</v>
      </c>
      <c r="AD166" s="40">
        <f t="shared" si="153"/>
        <v>4.964948672019176</v>
      </c>
      <c r="AE166" s="40">
        <f t="shared" si="154"/>
        <v>0.50148224872037517</v>
      </c>
    </row>
    <row r="167" spans="1:31" x14ac:dyDescent="0.2">
      <c r="A167" s="10" t="str">
        <f t="shared" si="142"/>
        <v>52 Skilled metal, electrical and electronic trades</v>
      </c>
      <c r="B167" s="11">
        <f t="shared" si="142"/>
        <v>21.170991389265154</v>
      </c>
      <c r="C167" s="11">
        <f t="shared" si="146"/>
        <v>20.612383160737192</v>
      </c>
      <c r="D167" s="11">
        <f t="shared" si="146"/>
        <v>18.255539317999588</v>
      </c>
      <c r="E167" s="11">
        <f t="shared" si="146"/>
        <v>17.667412211289474</v>
      </c>
      <c r="F167" s="11">
        <f t="shared" si="146"/>
        <v>16.386563901960127</v>
      </c>
      <c r="H167" s="40">
        <f t="shared" si="147"/>
        <v>-2.9197928323575928</v>
      </c>
      <c r="I167" s="40">
        <f t="shared" si="148"/>
        <v>-0.71745943929563127</v>
      </c>
      <c r="L167" s="10" t="str">
        <f t="shared" ref="L167:Q167" si="179">L22</f>
        <v>52 Skilled metal, electrical and electronic trades</v>
      </c>
      <c r="M167" s="11">
        <f t="shared" si="179"/>
        <v>20.856471052310557</v>
      </c>
      <c r="N167" s="11">
        <f t="shared" si="179"/>
        <v>20.137674164196287</v>
      </c>
      <c r="O167" s="11">
        <f t="shared" si="179"/>
        <v>17.899283658448081</v>
      </c>
      <c r="P167" s="11">
        <f t="shared" si="179"/>
        <v>17.069074687783218</v>
      </c>
      <c r="Q167" s="11">
        <f t="shared" si="179"/>
        <v>15.630963519621453</v>
      </c>
      <c r="S167" s="40">
        <f t="shared" si="150"/>
        <v>-3.0117854033334002</v>
      </c>
      <c r="T167" s="40">
        <f t="shared" si="151"/>
        <v>-0.89931115429868758</v>
      </c>
      <c r="W167" s="10" t="str">
        <f t="shared" ref="W167:AB167" si="180">W22</f>
        <v>52 Skilled metal, electrical and electronic trades</v>
      </c>
      <c r="X167" s="11">
        <f t="shared" si="180"/>
        <v>0.31452033695458975</v>
      </c>
      <c r="Y167" s="11">
        <f t="shared" si="180"/>
        <v>0.47470899654087728</v>
      </c>
      <c r="Z167" s="11">
        <f t="shared" si="180"/>
        <v>0.35625565955151378</v>
      </c>
      <c r="AA167" s="11">
        <f t="shared" si="180"/>
        <v>0.59833752350626723</v>
      </c>
      <c r="AB167" s="11">
        <f t="shared" si="180"/>
        <v>0.75560038233866911</v>
      </c>
      <c r="AD167" s="40">
        <f t="shared" si="153"/>
        <v>2.5233073880353674</v>
      </c>
      <c r="AE167" s="40">
        <f t="shared" si="154"/>
        <v>5.1401744110639136</v>
      </c>
    </row>
    <row r="168" spans="1:31" x14ac:dyDescent="0.2">
      <c r="A168" s="10" t="str">
        <f t="shared" si="142"/>
        <v>53 Skilled construction and building trades</v>
      </c>
      <c r="B168" s="11">
        <f t="shared" si="142"/>
        <v>14.47344054106075</v>
      </c>
      <c r="C168" s="11">
        <f t="shared" si="146"/>
        <v>13.659114038381423</v>
      </c>
      <c r="D168" s="11">
        <f t="shared" si="146"/>
        <v>11.165279435266021</v>
      </c>
      <c r="E168" s="11">
        <f t="shared" si="146"/>
        <v>10.730291669143234</v>
      </c>
      <c r="F168" s="11">
        <f t="shared" si="146"/>
        <v>9.210750202713653</v>
      </c>
      <c r="H168" s="40">
        <f t="shared" si="147"/>
        <v>-5.0577405135382447</v>
      </c>
      <c r="I168" s="40">
        <f t="shared" si="148"/>
        <v>-1.2747230980522328</v>
      </c>
      <c r="L168" s="10" t="str">
        <f t="shared" ref="L168:Q168" si="181">L23</f>
        <v>53 Skilled construction and building trades</v>
      </c>
      <c r="M168" s="11">
        <f t="shared" si="181"/>
        <v>14.351062209546514</v>
      </c>
      <c r="N168" s="11">
        <f t="shared" si="181"/>
        <v>13.50438055102304</v>
      </c>
      <c r="O168" s="11">
        <f t="shared" si="181"/>
        <v>11.01054239993393</v>
      </c>
      <c r="P168" s="11">
        <f t="shared" si="181"/>
        <v>10.647360027865552</v>
      </c>
      <c r="Q168" s="11">
        <f t="shared" si="181"/>
        <v>9.1334671228561053</v>
      </c>
      <c r="S168" s="40">
        <f t="shared" si="150"/>
        <v>-5.1614438950536083</v>
      </c>
      <c r="T168" s="40">
        <f t="shared" si="151"/>
        <v>-1.2383211845532816</v>
      </c>
      <c r="W168" s="10" t="str">
        <f t="shared" ref="W168:AB168" si="182">W23</f>
        <v>53 Skilled construction and building trades</v>
      </c>
      <c r="X168" s="11">
        <f t="shared" si="182"/>
        <v>0.12237833151421372</v>
      </c>
      <c r="Y168" s="11">
        <f t="shared" si="182"/>
        <v>0.15473348735837675</v>
      </c>
      <c r="Z168" s="11">
        <f t="shared" si="182"/>
        <v>0.15473703533210023</v>
      </c>
      <c r="AA168" s="11">
        <f t="shared" si="182"/>
        <v>8.2931641277694743E-2</v>
      </c>
      <c r="AB168" s="11">
        <f t="shared" si="182"/>
        <v>7.7283079857544595E-2</v>
      </c>
      <c r="AD168" s="40">
        <f t="shared" si="153"/>
        <v>4.8040218006897284</v>
      </c>
      <c r="AE168" s="40">
        <f t="shared" si="154"/>
        <v>-4.5228727578075389</v>
      </c>
    </row>
    <row r="169" spans="1:31" x14ac:dyDescent="0.2">
      <c r="A169" s="10" t="str">
        <f t="shared" si="142"/>
        <v>54 Textiles, printing and other skilled trades</v>
      </c>
      <c r="B169" s="11">
        <f t="shared" si="142"/>
        <v>10.974938041399668</v>
      </c>
      <c r="C169" s="11">
        <f t="shared" si="146"/>
        <v>9.3555248091092658</v>
      </c>
      <c r="D169" s="11">
        <f t="shared" si="146"/>
        <v>9.0586588304949736</v>
      </c>
      <c r="E169" s="11">
        <f t="shared" si="146"/>
        <v>9.0672206610629029</v>
      </c>
      <c r="F169" s="11">
        <f t="shared" si="146"/>
        <v>8.3876114016791306</v>
      </c>
      <c r="H169" s="40">
        <f t="shared" si="147"/>
        <v>-3.7651518734696188</v>
      </c>
      <c r="I169" s="40">
        <f t="shared" si="148"/>
        <v>-0.51178783423651009</v>
      </c>
      <c r="L169" s="10" t="str">
        <f t="shared" ref="L169:Q169" si="183">L24</f>
        <v>54 Textiles, printing and other skilled trades</v>
      </c>
      <c r="M169" s="11">
        <f t="shared" si="183"/>
        <v>6.4679967275513697</v>
      </c>
      <c r="N169" s="11">
        <f t="shared" si="183"/>
        <v>5.1622741138072117</v>
      </c>
      <c r="O169" s="11">
        <f t="shared" si="183"/>
        <v>4.9088433628884482</v>
      </c>
      <c r="P169" s="11">
        <f t="shared" si="183"/>
        <v>5.0952263096598323</v>
      </c>
      <c r="Q169" s="11">
        <f t="shared" si="183"/>
        <v>4.7281138291469116</v>
      </c>
      <c r="S169" s="40">
        <f t="shared" si="150"/>
        <v>-5.3671593921498006</v>
      </c>
      <c r="T169" s="40">
        <f t="shared" si="151"/>
        <v>-0.24976750104409584</v>
      </c>
      <c r="W169" s="10" t="str">
        <f t="shared" ref="W169:AB169" si="184">W24</f>
        <v>54 Textiles, printing and other skilled trades</v>
      </c>
      <c r="X169" s="11">
        <f t="shared" si="184"/>
        <v>4.506941313848297</v>
      </c>
      <c r="Y169" s="11">
        <f t="shared" si="184"/>
        <v>4.1932506953020567</v>
      </c>
      <c r="Z169" s="11">
        <f t="shared" si="184"/>
        <v>4.1498154676065209</v>
      </c>
      <c r="AA169" s="11">
        <f t="shared" si="184"/>
        <v>3.971994351403092</v>
      </c>
      <c r="AB169" s="11">
        <f t="shared" si="184"/>
        <v>3.6594975725322216</v>
      </c>
      <c r="AD169" s="40">
        <f t="shared" si="153"/>
        <v>-1.6375411993174382</v>
      </c>
      <c r="AE169" s="40">
        <f t="shared" si="154"/>
        <v>-0.8347498187827318</v>
      </c>
    </row>
    <row r="170" spans="1:31" x14ac:dyDescent="0.2">
      <c r="A170" s="10" t="str">
        <f t="shared" si="142"/>
        <v>61 Caring personal service occupations</v>
      </c>
      <c r="B170" s="11">
        <f t="shared" si="142"/>
        <v>44.06827943212275</v>
      </c>
      <c r="C170" s="11">
        <f t="shared" si="146"/>
        <v>44.697965228436082</v>
      </c>
      <c r="D170" s="11">
        <f t="shared" si="146"/>
        <v>43.296978489565802</v>
      </c>
      <c r="E170" s="11">
        <f t="shared" si="146"/>
        <v>44.846827713113818</v>
      </c>
      <c r="F170" s="11">
        <f t="shared" si="146"/>
        <v>47.910340026917289</v>
      </c>
      <c r="H170" s="40">
        <f t="shared" si="147"/>
        <v>-0.35252486004240247</v>
      </c>
      <c r="I170" s="40">
        <f t="shared" si="148"/>
        <v>0.67727316714287777</v>
      </c>
      <c r="L170" s="10" t="str">
        <f t="shared" ref="L170:Q170" si="185">L25</f>
        <v>61 Caring personal service occupations</v>
      </c>
      <c r="M170" s="11">
        <f t="shared" si="185"/>
        <v>6.3952189306799134</v>
      </c>
      <c r="N170" s="11">
        <f t="shared" si="185"/>
        <v>6.5661162674529789</v>
      </c>
      <c r="O170" s="11">
        <f t="shared" si="185"/>
        <v>6.6870266980287862</v>
      </c>
      <c r="P170" s="11">
        <f t="shared" si="185"/>
        <v>7.9877309593292747</v>
      </c>
      <c r="Q170" s="11">
        <f t="shared" si="185"/>
        <v>9.2649180234048014</v>
      </c>
      <c r="S170" s="40">
        <f t="shared" si="150"/>
        <v>0.89636685062892685</v>
      </c>
      <c r="T170" s="40">
        <f t="shared" si="151"/>
        <v>2.1975697087945445</v>
      </c>
      <c r="W170" s="10" t="str">
        <f t="shared" ref="W170:AB170" si="186">W25</f>
        <v>61 Caring personal service occupations</v>
      </c>
      <c r="X170" s="11">
        <f t="shared" si="186"/>
        <v>37.673060501442833</v>
      </c>
      <c r="Y170" s="11">
        <f t="shared" si="186"/>
        <v>38.13184896098312</v>
      </c>
      <c r="Z170" s="11">
        <f t="shared" si="186"/>
        <v>36.609951791537007</v>
      </c>
      <c r="AA170" s="11">
        <f t="shared" si="186"/>
        <v>36.859096753784542</v>
      </c>
      <c r="AB170" s="11">
        <f t="shared" si="186"/>
        <v>38.645422003512493</v>
      </c>
      <c r="AD170" s="40">
        <f t="shared" si="153"/>
        <v>-0.57086738702843975</v>
      </c>
      <c r="AE170" s="40">
        <f t="shared" si="154"/>
        <v>0.36137278385104388</v>
      </c>
    </row>
    <row r="171" spans="1:31" x14ac:dyDescent="0.2">
      <c r="A171" s="10" t="str">
        <f t="shared" si="142"/>
        <v>62 Leisure, travel and related personal service occupations</v>
      </c>
      <c r="B171" s="11">
        <f t="shared" si="142"/>
        <v>10.618128366267882</v>
      </c>
      <c r="C171" s="11">
        <f t="shared" si="146"/>
        <v>13.411998144831484</v>
      </c>
      <c r="D171" s="11">
        <f t="shared" si="146"/>
        <v>12.994951688815915</v>
      </c>
      <c r="E171" s="11">
        <f t="shared" si="146"/>
        <v>11.967287253679919</v>
      </c>
      <c r="F171" s="11">
        <f t="shared" si="146"/>
        <v>12.043011311322823</v>
      </c>
      <c r="H171" s="40">
        <f t="shared" si="147"/>
        <v>4.1226804193178701</v>
      </c>
      <c r="I171" s="40">
        <f t="shared" si="148"/>
        <v>-0.50589225225016188</v>
      </c>
      <c r="L171" s="10" t="str">
        <f t="shared" ref="L171:Q171" si="187">L26</f>
        <v>62 Leisure, travel and related personal service occupations</v>
      </c>
      <c r="M171" s="11">
        <f t="shared" si="187"/>
        <v>3.2693854527478297</v>
      </c>
      <c r="N171" s="11">
        <f t="shared" si="187"/>
        <v>3.7042493830767489</v>
      </c>
      <c r="O171" s="11">
        <f t="shared" si="187"/>
        <v>3.655094171303936</v>
      </c>
      <c r="P171" s="11">
        <f t="shared" si="187"/>
        <v>3.4438676954024521</v>
      </c>
      <c r="Q171" s="11">
        <f t="shared" si="187"/>
        <v>3.6815035279549813</v>
      </c>
      <c r="S171" s="40">
        <f t="shared" si="150"/>
        <v>2.2554558159910698</v>
      </c>
      <c r="T171" s="40">
        <f t="shared" si="151"/>
        <v>4.8007374430025784E-2</v>
      </c>
      <c r="W171" s="10" t="str">
        <f t="shared" ref="W171:AB171" si="188">W26</f>
        <v>62 Leisure, travel and related personal service occupations</v>
      </c>
      <c r="X171" s="11">
        <f t="shared" si="188"/>
        <v>7.3487429135200344</v>
      </c>
      <c r="Y171" s="11">
        <f t="shared" si="188"/>
        <v>9.7077487617547362</v>
      </c>
      <c r="Z171" s="11">
        <f t="shared" si="188"/>
        <v>9.3398575175119802</v>
      </c>
      <c r="AA171" s="11">
        <f t="shared" si="188"/>
        <v>8.5234195582774639</v>
      </c>
      <c r="AB171" s="11">
        <f t="shared" si="188"/>
        <v>8.3615077833678448</v>
      </c>
      <c r="AD171" s="40">
        <f t="shared" si="153"/>
        <v>4.9120659466806105</v>
      </c>
      <c r="AE171" s="40">
        <f t="shared" si="154"/>
        <v>-0.73496733689821792</v>
      </c>
    </row>
    <row r="172" spans="1:31" x14ac:dyDescent="0.2">
      <c r="A172" s="10" t="str">
        <f t="shared" si="142"/>
        <v>63 Community and civil enforcement occupations</v>
      </c>
      <c r="B172" s="11">
        <f t="shared" si="142"/>
        <v>0.53476700853324488</v>
      </c>
      <c r="C172" s="11">
        <f t="shared" si="146"/>
        <v>0.43819173345182433</v>
      </c>
      <c r="D172" s="11">
        <f t="shared" si="146"/>
        <v>0.55456784230697775</v>
      </c>
      <c r="E172" s="11">
        <f t="shared" si="146"/>
        <v>0.42346353306994405</v>
      </c>
      <c r="F172" s="11">
        <f t="shared" si="146"/>
        <v>0.47429487873987586</v>
      </c>
      <c r="H172" s="40">
        <f t="shared" si="147"/>
        <v>0.72981010636821164</v>
      </c>
      <c r="I172" s="40">
        <f t="shared" si="148"/>
        <v>-1.0369852633635102</v>
      </c>
      <c r="L172" s="10" t="str">
        <f t="shared" ref="L172:Q172" si="189">L27</f>
        <v>63 Community and civil enforcement occupations</v>
      </c>
      <c r="M172" s="11">
        <f t="shared" si="189"/>
        <v>0.43060445043485929</v>
      </c>
      <c r="N172" s="11">
        <f t="shared" si="189"/>
        <v>0.31415428286167707</v>
      </c>
      <c r="O172" s="11">
        <f t="shared" si="189"/>
        <v>0.44936692571558245</v>
      </c>
      <c r="P172" s="11">
        <f t="shared" si="189"/>
        <v>0.28398781220918506</v>
      </c>
      <c r="Q172" s="11">
        <f t="shared" si="189"/>
        <v>0.33729274031012874</v>
      </c>
      <c r="S172" s="40">
        <f t="shared" si="150"/>
        <v>0.85664518790289357</v>
      </c>
      <c r="T172" s="40">
        <f t="shared" si="151"/>
        <v>-1.8944163184752449</v>
      </c>
      <c r="W172" s="10" t="str">
        <f t="shared" ref="W172:AB172" si="190">W27</f>
        <v>63 Community and civil enforcement occupations</v>
      </c>
      <c r="X172" s="11">
        <f t="shared" si="190"/>
        <v>0.10416255809838562</v>
      </c>
      <c r="Y172" s="11">
        <f t="shared" si="190"/>
        <v>0.12403745059014798</v>
      </c>
      <c r="Z172" s="11">
        <f t="shared" si="190"/>
        <v>0.10520091659139465</v>
      </c>
      <c r="AA172" s="11">
        <f t="shared" si="190"/>
        <v>0.13947572086075968</v>
      </c>
      <c r="AB172" s="11">
        <f t="shared" si="190"/>
        <v>0.13700213842974718</v>
      </c>
      <c r="AD172" s="40">
        <f t="shared" si="153"/>
        <v>0.19858242698578277</v>
      </c>
      <c r="AE172" s="40">
        <f t="shared" si="154"/>
        <v>1.7764241513161805</v>
      </c>
    </row>
    <row r="173" spans="1:31" x14ac:dyDescent="0.2">
      <c r="A173" s="10" t="str">
        <f t="shared" si="142"/>
        <v>71 Sales occupations</v>
      </c>
      <c r="B173" s="11">
        <f t="shared" si="142"/>
        <v>38.973525313793111</v>
      </c>
      <c r="C173" s="11">
        <f t="shared" si="146"/>
        <v>35.582072392355371</v>
      </c>
      <c r="D173" s="11">
        <f t="shared" si="146"/>
        <v>34.754105944221891</v>
      </c>
      <c r="E173" s="11">
        <f t="shared" si="146"/>
        <v>33.725088646435069</v>
      </c>
      <c r="F173" s="11">
        <f t="shared" si="146"/>
        <v>32.736083057927345</v>
      </c>
      <c r="H173" s="40">
        <f t="shared" si="147"/>
        <v>-2.2656371889221871</v>
      </c>
      <c r="I173" s="40">
        <f t="shared" si="148"/>
        <v>-0.39800448581286396</v>
      </c>
      <c r="L173" s="10" t="str">
        <f t="shared" ref="L173:Q173" si="191">L28</f>
        <v>71 Sales occupations</v>
      </c>
      <c r="M173" s="11">
        <f t="shared" si="191"/>
        <v>14.044391387097871</v>
      </c>
      <c r="N173" s="11">
        <f t="shared" si="191"/>
        <v>13.235172949531837</v>
      </c>
      <c r="O173" s="11">
        <f t="shared" si="191"/>
        <v>13.252018050824308</v>
      </c>
      <c r="P173" s="11">
        <f t="shared" si="191"/>
        <v>12.93820374629597</v>
      </c>
      <c r="Q173" s="11">
        <f t="shared" si="191"/>
        <v>12.752165595877164</v>
      </c>
      <c r="S173" s="40">
        <f t="shared" si="150"/>
        <v>-1.1547466262058159</v>
      </c>
      <c r="T173" s="40">
        <f t="shared" si="151"/>
        <v>-0.25599669296456629</v>
      </c>
      <c r="W173" s="10" t="str">
        <f t="shared" ref="W173:AB173" si="192">W28</f>
        <v>71 Sales occupations</v>
      </c>
      <c r="X173" s="11">
        <f t="shared" si="192"/>
        <v>24.929133926695201</v>
      </c>
      <c r="Y173" s="11">
        <f t="shared" si="192"/>
        <v>22.346899442823531</v>
      </c>
      <c r="Z173" s="11">
        <f t="shared" si="192"/>
        <v>21.502087893397537</v>
      </c>
      <c r="AA173" s="11">
        <f t="shared" si="192"/>
        <v>20.786884900139107</v>
      </c>
      <c r="AB173" s="11">
        <f t="shared" si="192"/>
        <v>19.983917462050208</v>
      </c>
      <c r="AD173" s="40">
        <f t="shared" si="153"/>
        <v>-2.9144291827818414</v>
      </c>
      <c r="AE173" s="40">
        <f t="shared" si="154"/>
        <v>-0.48695861712744204</v>
      </c>
    </row>
    <row r="174" spans="1:31" x14ac:dyDescent="0.2">
      <c r="A174" s="10" t="str">
        <f t="shared" si="142"/>
        <v>72 Customer service occupations</v>
      </c>
      <c r="B174" s="11">
        <f t="shared" si="142"/>
        <v>7.394546856901548</v>
      </c>
      <c r="C174" s="11">
        <f t="shared" si="146"/>
        <v>7.8513039895321315</v>
      </c>
      <c r="D174" s="11">
        <f t="shared" si="146"/>
        <v>8.0733678965830684</v>
      </c>
      <c r="E174" s="11">
        <f t="shared" si="146"/>
        <v>8.8602695628944659</v>
      </c>
      <c r="F174" s="11">
        <f t="shared" si="146"/>
        <v>9.7854150814605507</v>
      </c>
      <c r="H174" s="40">
        <f t="shared" si="147"/>
        <v>1.7720764793354604</v>
      </c>
      <c r="I174" s="40">
        <f t="shared" si="148"/>
        <v>1.2904033636425893</v>
      </c>
      <c r="L174" s="10" t="str">
        <f t="shared" ref="L174:Q174" si="193">L29</f>
        <v>72 Customer service occupations</v>
      </c>
      <c r="M174" s="11">
        <f t="shared" si="193"/>
        <v>2.4924191416543375</v>
      </c>
      <c r="N174" s="11">
        <f t="shared" si="193"/>
        <v>2.244338807775895</v>
      </c>
      <c r="O174" s="11">
        <f t="shared" si="193"/>
        <v>2.6838839080978922</v>
      </c>
      <c r="P174" s="11">
        <f t="shared" si="193"/>
        <v>3.3423533499219538</v>
      </c>
      <c r="Q174" s="11">
        <f t="shared" si="193"/>
        <v>3.765836186236633</v>
      </c>
      <c r="S174" s="40">
        <f t="shared" si="150"/>
        <v>1.4912332292623898</v>
      </c>
      <c r="T174" s="40">
        <f t="shared" si="151"/>
        <v>2.2837196491412692</v>
      </c>
      <c r="W174" s="10" t="str">
        <f t="shared" ref="W174:AB174" si="194">W29</f>
        <v>72 Customer service occupations</v>
      </c>
      <c r="X174" s="11">
        <f t="shared" si="194"/>
        <v>4.9021277152472029</v>
      </c>
      <c r="Y174" s="11">
        <f t="shared" si="194"/>
        <v>5.6069651817562383</v>
      </c>
      <c r="Z174" s="11">
        <f t="shared" si="194"/>
        <v>5.3894839884851731</v>
      </c>
      <c r="AA174" s="11">
        <f t="shared" si="194"/>
        <v>5.517916212972513</v>
      </c>
      <c r="AB174" s="11">
        <f t="shared" si="194"/>
        <v>6.0195788952239262</v>
      </c>
      <c r="AD174" s="40">
        <f t="shared" si="153"/>
        <v>1.9136868164934429</v>
      </c>
      <c r="AE174" s="40">
        <f>IF(AB$151-Z$151 &lt;&gt; 0,(EXP(LN(AB174/Z174)/(AB$151-Z$151))-1)*100,0)</f>
        <v>0.73984113724383516</v>
      </c>
    </row>
    <row r="175" spans="1:31" x14ac:dyDescent="0.2">
      <c r="A175" s="10" t="str">
        <f t="shared" si="142"/>
        <v>81 Process, plant and machine operatives</v>
      </c>
      <c r="B175" s="11">
        <f t="shared" si="142"/>
        <v>23.617997881207206</v>
      </c>
      <c r="C175" s="11">
        <f t="shared" si="146"/>
        <v>22.621141012114837</v>
      </c>
      <c r="D175" s="11">
        <f t="shared" si="146"/>
        <v>20.118734262019561</v>
      </c>
      <c r="E175" s="11">
        <f t="shared" si="146"/>
        <v>20.473548267191795</v>
      </c>
      <c r="F175" s="11">
        <f t="shared" si="146"/>
        <v>18.988078793912329</v>
      </c>
      <c r="H175" s="40">
        <f t="shared" si="147"/>
        <v>-3.1562684905210081</v>
      </c>
      <c r="I175" s="40">
        <f t="shared" si="148"/>
        <v>-0.38485807210871803</v>
      </c>
      <c r="L175" s="10" t="str">
        <f t="shared" ref="L175:Q175" si="195">L30</f>
        <v>81 Process, plant and machine operatives</v>
      </c>
      <c r="M175" s="11">
        <f t="shared" si="195"/>
        <v>17.722854680346526</v>
      </c>
      <c r="N175" s="11">
        <f t="shared" si="195"/>
        <v>16.404485007599106</v>
      </c>
      <c r="O175" s="11">
        <f t="shared" si="195"/>
        <v>15.042263098101182</v>
      </c>
      <c r="P175" s="11">
        <f t="shared" si="195"/>
        <v>14.747501164183564</v>
      </c>
      <c r="Q175" s="11">
        <f t="shared" si="195"/>
        <v>12.983534455494516</v>
      </c>
      <c r="S175" s="40">
        <f t="shared" si="150"/>
        <v>-3.2266220277714308</v>
      </c>
      <c r="T175" s="40">
        <f t="shared" si="151"/>
        <v>-0.97641385317328577</v>
      </c>
      <c r="W175" s="10" t="str">
        <f t="shared" ref="W175:AB175" si="196">W30</f>
        <v>81 Process, plant and machine operatives</v>
      </c>
      <c r="X175" s="11">
        <f t="shared" si="196"/>
        <v>5.8951432008606313</v>
      </c>
      <c r="Y175" s="11">
        <f t="shared" si="196"/>
        <v>6.2166560045157384</v>
      </c>
      <c r="Z175" s="11">
        <f t="shared" si="196"/>
        <v>5.076471163918395</v>
      </c>
      <c r="AA175" s="11">
        <f t="shared" si="196"/>
        <v>5.7260471030081979</v>
      </c>
      <c r="AB175" s="11">
        <f t="shared" si="196"/>
        <v>6.0045443384178228</v>
      </c>
      <c r="AD175" s="40">
        <f t="shared" si="153"/>
        <v>-2.9459835281104296</v>
      </c>
      <c r="AE175" s="40">
        <f t="shared" si="154"/>
        <v>1.1256226891876997</v>
      </c>
    </row>
    <row r="176" spans="1:31" x14ac:dyDescent="0.2">
      <c r="A176" s="10" t="str">
        <f t="shared" si="142"/>
        <v>82 Transport and mobile machine drivers and operatives</v>
      </c>
      <c r="B176" s="11">
        <f t="shared" si="142"/>
        <v>21.10381423306055</v>
      </c>
      <c r="C176" s="11">
        <f t="shared" si="146"/>
        <v>21.870825096494286</v>
      </c>
      <c r="D176" s="11">
        <f t="shared" si="146"/>
        <v>21.410334501240857</v>
      </c>
      <c r="E176" s="11">
        <f t="shared" si="146"/>
        <v>21.17784749007696</v>
      </c>
      <c r="F176" s="11">
        <f t="shared" si="146"/>
        <v>20.272443314691611</v>
      </c>
      <c r="H176" s="40">
        <f t="shared" si="147"/>
        <v>0.28881492085373051</v>
      </c>
      <c r="I176" s="40">
        <f t="shared" si="148"/>
        <v>-0.36341294700982241</v>
      </c>
      <c r="L176" s="10" t="str">
        <f t="shared" ref="L176:Q176" si="197">L31</f>
        <v>82 Transport and mobile machine drivers and operatives</v>
      </c>
      <c r="M176" s="11">
        <f t="shared" si="197"/>
        <v>20.049945736740796</v>
      </c>
      <c r="N176" s="11">
        <f t="shared" si="197"/>
        <v>20.755153097939672</v>
      </c>
      <c r="O176" s="11">
        <f t="shared" si="197"/>
        <v>20.36301015732084</v>
      </c>
      <c r="P176" s="11">
        <f t="shared" si="197"/>
        <v>19.879289789458056</v>
      </c>
      <c r="Q176" s="11">
        <f t="shared" si="197"/>
        <v>18.868271768730629</v>
      </c>
      <c r="S176" s="40">
        <f t="shared" si="150"/>
        <v>0.31035219890656052</v>
      </c>
      <c r="T176" s="40">
        <f t="shared" si="151"/>
        <v>-0.50696562529763955</v>
      </c>
      <c r="W176" s="10" t="str">
        <f t="shared" ref="W176:AB176" si="198">W31</f>
        <v>82 Transport and mobile machine drivers and operatives</v>
      </c>
      <c r="X176" s="11">
        <f t="shared" si="198"/>
        <v>1.0538684963197411</v>
      </c>
      <c r="Y176" s="11">
        <f t="shared" si="198"/>
        <v>1.1156719985545964</v>
      </c>
      <c r="Z176" s="11">
        <f t="shared" si="198"/>
        <v>1.0473243439200661</v>
      </c>
      <c r="AA176" s="11">
        <f t="shared" si="198"/>
        <v>1.2985577006189051</v>
      </c>
      <c r="AB176" s="11">
        <f t="shared" si="198"/>
        <v>1.4041715459609718</v>
      </c>
      <c r="AD176" s="40">
        <f t="shared" si="153"/>
        <v>-0.12450259215452952</v>
      </c>
      <c r="AE176" s="40">
        <f t="shared" si="154"/>
        <v>1.9739552759340251</v>
      </c>
    </row>
    <row r="177" spans="1:31" x14ac:dyDescent="0.2">
      <c r="A177" s="10" t="str">
        <f t="shared" si="142"/>
        <v>91 Elementary trades and related occupations</v>
      </c>
      <c r="B177" s="11">
        <f t="shared" si="142"/>
        <v>13.037691425580578</v>
      </c>
      <c r="C177" s="11">
        <f t="shared" si="146"/>
        <v>11.543826331138638</v>
      </c>
      <c r="D177" s="11">
        <f t="shared" si="146"/>
        <v>10.615622461459582</v>
      </c>
      <c r="E177" s="11">
        <f t="shared" si="146"/>
        <v>17.994784591289726</v>
      </c>
      <c r="F177" s="11">
        <f t="shared" si="146"/>
        <v>19.321313381155679</v>
      </c>
      <c r="H177" s="40">
        <f t="shared" si="147"/>
        <v>-4.0270258989486667</v>
      </c>
      <c r="I177" s="40">
        <f t="shared" si="148"/>
        <v>4.0733207095563051</v>
      </c>
      <c r="L177" s="10" t="str">
        <f t="shared" ref="L177:Q178" si="199">L32</f>
        <v>91 Elementary trades and related occupations</v>
      </c>
      <c r="M177" s="11">
        <f t="shared" si="199"/>
        <v>9.4527029206739357</v>
      </c>
      <c r="N177" s="11">
        <f t="shared" si="199"/>
        <v>8.1735524604954843</v>
      </c>
      <c r="O177" s="11">
        <f t="shared" si="199"/>
        <v>8.0312358200201466</v>
      </c>
      <c r="P177" s="11">
        <f t="shared" si="199"/>
        <v>10.569533831074763</v>
      </c>
      <c r="Q177" s="11">
        <f t="shared" si="199"/>
        <v>11.060397223068998</v>
      </c>
      <c r="S177" s="40">
        <f t="shared" si="150"/>
        <v>-3.2067050832338628</v>
      </c>
      <c r="T177" s="40">
        <f t="shared" si="151"/>
        <v>2.1564728724671633</v>
      </c>
      <c r="W177" s="10" t="str">
        <f t="shared" ref="W177:AB178" si="200">W32</f>
        <v>91 Elementary trades and related occupations</v>
      </c>
      <c r="X177" s="11">
        <f t="shared" si="200"/>
        <v>3.5849885049066348</v>
      </c>
      <c r="Y177" s="11">
        <f t="shared" si="200"/>
        <v>3.3702738706431599</v>
      </c>
      <c r="Z177" s="11">
        <f t="shared" si="200"/>
        <v>2.5843866414394396</v>
      </c>
      <c r="AA177" s="11">
        <f t="shared" si="200"/>
        <v>7.4252507602149764</v>
      </c>
      <c r="AB177" s="11">
        <f t="shared" si="200"/>
        <v>8.2609161580866992</v>
      </c>
      <c r="AD177" s="40">
        <f t="shared" si="153"/>
        <v>-6.3357318666459994</v>
      </c>
      <c r="AE177" s="40">
        <f t="shared" si="154"/>
        <v>8.0549620448545411</v>
      </c>
    </row>
    <row r="178" spans="1:31" x14ac:dyDescent="0.2">
      <c r="A178" s="10" t="str">
        <f t="shared" si="142"/>
        <v>92 Elementary administration and service occupations</v>
      </c>
      <c r="B178" s="11">
        <f t="shared" si="142"/>
        <v>51.512230007842916</v>
      </c>
      <c r="C178" s="11">
        <f t="shared" si="146"/>
        <v>50.014416068078731</v>
      </c>
      <c r="D178" s="11">
        <f t="shared" si="146"/>
        <v>46.242366957986754</v>
      </c>
      <c r="E178" s="11">
        <f t="shared" si="146"/>
        <v>40.851780824649495</v>
      </c>
      <c r="F178" s="11">
        <f t="shared" si="146"/>
        <v>36.956370575801763</v>
      </c>
      <c r="H178" s="40">
        <f>IF(D$151-B$151 &lt;&gt; 0,(EXP(LN(D178/B178)/(D$151-B$151))-1)*100,0)</f>
        <v>-2.1353288962586814</v>
      </c>
      <c r="I178" s="40">
        <f t="shared" ref="I178" si="201">IF(F$151-D$151 &lt;&gt; 0,(EXP(LN(F178/D178)/(F$151-D$151))-1)*100,0)</f>
        <v>-1.4832785420224925</v>
      </c>
      <c r="L178" s="10" t="str">
        <f t="shared" si="199"/>
        <v>92 Elementary administration and service occupations</v>
      </c>
      <c r="M178" s="11">
        <f t="shared" si="199"/>
        <v>26.656977716789939</v>
      </c>
      <c r="N178" s="11">
        <f t="shared" si="199"/>
        <v>24.274285631082101</v>
      </c>
      <c r="O178" s="11">
        <f t="shared" si="199"/>
        <v>23.239379638015816</v>
      </c>
      <c r="P178" s="11">
        <f t="shared" si="199"/>
        <v>22.443697640271846</v>
      </c>
      <c r="Q178" s="11">
        <f t="shared" si="199"/>
        <v>20.469975902688379</v>
      </c>
      <c r="S178" s="40">
        <f t="shared" ref="S178" si="202">IF(O$151-M$151 &lt;&gt; 0,(EXP(LN(O178/M178)/(O$151-M$151))-1)*100,0)</f>
        <v>-2.7067469853688131</v>
      </c>
      <c r="T178" s="40">
        <f t="shared" ref="T178" si="203">IF(Q$151-O$151 &lt;&gt; 0,(EXP(LN(Q178/O178)/(Q$151-O$151))-1)*100,0)</f>
        <v>-0.84235887677216459</v>
      </c>
      <c r="W178" s="10" t="str">
        <f t="shared" si="200"/>
        <v>92 Elementary administration and service occupations</v>
      </c>
      <c r="X178" s="11">
        <f t="shared" si="200"/>
        <v>24.855252291053041</v>
      </c>
      <c r="Y178" s="11">
        <f t="shared" si="200"/>
        <v>25.740130436996605</v>
      </c>
      <c r="Z178" s="11">
        <f t="shared" si="200"/>
        <v>23.002987319970973</v>
      </c>
      <c r="AA178" s="11">
        <f t="shared" si="200"/>
        <v>18.408083184377688</v>
      </c>
      <c r="AB178" s="11">
        <f t="shared" si="200"/>
        <v>16.486394673113359</v>
      </c>
      <c r="AD178" s="40">
        <f t="shared" ref="AD178" si="204">IF(Z$151-X$151 &lt;&gt; 0,(EXP(LN(Z178/X178)/(Z$151-X$151))-1)*100,0)</f>
        <v>-1.5369662184721355</v>
      </c>
      <c r="AE178" s="40">
        <f t="shared" ref="AE178" si="205">IF(AB$151-Z$151 &lt;&gt; 0,(EXP(LN(AB178/Z178)/(AB$151-Z$151))-1)*100,0)</f>
        <v>-2.1961171407546831</v>
      </c>
    </row>
    <row r="179" spans="1:31" x14ac:dyDescent="0.2">
      <c r="A179" s="10"/>
      <c r="B179" s="11"/>
      <c r="C179" s="11"/>
      <c r="D179" s="11"/>
      <c r="E179" s="11"/>
      <c r="F179" s="11"/>
      <c r="H179" s="40"/>
      <c r="I179" s="40"/>
      <c r="L179" s="10"/>
      <c r="M179" s="11"/>
      <c r="N179" s="11"/>
      <c r="O179" s="11"/>
      <c r="P179" s="11"/>
      <c r="Q179" s="11"/>
      <c r="S179" s="40"/>
      <c r="T179" s="40"/>
      <c r="W179" s="10"/>
      <c r="X179" s="11"/>
      <c r="Y179" s="11"/>
      <c r="Z179" s="11"/>
      <c r="AA179" s="11"/>
      <c r="AB179" s="11"/>
      <c r="AD179" s="40"/>
      <c r="AE179" s="40"/>
    </row>
    <row r="180" spans="1:31" x14ac:dyDescent="0.2">
      <c r="A180" s="231" t="str">
        <f t="shared" ref="A180:F180" si="206">A35</f>
        <v>All occupations</v>
      </c>
      <c r="B180" s="34">
        <f t="shared" si="206"/>
        <v>501.60500000000036</v>
      </c>
      <c r="C180" s="34">
        <f t="shared" si="206"/>
        <v>513.76599999999996</v>
      </c>
      <c r="D180" s="34">
        <f t="shared" si="206"/>
        <v>514.84500000000014</v>
      </c>
      <c r="E180" s="34">
        <f t="shared" si="206"/>
        <v>520.37000000000012</v>
      </c>
      <c r="F180" s="34">
        <f t="shared" si="206"/>
        <v>532.91199999999981</v>
      </c>
      <c r="H180" s="43">
        <f>IF(D$151-B$151 &lt;&gt; 0,(EXP(LN(D180/B180)/(D$151-B$151))-1)*100,0)</f>
        <v>0.52241841326519101</v>
      </c>
      <c r="I180" s="43">
        <f t="shared" si="148"/>
        <v>0.23020070827648453</v>
      </c>
      <c r="L180" s="231" t="str">
        <f t="shared" ref="L180:Q180" si="207">L35</f>
        <v>All occupations</v>
      </c>
      <c r="M180" s="34">
        <f t="shared" si="207"/>
        <v>267.48032236721031</v>
      </c>
      <c r="N180" s="34">
        <f t="shared" si="207"/>
        <v>264.2041895137009</v>
      </c>
      <c r="O180" s="34">
        <f t="shared" si="207"/>
        <v>269.48054808351867</v>
      </c>
      <c r="P180" s="34">
        <f t="shared" si="207"/>
        <v>271.10485978013583</v>
      </c>
      <c r="Q180" s="34">
        <f t="shared" si="207"/>
        <v>274.87712575994351</v>
      </c>
      <c r="S180" s="43">
        <f t="shared" ref="S180" si="208">IF(O$151-M$151 &lt;&gt; 0,(EXP(LN(O180/M180)/(O$151-M$151))-1)*100,0)</f>
        <v>0.14911521754659152</v>
      </c>
      <c r="T180" s="43">
        <f t="shared" ref="T180" si="209">IF(Q$151-O$151 &lt;&gt; 0,(EXP(LN(Q180/O180)/(Q$151-O$151))-1)*100,0)</f>
        <v>0.13227388783982885</v>
      </c>
      <c r="W180" s="231" t="str">
        <f t="shared" ref="W180:AB180" si="210">W35</f>
        <v>All occupations</v>
      </c>
      <c r="X180" s="34">
        <f t="shared" si="210"/>
        <v>234.12467763278963</v>
      </c>
      <c r="Y180" s="34">
        <f t="shared" si="210"/>
        <v>249.56181048629895</v>
      </c>
      <c r="Z180" s="34">
        <f t="shared" si="210"/>
        <v>245.36445191648173</v>
      </c>
      <c r="AA180" s="34">
        <f t="shared" si="210"/>
        <v>249.26514021986441</v>
      </c>
      <c r="AB180" s="34">
        <f t="shared" si="210"/>
        <v>258.03487424005647</v>
      </c>
      <c r="AD180" s="43">
        <f t="shared" ref="AD180" si="211">IF(Z$151-X$151 &lt;&gt; 0,(EXP(LN(Z180/X180)/(Z$151-X$151))-1)*100,0)</f>
        <v>0.94222889258974707</v>
      </c>
      <c r="AE180" s="43">
        <f t="shared" ref="AE180" si="212">IF(AB$151-Z$151 &lt;&gt; 0,(EXP(LN(AB180/Z180)/(AB$151-Z$151))-1)*100,0)</f>
        <v>0.33623121456747285</v>
      </c>
    </row>
    <row r="181" spans="1:31" x14ac:dyDescent="0.2">
      <c r="A181" s="10"/>
    </row>
    <row r="182" spans="1:31" x14ac:dyDescent="0.2">
      <c r="A182" s="10"/>
    </row>
  </sheetData>
  <pageMargins left="0.59055118110236227" right="0.59055118110236227" top="0.78740157480314965" bottom="0.78740157480314965" header="0.51181102362204722" footer="0.51181102362204722"/>
  <pageSetup paperSize="9" scale="76" orientation="landscape" r:id="rId1"/>
  <headerFooter alignWithMargins="0"/>
  <rowBreaks count="4" manualBreakCount="4">
    <brk id="37" max="16383" man="1"/>
    <brk id="74" max="16383" man="1"/>
    <brk id="111" max="16383" man="1"/>
    <brk id="148" max="32" man="1"/>
  </rowBreaks>
  <colBreaks count="2" manualBreakCount="2">
    <brk id="11" max="179" man="1"/>
    <brk id="22" max="179" man="1"/>
  </colBreaks>
  <drawing r:id="rId2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000-000000000000}">
  <sheetPr codeName="Sheet12"/>
  <dimension ref="A1:L103"/>
  <sheetViews>
    <sheetView showGridLines="0" zoomScale="85" zoomScaleNormal="85" workbookViewId="0"/>
  </sheetViews>
  <sheetFormatPr defaultRowHeight="12.75" x14ac:dyDescent="0.2"/>
  <cols>
    <col min="1" max="1" width="54.7109375" customWidth="1"/>
    <col min="2" max="6" width="11.7109375" customWidth="1"/>
    <col min="7" max="7" width="5.7109375" customWidth="1"/>
    <col min="8" max="12" width="11.7109375" customWidth="1"/>
  </cols>
  <sheetData>
    <row r="1" spans="1:12" ht="15.75" x14ac:dyDescent="0.25">
      <c r="A1" s="19" t="str">
        <f>CONCATENATE("Occupation Table 3  Employment Change by Occupation in Occupation Group (SOC 2020), ",B$5,"-",F$5,", ",Info!B5)</f>
        <v>Occupation Table 3  Employment Change by Occupation in Occupation Group (SOC 2020), 2015-2035, Greater Lincolnshire</v>
      </c>
    </row>
    <row r="2" spans="1:12" ht="12.75" customHeight="1" x14ac:dyDescent="0.2">
      <c r="A2" s="182" t="s">
        <v>519</v>
      </c>
    </row>
    <row r="3" spans="1:12" ht="12.75" customHeight="1" x14ac:dyDescent="0.25">
      <c r="A3" s="19"/>
      <c r="L3" s="38" t="s">
        <v>20</v>
      </c>
    </row>
    <row r="4" spans="1:12" x14ac:dyDescent="0.2">
      <c r="A4" s="36"/>
      <c r="B4" s="28" t="s">
        <v>18</v>
      </c>
      <c r="C4" s="36"/>
      <c r="D4" s="36"/>
      <c r="E4" s="36"/>
      <c r="F4" s="36"/>
      <c r="G4" s="36"/>
      <c r="H4" s="28" t="s">
        <v>19</v>
      </c>
      <c r="I4" s="36"/>
      <c r="J4" s="36"/>
      <c r="K4" s="36"/>
      <c r="L4" s="36"/>
    </row>
    <row r="5" spans="1:12" x14ac:dyDescent="0.2">
      <c r="A5" s="24"/>
      <c r="B5" s="35">
        <f>'Occ T1'!B6</f>
        <v>2015</v>
      </c>
      <c r="C5" s="35">
        <f>'Occ T1'!C6</f>
        <v>2019</v>
      </c>
      <c r="D5" s="35">
        <f>'Occ T1'!D6</f>
        <v>2020</v>
      </c>
      <c r="E5" s="35">
        <f>'Occ T1'!E6</f>
        <v>2025</v>
      </c>
      <c r="F5" s="35">
        <f>'Occ T1'!F6</f>
        <v>2035</v>
      </c>
      <c r="H5" s="37" t="str">
        <f>CONCATENATE(B$5,"-",C$5)</f>
        <v>2015-2019</v>
      </c>
      <c r="I5" s="37" t="str">
        <f>CONCATENATE(C$5,"-",D$5)</f>
        <v>2019-2020</v>
      </c>
      <c r="J5" s="37" t="str">
        <f>CONCATENATE(D$5,"-",E$5)</f>
        <v>2020-2025</v>
      </c>
      <c r="K5" s="37" t="str">
        <f>CONCATENATE(E$5,"-",F$5)</f>
        <v>2025-2035</v>
      </c>
      <c r="L5" s="37" t="str">
        <f>CONCATENATE(D$5,"-",F$5)</f>
        <v>2020-2035</v>
      </c>
    </row>
    <row r="7" spans="1:12" s="30" customFormat="1" x14ac:dyDescent="0.2">
      <c r="A7" s="30" t="str">
        <f>'Occ T1'!A8</f>
        <v>Managers, directors and senior officials</v>
      </c>
      <c r="B7" s="31">
        <f>'Occ T1'!B8</f>
        <v>45.730595176532695</v>
      </c>
      <c r="C7" s="31">
        <f>'Occ T1'!C8</f>
        <v>52.216714304978296</v>
      </c>
      <c r="D7" s="31">
        <f>'Occ T1'!D8</f>
        <v>54.908286938105874</v>
      </c>
      <c r="E7" s="31">
        <f>'Occ T1'!E8</f>
        <v>51.386419923366432</v>
      </c>
      <c r="F7" s="31">
        <f>'Occ T1'!F8</f>
        <v>55.943507600005354</v>
      </c>
      <c r="H7" s="31">
        <f>C7-B7</f>
        <v>6.4861191284456012</v>
      </c>
      <c r="I7" s="31">
        <f>D7-C7</f>
        <v>2.6915726331275778</v>
      </c>
      <c r="J7" s="31">
        <f>E7-D7</f>
        <v>-3.521867014739442</v>
      </c>
      <c r="K7" s="31">
        <f>F7-E7</f>
        <v>4.5570876766389219</v>
      </c>
      <c r="L7" s="31">
        <f>F7-D7</f>
        <v>1.0352206618994799</v>
      </c>
    </row>
    <row r="8" spans="1:12" s="30" customFormat="1" x14ac:dyDescent="0.2">
      <c r="A8" s="10" t="str">
        <f>'Occ T2'!A8</f>
        <v>11 Corporate managers and directors</v>
      </c>
      <c r="B8" s="32">
        <f>'Occ T2'!B8</f>
        <v>30.247562792471243</v>
      </c>
      <c r="C8" s="32">
        <f>'Occ T2'!C8</f>
        <v>35.435168332564437</v>
      </c>
      <c r="D8" s="32">
        <f>'Occ T2'!D8</f>
        <v>37.285129342999952</v>
      </c>
      <c r="E8" s="32">
        <f>'Occ T2'!E8</f>
        <v>33.254205149928133</v>
      </c>
      <c r="F8" s="32">
        <f>'Occ T2'!F8</f>
        <v>35.772891868365278</v>
      </c>
      <c r="H8" s="31">
        <f t="shared" ref="H8:H9" si="0">C8-B8</f>
        <v>5.1876055400931946</v>
      </c>
      <c r="I8" s="31">
        <f t="shared" ref="I8:I9" si="1">D8-C8</f>
        <v>1.8499610104355142</v>
      </c>
      <c r="J8" s="31">
        <f t="shared" ref="J8:J9" si="2">E8-D8</f>
        <v>-4.0309241930718187</v>
      </c>
      <c r="K8" s="31">
        <f t="shared" ref="K8:K9" si="3">F8-E8</f>
        <v>2.5186867184371451</v>
      </c>
      <c r="L8" s="31">
        <f t="shared" ref="L8:L49" si="4">F8-D8</f>
        <v>-1.5122374746346736</v>
      </c>
    </row>
    <row r="9" spans="1:12" s="30" customFormat="1" x14ac:dyDescent="0.2">
      <c r="A9" s="10" t="str">
        <f>'Occ T2'!A9</f>
        <v>12 Other managers and proprietors</v>
      </c>
      <c r="B9" s="32">
        <f>'Occ T2'!B9</f>
        <v>15.483032384061453</v>
      </c>
      <c r="C9" s="32">
        <f>'Occ T2'!C9</f>
        <v>16.781545972413859</v>
      </c>
      <c r="D9" s="32">
        <f>'Occ T2'!D9</f>
        <v>17.623157595105926</v>
      </c>
      <c r="E9" s="32">
        <f>'Occ T2'!E9</f>
        <v>18.132214773438296</v>
      </c>
      <c r="F9" s="32">
        <f>'Occ T2'!F9</f>
        <v>20.170615731640076</v>
      </c>
      <c r="H9" s="31">
        <f t="shared" si="0"/>
        <v>1.2985135883524066</v>
      </c>
      <c r="I9" s="31">
        <f t="shared" si="1"/>
        <v>0.84161162269206713</v>
      </c>
      <c r="J9" s="31">
        <f t="shared" si="2"/>
        <v>0.50905717833236963</v>
      </c>
      <c r="K9" s="31">
        <f t="shared" si="3"/>
        <v>2.0384009582017804</v>
      </c>
      <c r="L9" s="31">
        <f t="shared" si="4"/>
        <v>2.54745813653415</v>
      </c>
    </row>
    <row r="10" spans="1:12" x14ac:dyDescent="0.2">
      <c r="B10" s="32"/>
      <c r="C10" s="32"/>
      <c r="D10" s="32"/>
      <c r="E10" s="32"/>
      <c r="F10" s="32"/>
      <c r="H10" s="11"/>
      <c r="I10" s="31"/>
      <c r="J10" s="11"/>
      <c r="K10" s="11"/>
      <c r="L10" s="31"/>
    </row>
    <row r="11" spans="1:12" s="30" customFormat="1" x14ac:dyDescent="0.2">
      <c r="A11" s="30" t="str">
        <f>'Occ T1'!A9</f>
        <v>Professional occupations</v>
      </c>
      <c r="B11" s="31">
        <f>'Occ T1'!B9</f>
        <v>84.148060400468779</v>
      </c>
      <c r="C11" s="31">
        <f>'Occ T1'!C9</f>
        <v>93.942602772046001</v>
      </c>
      <c r="D11" s="31">
        <f>'Occ T1'!D9</f>
        <v>100.75322851210709</v>
      </c>
      <c r="E11" s="31">
        <f>'Occ T1'!E9</f>
        <v>106.41960924409312</v>
      </c>
      <c r="F11" s="31">
        <f>'Occ T1'!F9</f>
        <v>117.27071910226633</v>
      </c>
      <c r="H11" s="31">
        <f>C11-B11</f>
        <v>9.7945423715772222</v>
      </c>
      <c r="I11" s="31">
        <f t="shared" ref="I11:I49" si="5">D11-C11</f>
        <v>6.8106257400610843</v>
      </c>
      <c r="J11" s="31">
        <f>E11-D11</f>
        <v>5.6663807319860382</v>
      </c>
      <c r="K11" s="31">
        <f>F11-E11</f>
        <v>10.851109858173203</v>
      </c>
      <c r="L11" s="31">
        <f t="shared" si="4"/>
        <v>16.517490590159241</v>
      </c>
    </row>
    <row r="12" spans="1:12" x14ac:dyDescent="0.2">
      <c r="A12" s="10" t="str">
        <f>'Occ T2'!A10</f>
        <v>21 Science, research, engineering and technology professionals</v>
      </c>
      <c r="B12" s="10">
        <f>'Occ T2'!B10</f>
        <v>23.25915527928213</v>
      </c>
      <c r="C12" s="10">
        <f>'Occ T2'!C10</f>
        <v>26.194759519288692</v>
      </c>
      <c r="D12" s="10">
        <f>'Occ T2'!D10</f>
        <v>28.087523686209455</v>
      </c>
      <c r="E12" s="10">
        <f>'Occ T2'!E10</f>
        <v>34.493218359218091</v>
      </c>
      <c r="F12" s="10">
        <f>'Occ T2'!F10</f>
        <v>39.592228833866301</v>
      </c>
      <c r="H12" s="11">
        <f t="shared" ref="H12:K14" si="6">C12-B12</f>
        <v>2.9356042400065618</v>
      </c>
      <c r="I12" s="31">
        <f t="shared" si="5"/>
        <v>1.8927641669207631</v>
      </c>
      <c r="J12" s="11">
        <f t="shared" si="6"/>
        <v>6.4056946730086359</v>
      </c>
      <c r="K12" s="11">
        <f t="shared" si="6"/>
        <v>5.0990104746482103</v>
      </c>
      <c r="L12" s="31">
        <f t="shared" si="4"/>
        <v>11.504705147656846</v>
      </c>
    </row>
    <row r="13" spans="1:12" x14ac:dyDescent="0.2">
      <c r="A13" s="10" t="str">
        <f>'Occ T2'!A11</f>
        <v>22 Health professionals</v>
      </c>
      <c r="B13" s="10">
        <f>'Occ T2'!B11</f>
        <v>19.148814719960843</v>
      </c>
      <c r="C13" s="10">
        <f>'Occ T2'!C11</f>
        <v>21.995438768546176</v>
      </c>
      <c r="D13" s="10">
        <f>'Occ T2'!D11</f>
        <v>22.204702058713004</v>
      </c>
      <c r="E13" s="10">
        <f>'Occ T2'!E11</f>
        <v>21.725810467444898</v>
      </c>
      <c r="F13" s="10">
        <f>'Occ T2'!F11</f>
        <v>23.203332606461984</v>
      </c>
      <c r="H13" s="11">
        <f t="shared" si="6"/>
        <v>2.8466240485853334</v>
      </c>
      <c r="I13" s="31">
        <f t="shared" si="5"/>
        <v>0.20926329016682743</v>
      </c>
      <c r="J13" s="11">
        <f t="shared" si="6"/>
        <v>-0.47889159126810554</v>
      </c>
      <c r="K13" s="11">
        <f t="shared" si="6"/>
        <v>1.4775221390170863</v>
      </c>
      <c r="L13" s="31">
        <f t="shared" si="4"/>
        <v>0.99863054774898075</v>
      </c>
    </row>
    <row r="14" spans="1:12" x14ac:dyDescent="0.2">
      <c r="A14" s="10" t="str">
        <f>'Occ T2'!A12</f>
        <v>23 Teaching and other educational professionals</v>
      </c>
      <c r="B14" s="10">
        <f>'Occ T2'!B12</f>
        <v>18.259091469867247</v>
      </c>
      <c r="C14" s="10">
        <f>'Occ T2'!C12</f>
        <v>18.576127910613074</v>
      </c>
      <c r="D14" s="10">
        <f>'Occ T2'!D12</f>
        <v>19.425860904777554</v>
      </c>
      <c r="E14" s="10">
        <f>'Occ T2'!E12</f>
        <v>18.030334762119871</v>
      </c>
      <c r="F14" s="10">
        <f>'Occ T2'!F12</f>
        <v>18.557734407530312</v>
      </c>
      <c r="H14" s="11">
        <f t="shared" si="6"/>
        <v>0.31703644074582726</v>
      </c>
      <c r="I14" s="31">
        <f t="shared" si="5"/>
        <v>0.84973299416448</v>
      </c>
      <c r="J14" s="11">
        <f t="shared" si="6"/>
        <v>-1.3955261426576833</v>
      </c>
      <c r="K14" s="11">
        <f t="shared" si="6"/>
        <v>0.5273996454104406</v>
      </c>
      <c r="L14" s="31">
        <f t="shared" si="4"/>
        <v>-0.86812649724724267</v>
      </c>
    </row>
    <row r="15" spans="1:12" x14ac:dyDescent="0.2">
      <c r="A15" s="10" t="str">
        <f>'Occ T2'!A13</f>
        <v>24 Business, media and public service professionals</v>
      </c>
      <c r="B15" s="10">
        <f>'Occ T2'!B13</f>
        <v>23.48099893135856</v>
      </c>
      <c r="C15" s="10">
        <f>'Occ T2'!C13</f>
        <v>27.176276573598052</v>
      </c>
      <c r="D15" s="10">
        <f>'Occ T2'!D13</f>
        <v>31.03514186240707</v>
      </c>
      <c r="E15" s="10">
        <f>'Occ T2'!E13</f>
        <v>32.170245655310246</v>
      </c>
      <c r="F15" s="10">
        <f>'Occ T2'!F13</f>
        <v>35.917423254407737</v>
      </c>
      <c r="H15" s="11">
        <f t="shared" ref="H15" si="7">C15-B15</f>
        <v>3.6952776422394926</v>
      </c>
      <c r="I15" s="31">
        <f t="shared" si="5"/>
        <v>3.8588652888090174</v>
      </c>
      <c r="J15" s="11">
        <f t="shared" ref="J15" si="8">E15-D15</f>
        <v>1.1351037929031769</v>
      </c>
      <c r="K15" s="11">
        <f t="shared" ref="K15" si="9">F15-E15</f>
        <v>3.7471775990974905</v>
      </c>
      <c r="L15" s="31">
        <f t="shared" si="4"/>
        <v>4.8822813920006674</v>
      </c>
    </row>
    <row r="16" spans="1:12" x14ac:dyDescent="0.2">
      <c r="A16" s="10"/>
      <c r="B16" s="32"/>
      <c r="C16" s="32"/>
      <c r="D16" s="32"/>
      <c r="E16" s="32"/>
      <c r="F16" s="32"/>
      <c r="H16" s="11"/>
      <c r="I16" s="31"/>
      <c r="J16" s="11"/>
      <c r="K16" s="11"/>
      <c r="L16" s="31"/>
    </row>
    <row r="17" spans="1:12" s="30" customFormat="1" x14ac:dyDescent="0.2">
      <c r="A17" s="30" t="str">
        <f>'Occ T1'!A10</f>
        <v>Associate professional occupations</v>
      </c>
      <c r="B17" s="31">
        <f>'Occ T1'!B10</f>
        <v>53.926885449501597</v>
      </c>
      <c r="C17" s="31">
        <f>'Occ T1'!C10</f>
        <v>57.79169663030892</v>
      </c>
      <c r="D17" s="31">
        <f>'Occ T1'!D10</f>
        <v>61.437373146147308</v>
      </c>
      <c r="E17" s="31">
        <f>'Occ T1'!E10</f>
        <v>64.423006273493314</v>
      </c>
      <c r="F17" s="31">
        <f>'Occ T1'!F10</f>
        <v>69.798906165083082</v>
      </c>
      <c r="H17" s="31">
        <f t="shared" ref="H17:K21" si="10">C17-B17</f>
        <v>3.8648111808073224</v>
      </c>
      <c r="I17" s="31">
        <f t="shared" si="5"/>
        <v>3.6456765158383888</v>
      </c>
      <c r="J17" s="31">
        <f t="shared" si="10"/>
        <v>2.9856331273460057</v>
      </c>
      <c r="K17" s="31">
        <f t="shared" si="10"/>
        <v>5.3758998915897678</v>
      </c>
      <c r="L17" s="31">
        <f t="shared" si="4"/>
        <v>8.3615330189357735</v>
      </c>
    </row>
    <row r="18" spans="1:12" x14ac:dyDescent="0.2">
      <c r="A18" s="10" t="str">
        <f>'Occ T2'!A14</f>
        <v>31 Science, engineering and technology associate professionals</v>
      </c>
      <c r="B18" s="10">
        <f>'Occ T2'!B14</f>
        <v>7.8788112683670883</v>
      </c>
      <c r="C18" s="10">
        <f>'Occ T2'!C14</f>
        <v>9.0640058563672952</v>
      </c>
      <c r="D18" s="10">
        <f>'Occ T2'!D14</f>
        <v>10.211041430849397</v>
      </c>
      <c r="E18" s="10">
        <f>'Occ T2'!E14</f>
        <v>9.4565333793712654</v>
      </c>
      <c r="F18" s="10">
        <f>'Occ T2'!F14</f>
        <v>10.158891214200377</v>
      </c>
      <c r="H18" s="11">
        <f t="shared" si="10"/>
        <v>1.1851945880002068</v>
      </c>
      <c r="I18" s="31">
        <f t="shared" si="5"/>
        <v>1.1470355744821017</v>
      </c>
      <c r="J18" s="11">
        <f t="shared" si="10"/>
        <v>-0.75450805147813149</v>
      </c>
      <c r="K18" s="11">
        <f t="shared" si="10"/>
        <v>0.70235783482911174</v>
      </c>
      <c r="L18" s="31">
        <f t="shared" si="4"/>
        <v>-5.2150216649019754E-2</v>
      </c>
    </row>
    <row r="19" spans="1:12" x14ac:dyDescent="0.2">
      <c r="A19" s="10" t="str">
        <f>'Occ T2'!A15</f>
        <v>32 Health and social care associate professionals</v>
      </c>
      <c r="B19" s="10">
        <f>'Occ T2'!B15</f>
        <v>8.4794949970886488</v>
      </c>
      <c r="C19" s="10">
        <f>'Occ T2'!C15</f>
        <v>9.6209059892435427</v>
      </c>
      <c r="D19" s="10">
        <f>'Occ T2'!D15</f>
        <v>9.8334636122958532</v>
      </c>
      <c r="E19" s="10">
        <f>'Occ T2'!E15</f>
        <v>15.479455893129849</v>
      </c>
      <c r="F19" s="10">
        <f>'Occ T2'!F15</f>
        <v>18.168057244041023</v>
      </c>
      <c r="H19" s="11">
        <f t="shared" si="10"/>
        <v>1.1414109921548938</v>
      </c>
      <c r="I19" s="31">
        <f t="shared" si="5"/>
        <v>0.21255762305231052</v>
      </c>
      <c r="J19" s="11">
        <f t="shared" si="10"/>
        <v>5.6459922808339957</v>
      </c>
      <c r="K19" s="11">
        <f t="shared" si="10"/>
        <v>2.6886013509111741</v>
      </c>
      <c r="L19" s="31">
        <f t="shared" si="4"/>
        <v>8.3345936317451699</v>
      </c>
    </row>
    <row r="20" spans="1:12" x14ac:dyDescent="0.2">
      <c r="A20" s="10" t="str">
        <f>'Occ T2'!A16</f>
        <v>33 Protective service occupations</v>
      </c>
      <c r="B20" s="10">
        <f>'Occ T2'!B16</f>
        <v>5.4562316961422113</v>
      </c>
      <c r="C20" s="10">
        <f>'Occ T2'!C16</f>
        <v>5.4434429140666705</v>
      </c>
      <c r="D20" s="10">
        <f>'Occ T2'!D16</f>
        <v>5.7259729012338703</v>
      </c>
      <c r="E20" s="10">
        <f>'Occ T2'!E16</f>
        <v>4.9464339165450673</v>
      </c>
      <c r="F20" s="10">
        <f>'Occ T2'!F16</f>
        <v>5.2269699614146221</v>
      </c>
      <c r="H20" s="11">
        <f t="shared" si="10"/>
        <v>-1.2788782075540794E-2</v>
      </c>
      <c r="I20" s="31">
        <f t="shared" si="5"/>
        <v>0.28252998716719979</v>
      </c>
      <c r="J20" s="11">
        <f t="shared" si="10"/>
        <v>-0.779538984688803</v>
      </c>
      <c r="K20" s="11">
        <f t="shared" si="10"/>
        <v>0.28053604486955486</v>
      </c>
      <c r="L20" s="31">
        <f t="shared" si="4"/>
        <v>-0.49900293981924815</v>
      </c>
    </row>
    <row r="21" spans="1:12" x14ac:dyDescent="0.2">
      <c r="A21" s="10" t="str">
        <f>'Occ T2'!A17</f>
        <v>34 Culture, media and sports occupations</v>
      </c>
      <c r="B21" s="10">
        <f>'Occ T2'!B17</f>
        <v>6.3591490193584974</v>
      </c>
      <c r="C21" s="10">
        <f>'Occ T2'!C17</f>
        <v>6.4279469411592771</v>
      </c>
      <c r="D21" s="10">
        <f>'Occ T2'!D17</f>
        <v>6.6380728933527591</v>
      </c>
      <c r="E21" s="10">
        <f>'Occ T2'!E17</f>
        <v>5.6290627564795095</v>
      </c>
      <c r="F21" s="10">
        <f>'Occ T2'!F17</f>
        <v>5.9511053070607982</v>
      </c>
      <c r="H21" s="11">
        <f t="shared" si="10"/>
        <v>6.8797921800779704E-2</v>
      </c>
      <c r="I21" s="31">
        <f t="shared" si="5"/>
        <v>0.21012595219348196</v>
      </c>
      <c r="J21" s="11">
        <f t="shared" si="10"/>
        <v>-1.0090101368732496</v>
      </c>
      <c r="K21" s="11">
        <f t="shared" si="10"/>
        <v>0.32204255058128872</v>
      </c>
      <c r="L21" s="31">
        <f t="shared" si="4"/>
        <v>-0.68696758629196086</v>
      </c>
    </row>
    <row r="22" spans="1:12" x14ac:dyDescent="0.2">
      <c r="A22" s="10" t="str">
        <f>'Occ T2'!A18</f>
        <v>35 Business and public service associate professionals</v>
      </c>
      <c r="B22" s="10">
        <f>'Occ T2'!B18</f>
        <v>25.75319846854515</v>
      </c>
      <c r="C22" s="10">
        <f>'Occ T2'!C18</f>
        <v>27.23539492947214</v>
      </c>
      <c r="D22" s="10">
        <f>'Occ T2'!D18</f>
        <v>29.028822308415432</v>
      </c>
      <c r="E22" s="10">
        <f>'Occ T2'!E18</f>
        <v>28.911520327967629</v>
      </c>
      <c r="F22" s="10">
        <f>'Occ T2'!F18</f>
        <v>30.293882438366261</v>
      </c>
      <c r="H22" s="11">
        <f t="shared" ref="H22" si="11">C22-B22</f>
        <v>1.4821964609269891</v>
      </c>
      <c r="I22" s="31">
        <f t="shared" si="5"/>
        <v>1.7934273789432922</v>
      </c>
      <c r="J22" s="11">
        <f t="shared" ref="J22" si="12">E22-D22</f>
        <v>-0.11730198044780238</v>
      </c>
      <c r="K22" s="11">
        <f t="shared" ref="K22" si="13">F22-E22</f>
        <v>1.3823621103986312</v>
      </c>
      <c r="L22" s="31">
        <f t="shared" si="4"/>
        <v>1.2650601299508288</v>
      </c>
    </row>
    <row r="23" spans="1:12" x14ac:dyDescent="0.2">
      <c r="A23" s="10"/>
      <c r="B23" s="32"/>
      <c r="C23" s="32"/>
      <c r="D23" s="32"/>
      <c r="E23" s="32"/>
      <c r="F23" s="32"/>
      <c r="H23" s="11"/>
      <c r="I23" s="31"/>
      <c r="J23" s="11"/>
      <c r="K23" s="11"/>
      <c r="L23" s="31"/>
    </row>
    <row r="24" spans="1:12" s="30" customFormat="1" x14ac:dyDescent="0.2">
      <c r="A24" s="30" t="str">
        <f>'Occ T1'!A11</f>
        <v>Administrative and secretarial occupations</v>
      </c>
      <c r="B24" s="31">
        <f>'Occ T1'!B11</f>
        <v>51.366410445082977</v>
      </c>
      <c r="C24" s="31">
        <f>'Occ T1'!C11</f>
        <v>49.545930358588819</v>
      </c>
      <c r="D24" s="31">
        <f>'Occ T1'!D11</f>
        <v>51.152140412056283</v>
      </c>
      <c r="E24" s="31">
        <f>'Occ T1'!E11</f>
        <v>51.029967874902667</v>
      </c>
      <c r="F24" s="31">
        <f>'Occ T1'!F11</f>
        <v>48.17662628932424</v>
      </c>
      <c r="H24" s="31">
        <f t="shared" ref="H24:K26" si="14">C24-B24</f>
        <v>-1.8204800864941575</v>
      </c>
      <c r="I24" s="31">
        <f t="shared" si="5"/>
        <v>1.6062100534674641</v>
      </c>
      <c r="J24" s="31">
        <f t="shared" si="14"/>
        <v>-0.12217253715361664</v>
      </c>
      <c r="K24" s="31">
        <f t="shared" si="14"/>
        <v>-2.853341585578427</v>
      </c>
      <c r="L24" s="31">
        <f t="shared" si="4"/>
        <v>-2.9755141227320436</v>
      </c>
    </row>
    <row r="25" spans="1:12" x14ac:dyDescent="0.2">
      <c r="A25" t="str">
        <f>'Occ T2'!A19</f>
        <v>41 Administrative occupations</v>
      </c>
      <c r="B25" s="32">
        <f>'Occ T2'!B19</f>
        <v>41.363649282321632</v>
      </c>
      <c r="C25" s="32">
        <f>'Occ T2'!C19</f>
        <v>40.242010662428157</v>
      </c>
      <c r="D25" s="32">
        <f>'Occ T2'!D19</f>
        <v>42.015488739913941</v>
      </c>
      <c r="E25" s="32">
        <f>'Occ T2'!E19</f>
        <v>42.577492293785532</v>
      </c>
      <c r="F25" s="32">
        <f>'Occ T2'!F19</f>
        <v>41.789015266300716</v>
      </c>
      <c r="H25" s="11">
        <f t="shared" si="14"/>
        <v>-1.1216386198934742</v>
      </c>
      <c r="I25" s="31">
        <f t="shared" si="5"/>
        <v>1.7734780774857839</v>
      </c>
      <c r="J25" s="11">
        <f t="shared" si="14"/>
        <v>0.56200355387159107</v>
      </c>
      <c r="K25" s="11">
        <f t="shared" si="14"/>
        <v>-0.78847702748481652</v>
      </c>
      <c r="L25" s="31">
        <f t="shared" si="4"/>
        <v>-0.22647347361322545</v>
      </c>
    </row>
    <row r="26" spans="1:12" x14ac:dyDescent="0.2">
      <c r="A26" t="str">
        <f>'Occ T2'!A20</f>
        <v>42 Secretarial and related occupations</v>
      </c>
      <c r="B26" s="32">
        <f>'Occ T2'!B20</f>
        <v>10.002761162761342</v>
      </c>
      <c r="C26" s="32">
        <f>'Occ T2'!C20</f>
        <v>9.3039196961606603</v>
      </c>
      <c r="D26" s="32">
        <f>'Occ T2'!D20</f>
        <v>9.1366516721423405</v>
      </c>
      <c r="E26" s="32">
        <f>'Occ T2'!E20</f>
        <v>8.452475581117131</v>
      </c>
      <c r="F26" s="32">
        <f>'Occ T2'!F20</f>
        <v>6.3876110230235232</v>
      </c>
      <c r="H26" s="11">
        <f t="shared" si="14"/>
        <v>-0.69884146660068147</v>
      </c>
      <c r="I26" s="31">
        <f t="shared" si="5"/>
        <v>-0.16726802401831975</v>
      </c>
      <c r="J26" s="11">
        <f t="shared" si="14"/>
        <v>-0.68417609102520949</v>
      </c>
      <c r="K26" s="11">
        <f t="shared" si="14"/>
        <v>-2.0648645580936078</v>
      </c>
      <c r="L26" s="31">
        <f t="shared" si="4"/>
        <v>-2.7490406491188173</v>
      </c>
    </row>
    <row r="27" spans="1:12" x14ac:dyDescent="0.2">
      <c r="B27" s="32"/>
      <c r="C27" s="32"/>
      <c r="D27" s="32"/>
      <c r="E27" s="32"/>
      <c r="F27" s="32"/>
      <c r="H27" s="11"/>
      <c r="I27" s="31"/>
      <c r="J27" s="11"/>
      <c r="K27" s="11"/>
      <c r="L27" s="31"/>
    </row>
    <row r="28" spans="1:12" s="30" customFormat="1" x14ac:dyDescent="0.2">
      <c r="A28" s="30" t="str">
        <f>'Occ T1'!A12</f>
        <v>Skilled trades occupations</v>
      </c>
      <c r="B28" s="31">
        <f>'Occ T1'!B12</f>
        <v>55.572068003104462</v>
      </c>
      <c r="C28" s="31">
        <f>'Occ T1'!C12</f>
        <v>52.237315937644496</v>
      </c>
      <c r="D28" s="31">
        <f>'Occ T1'!D12</f>
        <v>48.532940947383196</v>
      </c>
      <c r="E28" s="31">
        <f>'Occ T1'!E12</f>
        <v>46.790098801743497</v>
      </c>
      <c r="F28" s="31">
        <f>'Occ T1'!F12</f>
        <v>43.234890421391583</v>
      </c>
      <c r="H28" s="31">
        <f t="shared" ref="H28:K30" si="15">C28-B28</f>
        <v>-3.3347520654599663</v>
      </c>
      <c r="I28" s="31">
        <f t="shared" si="5"/>
        <v>-3.7043749902613001</v>
      </c>
      <c r="J28" s="31">
        <f t="shared" si="15"/>
        <v>-1.742842145639699</v>
      </c>
      <c r="K28" s="31">
        <f t="shared" si="15"/>
        <v>-3.5552083803519139</v>
      </c>
      <c r="L28" s="31">
        <f t="shared" si="4"/>
        <v>-5.2980505259916129</v>
      </c>
    </row>
    <row r="29" spans="1:12" x14ac:dyDescent="0.2">
      <c r="A29" s="10" t="str">
        <f>'Occ T2'!A21</f>
        <v>51 Skilled agricultural and related trades</v>
      </c>
      <c r="B29" s="10">
        <f>'Occ T2'!B21</f>
        <v>8.9526980313788851</v>
      </c>
      <c r="C29" s="10">
        <f>'Occ T2'!C21</f>
        <v>8.610293929416617</v>
      </c>
      <c r="D29" s="10">
        <f>'Occ T2'!D21</f>
        <v>10.053463363622607</v>
      </c>
      <c r="E29" s="10">
        <f>'Occ T2'!E21</f>
        <v>9.3251742602478878</v>
      </c>
      <c r="F29" s="10">
        <f>'Occ T2'!F21</f>
        <v>9.2499649150386745</v>
      </c>
      <c r="H29" s="11">
        <f t="shared" si="15"/>
        <v>-0.34240410196226811</v>
      </c>
      <c r="I29" s="31">
        <f t="shared" si="5"/>
        <v>1.4431694342059895</v>
      </c>
      <c r="J29" s="11">
        <f t="shared" si="15"/>
        <v>-0.72828910337471875</v>
      </c>
      <c r="K29" s="11">
        <f t="shared" si="15"/>
        <v>-7.5209345209213296E-2</v>
      </c>
      <c r="L29" s="31">
        <f t="shared" si="4"/>
        <v>-0.80349844858393205</v>
      </c>
    </row>
    <row r="30" spans="1:12" x14ac:dyDescent="0.2">
      <c r="A30" s="10" t="str">
        <f>'Occ T2'!A22</f>
        <v>52 Skilled metal, electrical and electronic trades</v>
      </c>
      <c r="B30" s="10">
        <f>'Occ T2'!B22</f>
        <v>21.170991389265154</v>
      </c>
      <c r="C30" s="10">
        <f>'Occ T2'!C22</f>
        <v>20.612383160737192</v>
      </c>
      <c r="D30" s="10">
        <f>'Occ T2'!D22</f>
        <v>18.255539317999588</v>
      </c>
      <c r="E30" s="10">
        <f>'Occ T2'!E22</f>
        <v>17.667412211289474</v>
      </c>
      <c r="F30" s="10">
        <f>'Occ T2'!F22</f>
        <v>16.386563901960127</v>
      </c>
      <c r="H30" s="11">
        <f t="shared" si="15"/>
        <v>-0.55860822852796232</v>
      </c>
      <c r="I30" s="31">
        <f t="shared" si="5"/>
        <v>-2.3568438427376037</v>
      </c>
      <c r="J30" s="11">
        <f t="shared" si="15"/>
        <v>-0.58812710671011459</v>
      </c>
      <c r="K30" s="11">
        <f t="shared" si="15"/>
        <v>-1.2808483093293468</v>
      </c>
      <c r="L30" s="31">
        <f t="shared" si="4"/>
        <v>-1.8689754160394614</v>
      </c>
    </row>
    <row r="31" spans="1:12" x14ac:dyDescent="0.2">
      <c r="A31" s="10" t="str">
        <f>'Occ T2'!A23</f>
        <v>53 Skilled construction and building trades</v>
      </c>
      <c r="B31" s="10">
        <f>'Occ T2'!B23</f>
        <v>14.47344054106075</v>
      </c>
      <c r="C31" s="10">
        <f>'Occ T2'!C23</f>
        <v>13.659114038381423</v>
      </c>
      <c r="D31" s="10">
        <f>'Occ T2'!D23</f>
        <v>11.165279435266021</v>
      </c>
      <c r="E31" s="10">
        <f>'Occ T2'!E23</f>
        <v>10.730291669143234</v>
      </c>
      <c r="F31" s="10">
        <f>'Occ T2'!F23</f>
        <v>9.210750202713653</v>
      </c>
      <c r="H31" s="11">
        <f t="shared" ref="H31:H32" si="16">C31-B31</f>
        <v>-0.81432650267932694</v>
      </c>
      <c r="I31" s="31">
        <f t="shared" si="5"/>
        <v>-2.4938346031154026</v>
      </c>
      <c r="J31" s="11">
        <f t="shared" ref="J31:J32" si="17">E31-D31</f>
        <v>-0.43498776612278611</v>
      </c>
      <c r="K31" s="11">
        <f t="shared" ref="K31:K32" si="18">F31-E31</f>
        <v>-1.5195414664295814</v>
      </c>
      <c r="L31" s="31">
        <f t="shared" si="4"/>
        <v>-1.9545292325523675</v>
      </c>
    </row>
    <row r="32" spans="1:12" x14ac:dyDescent="0.2">
      <c r="A32" s="10" t="str">
        <f>'Occ T2'!A24</f>
        <v>54 Textiles, printing and other skilled trades</v>
      </c>
      <c r="B32" s="10">
        <f>'Occ T2'!B24</f>
        <v>10.974938041399668</v>
      </c>
      <c r="C32" s="10">
        <f>'Occ T2'!C24</f>
        <v>9.3555248091092658</v>
      </c>
      <c r="D32" s="10">
        <f>'Occ T2'!D24</f>
        <v>9.0586588304949736</v>
      </c>
      <c r="E32" s="10">
        <f>'Occ T2'!E24</f>
        <v>9.0672206610629029</v>
      </c>
      <c r="F32" s="10">
        <f>'Occ T2'!F24</f>
        <v>8.3876114016791306</v>
      </c>
      <c r="H32" s="11">
        <f t="shared" si="16"/>
        <v>-1.6194132322904018</v>
      </c>
      <c r="I32" s="31">
        <f t="shared" si="5"/>
        <v>-0.2968659786142922</v>
      </c>
      <c r="J32" s="11">
        <f t="shared" si="17"/>
        <v>8.5618305679293627E-3</v>
      </c>
      <c r="K32" s="11">
        <f t="shared" si="18"/>
        <v>-0.67960925938377237</v>
      </c>
      <c r="L32" s="31">
        <f t="shared" si="4"/>
        <v>-0.67104742881584301</v>
      </c>
    </row>
    <row r="33" spans="1:12" x14ac:dyDescent="0.2">
      <c r="A33" s="10"/>
      <c r="B33" s="32"/>
      <c r="C33" s="32"/>
      <c r="D33" s="32"/>
      <c r="E33" s="32"/>
      <c r="F33" s="32"/>
      <c r="H33" s="11"/>
      <c r="I33" s="31"/>
      <c r="J33" s="11"/>
      <c r="K33" s="11"/>
      <c r="L33" s="31"/>
    </row>
    <row r="34" spans="1:12" s="30" customFormat="1" x14ac:dyDescent="0.2">
      <c r="A34" s="30" t="str">
        <f>'Occ T1'!A13</f>
        <v>Caring, leisure and other service occupations</v>
      </c>
      <c r="B34" s="31">
        <f>'Occ T1'!B13</f>
        <v>55.221174806923877</v>
      </c>
      <c r="C34" s="31">
        <f>'Occ T1'!C13</f>
        <v>58.548155106719392</v>
      </c>
      <c r="D34" s="31">
        <f>'Occ T1'!D13</f>
        <v>56.846498020688699</v>
      </c>
      <c r="E34" s="31">
        <f>'Occ T1'!E13</f>
        <v>57.23757849986368</v>
      </c>
      <c r="F34" s="31">
        <f>'Occ T1'!F13</f>
        <v>60.427646216979987</v>
      </c>
      <c r="H34" s="31">
        <f t="shared" ref="H34:K36" si="19">C34-B34</f>
        <v>3.3269802997955154</v>
      </c>
      <c r="I34" s="31">
        <f t="shared" si="5"/>
        <v>-1.7016570860306928</v>
      </c>
      <c r="J34" s="31">
        <f t="shared" si="19"/>
        <v>0.39108047917498112</v>
      </c>
      <c r="K34" s="31">
        <f t="shared" si="19"/>
        <v>3.1900677171163068</v>
      </c>
      <c r="L34" s="31">
        <f t="shared" si="4"/>
        <v>3.5811481962912879</v>
      </c>
    </row>
    <row r="35" spans="1:12" x14ac:dyDescent="0.2">
      <c r="A35" s="10" t="str">
        <f>'Occ T2'!A25</f>
        <v>61 Caring personal service occupations</v>
      </c>
      <c r="B35" s="10">
        <f>'Occ T2'!B25</f>
        <v>44.06827943212275</v>
      </c>
      <c r="C35" s="10">
        <f>'Occ T2'!C25</f>
        <v>44.697965228436082</v>
      </c>
      <c r="D35" s="10">
        <f>'Occ T2'!D25</f>
        <v>43.296978489565802</v>
      </c>
      <c r="E35" s="10">
        <f>'Occ T2'!E25</f>
        <v>44.846827713113818</v>
      </c>
      <c r="F35" s="10">
        <f>'Occ T2'!F25</f>
        <v>47.910340026917289</v>
      </c>
      <c r="G35" s="10"/>
      <c r="H35" s="11">
        <f t="shared" si="19"/>
        <v>0.62968579631333199</v>
      </c>
      <c r="I35" s="31">
        <f t="shared" si="5"/>
        <v>-1.4009867388702801</v>
      </c>
      <c r="J35" s="11">
        <f t="shared" si="19"/>
        <v>1.5498492235480157</v>
      </c>
      <c r="K35" s="11">
        <f t="shared" si="19"/>
        <v>3.0635123138034714</v>
      </c>
      <c r="L35" s="31">
        <f t="shared" si="4"/>
        <v>4.6133615373514871</v>
      </c>
    </row>
    <row r="36" spans="1:12" x14ac:dyDescent="0.2">
      <c r="A36" s="10" t="str">
        <f>'Occ T2'!A26</f>
        <v>62 Leisure, travel and related personal service occupations</v>
      </c>
      <c r="B36" s="10">
        <f>'Occ T2'!B26</f>
        <v>10.618128366267882</v>
      </c>
      <c r="C36" s="10">
        <f>'Occ T2'!C26</f>
        <v>13.411998144831484</v>
      </c>
      <c r="D36" s="10">
        <f>'Occ T2'!D26</f>
        <v>12.994951688815915</v>
      </c>
      <c r="E36" s="10">
        <f>'Occ T2'!E26</f>
        <v>11.967287253679919</v>
      </c>
      <c r="F36" s="10">
        <f>'Occ T2'!F26</f>
        <v>12.043011311322823</v>
      </c>
      <c r="G36" s="10"/>
      <c r="H36" s="11">
        <f t="shared" si="19"/>
        <v>2.793869778563602</v>
      </c>
      <c r="I36" s="31">
        <f t="shared" si="5"/>
        <v>-0.41704645601556933</v>
      </c>
      <c r="J36" s="11">
        <f t="shared" si="19"/>
        <v>-1.0276644351359963</v>
      </c>
      <c r="K36" s="11">
        <f t="shared" si="19"/>
        <v>7.5724057642904796E-2</v>
      </c>
      <c r="L36" s="31">
        <f t="shared" si="4"/>
        <v>-0.95194037749309146</v>
      </c>
    </row>
    <row r="37" spans="1:12" x14ac:dyDescent="0.2">
      <c r="A37" s="10" t="str">
        <f>'Occ T2'!A27</f>
        <v>63 Community and civil enforcement occupations</v>
      </c>
      <c r="B37" s="10">
        <f>'Occ T2'!B27</f>
        <v>0.53476700853324488</v>
      </c>
      <c r="C37" s="10">
        <f>'Occ T2'!C27</f>
        <v>0.43819173345182433</v>
      </c>
      <c r="D37" s="10">
        <f>'Occ T2'!D27</f>
        <v>0.55456784230697775</v>
      </c>
      <c r="E37" s="10">
        <f>'Occ T2'!E27</f>
        <v>0.42346353306994405</v>
      </c>
      <c r="F37" s="10">
        <f>'Occ T2'!F27</f>
        <v>0.47429487873987586</v>
      </c>
      <c r="G37" s="10"/>
      <c r="H37" s="11">
        <f t="shared" ref="H37" si="20">C37-B37</f>
        <v>-9.6575275081420553E-2</v>
      </c>
      <c r="I37" s="31">
        <f t="shared" ref="I37" si="21">D37-C37</f>
        <v>0.11637610885515343</v>
      </c>
      <c r="J37" s="11">
        <f t="shared" ref="J37" si="22">E37-D37</f>
        <v>-0.1311043092370337</v>
      </c>
      <c r="K37" s="11">
        <f t="shared" ref="K37" si="23">F37-E37</f>
        <v>5.0831345669931804E-2</v>
      </c>
      <c r="L37" s="31">
        <f t="shared" ref="L37" si="24">F37-D37</f>
        <v>-8.0272963567101896E-2</v>
      </c>
    </row>
    <row r="38" spans="1:12" x14ac:dyDescent="0.2">
      <c r="I38" s="31"/>
      <c r="L38" s="31"/>
    </row>
    <row r="39" spans="1:12" s="30" customFormat="1" x14ac:dyDescent="0.2">
      <c r="A39" s="30" t="str">
        <f>'Occ T1'!A14</f>
        <v>Sales and customer service occupations</v>
      </c>
      <c r="B39" s="31">
        <f>'Occ T1'!B14</f>
        <v>46.36807217069466</v>
      </c>
      <c r="C39" s="31">
        <f>'Occ T1'!C14</f>
        <v>43.433376381887506</v>
      </c>
      <c r="D39" s="31">
        <f>'Occ T1'!D14</f>
        <v>42.827473840804956</v>
      </c>
      <c r="E39" s="31">
        <f>'Occ T1'!E14</f>
        <v>42.585358209329534</v>
      </c>
      <c r="F39" s="31">
        <f>'Occ T1'!F14</f>
        <v>42.521498139387894</v>
      </c>
      <c r="H39" s="31">
        <f>C39-B39</f>
        <v>-2.9346957888071543</v>
      </c>
      <c r="I39" s="31">
        <f t="shared" si="5"/>
        <v>-0.60590254108254982</v>
      </c>
      <c r="J39" s="31">
        <f>E39-D39</f>
        <v>-0.24211563147542137</v>
      </c>
      <c r="K39" s="31">
        <f>F39-E39</f>
        <v>-6.3860069941640063E-2</v>
      </c>
      <c r="L39" s="31">
        <f t="shared" si="4"/>
        <v>-0.30597570141706143</v>
      </c>
    </row>
    <row r="40" spans="1:12" s="30" customFormat="1" x14ac:dyDescent="0.2">
      <c r="A40" s="126" t="str">
        <f>'Occ T2'!A28</f>
        <v>71 Sales occupations</v>
      </c>
      <c r="B40" s="126">
        <f>'Occ T2'!B28</f>
        <v>38.973525313793111</v>
      </c>
      <c r="C40" s="126">
        <f>'Occ T2'!C28</f>
        <v>35.582072392355371</v>
      </c>
      <c r="D40" s="126">
        <f>'Occ T2'!D28</f>
        <v>34.754105944221891</v>
      </c>
      <c r="E40" s="126">
        <f>'Occ T2'!E28</f>
        <v>33.725088646435069</v>
      </c>
      <c r="F40" s="126">
        <f>'Occ T2'!F28</f>
        <v>32.736083057927345</v>
      </c>
      <c r="G40"/>
      <c r="H40" s="11">
        <f>C40-B40</f>
        <v>-3.3914529214377396</v>
      </c>
      <c r="I40" s="31">
        <f t="shared" si="5"/>
        <v>-0.82796644813348053</v>
      </c>
      <c r="J40" s="11">
        <f t="shared" ref="J40" si="25">E40-D40</f>
        <v>-1.0290172977868224</v>
      </c>
      <c r="K40" s="11">
        <f t="shared" ref="K40" si="26">F40-E40</f>
        <v>-0.98900558850772313</v>
      </c>
      <c r="L40" s="31">
        <f t="shared" si="4"/>
        <v>-2.0180228862945455</v>
      </c>
    </row>
    <row r="41" spans="1:12" s="30" customFormat="1" x14ac:dyDescent="0.2">
      <c r="A41" s="126" t="str">
        <f>'Occ T2'!A29</f>
        <v>72 Customer service occupations</v>
      </c>
      <c r="B41" s="126">
        <f>'Occ T2'!B29</f>
        <v>7.394546856901548</v>
      </c>
      <c r="C41" s="126">
        <f>'Occ T2'!C29</f>
        <v>7.8513039895321315</v>
      </c>
      <c r="D41" s="126">
        <f>'Occ T2'!D29</f>
        <v>8.0733678965830684</v>
      </c>
      <c r="E41" s="126">
        <f>'Occ T2'!E29</f>
        <v>8.8602695628944659</v>
      </c>
      <c r="F41" s="126">
        <f>'Occ T2'!F29</f>
        <v>9.7854150814605507</v>
      </c>
      <c r="G41"/>
      <c r="H41" s="11">
        <f t="shared" ref="H41" si="27">C41-B41</f>
        <v>0.45675713263058348</v>
      </c>
      <c r="I41" s="31">
        <f t="shared" si="5"/>
        <v>0.22206390705093693</v>
      </c>
      <c r="J41" s="11">
        <f t="shared" ref="J41" si="28">E41-D41</f>
        <v>0.78690166631139746</v>
      </c>
      <c r="K41" s="11">
        <f t="shared" ref="K41" si="29">F41-E41</f>
        <v>0.92514551856608485</v>
      </c>
      <c r="L41" s="31">
        <f t="shared" si="4"/>
        <v>1.7120471848774823</v>
      </c>
    </row>
    <row r="42" spans="1:12" x14ac:dyDescent="0.2">
      <c r="B42" s="32"/>
      <c r="C42" s="32"/>
      <c r="D42" s="32"/>
      <c r="E42" s="32"/>
      <c r="F42" s="32"/>
      <c r="H42" s="11"/>
      <c r="I42" s="31"/>
      <c r="J42" s="11"/>
      <c r="K42" s="11"/>
      <c r="L42" s="31"/>
    </row>
    <row r="43" spans="1:12" s="30" customFormat="1" x14ac:dyDescent="0.2">
      <c r="A43" s="30" t="str">
        <f>'Occ T1'!A15</f>
        <v>Process, plant and machine operatives</v>
      </c>
      <c r="B43" s="31">
        <f>'Occ T1'!B15</f>
        <v>44.721812114267756</v>
      </c>
      <c r="C43" s="31">
        <f>'Occ T1'!C15</f>
        <v>44.49196610860912</v>
      </c>
      <c r="D43" s="31">
        <f>'Occ T1'!D15</f>
        <v>41.529068763260419</v>
      </c>
      <c r="E43" s="31">
        <f>'Occ T1'!E15</f>
        <v>41.651395757268759</v>
      </c>
      <c r="F43" s="31">
        <f>'Occ T1'!F15</f>
        <v>39.260522108603936</v>
      </c>
      <c r="H43" s="31">
        <f t="shared" ref="H43:K45" si="30">C43-B43</f>
        <v>-0.22984600565863644</v>
      </c>
      <c r="I43" s="31">
        <f t="shared" si="5"/>
        <v>-2.9628973453487006</v>
      </c>
      <c r="J43" s="31">
        <f t="shared" si="30"/>
        <v>0.1223269940083398</v>
      </c>
      <c r="K43" s="31">
        <f t="shared" si="30"/>
        <v>-2.3908736486648223</v>
      </c>
      <c r="L43" s="31">
        <f t="shared" si="4"/>
        <v>-2.2685466546564825</v>
      </c>
    </row>
    <row r="44" spans="1:12" x14ac:dyDescent="0.2">
      <c r="A44" s="10" t="str">
        <f>'Occ T2'!A30</f>
        <v>81 Process, plant and machine operatives</v>
      </c>
      <c r="B44" s="10">
        <f>'Occ T2'!B30</f>
        <v>23.617997881207206</v>
      </c>
      <c r="C44" s="10">
        <f>'Occ T2'!C30</f>
        <v>22.621141012114837</v>
      </c>
      <c r="D44" s="10">
        <f>'Occ T2'!D30</f>
        <v>20.118734262019561</v>
      </c>
      <c r="E44" s="10">
        <f>'Occ T2'!E30</f>
        <v>20.473548267191795</v>
      </c>
      <c r="F44" s="10">
        <f>'Occ T2'!F30</f>
        <v>18.988078793912329</v>
      </c>
      <c r="H44" s="11">
        <f t="shared" si="30"/>
        <v>-0.99685686909236892</v>
      </c>
      <c r="I44" s="31">
        <f t="shared" si="5"/>
        <v>-2.5024067500952754</v>
      </c>
      <c r="J44" s="11">
        <f t="shared" si="30"/>
        <v>0.35481400517223349</v>
      </c>
      <c r="K44" s="11">
        <f t="shared" si="30"/>
        <v>-1.4854694732794655</v>
      </c>
      <c r="L44" s="31">
        <f t="shared" si="4"/>
        <v>-1.1306554681072321</v>
      </c>
    </row>
    <row r="45" spans="1:12" x14ac:dyDescent="0.2">
      <c r="A45" s="10" t="str">
        <f>'Occ T2'!A31</f>
        <v>82 Transport and mobile machine drivers and operatives</v>
      </c>
      <c r="B45" s="10">
        <f>'Occ T2'!B31</f>
        <v>21.10381423306055</v>
      </c>
      <c r="C45" s="10">
        <f>'Occ T2'!C31</f>
        <v>21.870825096494286</v>
      </c>
      <c r="D45" s="10">
        <f>'Occ T2'!D31</f>
        <v>21.410334501240857</v>
      </c>
      <c r="E45" s="10">
        <f>'Occ T2'!E31</f>
        <v>21.17784749007696</v>
      </c>
      <c r="F45" s="10">
        <f>'Occ T2'!F31</f>
        <v>20.272443314691611</v>
      </c>
      <c r="H45" s="11">
        <f t="shared" si="30"/>
        <v>0.76701086343373603</v>
      </c>
      <c r="I45" s="31">
        <f t="shared" si="5"/>
        <v>-0.46049059525342884</v>
      </c>
      <c r="J45" s="11">
        <f t="shared" si="30"/>
        <v>-0.23248701116389725</v>
      </c>
      <c r="K45" s="11">
        <f t="shared" si="30"/>
        <v>-0.90540417538534967</v>
      </c>
      <c r="L45" s="31">
        <f t="shared" si="4"/>
        <v>-1.1378911865492469</v>
      </c>
    </row>
    <row r="46" spans="1:12" x14ac:dyDescent="0.2">
      <c r="B46" s="32"/>
      <c r="C46" s="32"/>
      <c r="D46" s="32"/>
      <c r="E46" s="32"/>
      <c r="F46" s="32"/>
      <c r="H46" s="11"/>
      <c r="I46" s="31"/>
      <c r="J46" s="11"/>
      <c r="K46" s="11"/>
      <c r="L46" s="31"/>
    </row>
    <row r="47" spans="1:12" s="30" customFormat="1" x14ac:dyDescent="0.2">
      <c r="A47" s="30" t="str">
        <f>'Occ T1'!A16</f>
        <v>Elementary occupations</v>
      </c>
      <c r="B47" s="31">
        <f>'Occ T1'!B16</f>
        <v>64.549921433423492</v>
      </c>
      <c r="C47" s="31">
        <f>'Occ T1'!C16</f>
        <v>61.55824239921737</v>
      </c>
      <c r="D47" s="31">
        <f>'Occ T1'!D16</f>
        <v>56.857989419446334</v>
      </c>
      <c r="E47" s="31">
        <f>'Occ T1'!E16</f>
        <v>58.846565415939224</v>
      </c>
      <c r="F47" s="31">
        <f>'Occ T1'!F16</f>
        <v>56.277683956957446</v>
      </c>
      <c r="H47" s="31">
        <f t="shared" ref="H47:K49" si="31">C47-B47</f>
        <v>-2.9916790342061219</v>
      </c>
      <c r="I47" s="31">
        <f t="shared" si="5"/>
        <v>-4.7002529797710366</v>
      </c>
      <c r="J47" s="31">
        <f t="shared" si="31"/>
        <v>1.9885759964928909</v>
      </c>
      <c r="K47" s="31">
        <f t="shared" si="31"/>
        <v>-2.5688814589817781</v>
      </c>
      <c r="L47" s="31">
        <f t="shared" si="4"/>
        <v>-0.58030546248888726</v>
      </c>
    </row>
    <row r="48" spans="1:12" x14ac:dyDescent="0.2">
      <c r="A48" s="10" t="str">
        <f>'Occ T2'!A32</f>
        <v>91 Elementary trades and related occupations</v>
      </c>
      <c r="B48" s="10">
        <f>'Occ T2'!B32</f>
        <v>13.037691425580578</v>
      </c>
      <c r="C48" s="10">
        <f>'Occ T2'!C32</f>
        <v>11.543826331138638</v>
      </c>
      <c r="D48" s="10">
        <f>'Occ T2'!D32</f>
        <v>10.615622461459582</v>
      </c>
      <c r="E48" s="10">
        <f>'Occ T2'!E32</f>
        <v>17.994784591289726</v>
      </c>
      <c r="F48" s="10">
        <f>'Occ T2'!F32</f>
        <v>19.321313381155679</v>
      </c>
      <c r="H48" s="11">
        <f t="shared" si="31"/>
        <v>-1.49386509444194</v>
      </c>
      <c r="I48" s="31">
        <f t="shared" si="5"/>
        <v>-0.92820386967905577</v>
      </c>
      <c r="J48" s="11">
        <f t="shared" si="31"/>
        <v>7.379162129830144</v>
      </c>
      <c r="K48" s="11">
        <f t="shared" si="31"/>
        <v>1.3265287898659537</v>
      </c>
      <c r="L48" s="31">
        <f t="shared" si="4"/>
        <v>8.7056909196960977</v>
      </c>
    </row>
    <row r="49" spans="1:12" x14ac:dyDescent="0.2">
      <c r="A49" s="10" t="str">
        <f>'Occ T2'!A33</f>
        <v>92 Elementary administration and service occupations</v>
      </c>
      <c r="B49" s="10">
        <f>'Occ T2'!B33</f>
        <v>51.512230007842916</v>
      </c>
      <c r="C49" s="10">
        <f>'Occ T2'!C33</f>
        <v>50.014416068078731</v>
      </c>
      <c r="D49" s="10">
        <f>'Occ T2'!D33</f>
        <v>46.242366957986754</v>
      </c>
      <c r="E49" s="10">
        <f>'Occ T2'!E33</f>
        <v>40.851780824649495</v>
      </c>
      <c r="F49" s="10">
        <f>'Occ T2'!F33</f>
        <v>36.956370575801763</v>
      </c>
      <c r="H49" s="11">
        <f t="shared" si="31"/>
        <v>-1.4978139397641854</v>
      </c>
      <c r="I49" s="31">
        <f t="shared" si="5"/>
        <v>-3.7720491100919773</v>
      </c>
      <c r="J49" s="11">
        <f t="shared" si="31"/>
        <v>-5.3905861333372584</v>
      </c>
      <c r="K49" s="11">
        <f t="shared" si="31"/>
        <v>-3.8954102488477318</v>
      </c>
      <c r="L49" s="31">
        <f t="shared" si="4"/>
        <v>-9.2859963821849902</v>
      </c>
    </row>
    <row r="50" spans="1:12" x14ac:dyDescent="0.2">
      <c r="B50" s="32"/>
      <c r="C50" s="32"/>
      <c r="D50" s="32"/>
      <c r="E50" s="32"/>
      <c r="F50" s="32"/>
      <c r="H50" s="11"/>
      <c r="I50" s="31"/>
      <c r="J50" s="11"/>
      <c r="K50" s="11"/>
      <c r="L50" s="31"/>
    </row>
    <row r="51" spans="1:12" x14ac:dyDescent="0.2">
      <c r="A51" s="39" t="str">
        <f>'Occ T1'!A18</f>
        <v>All occupations</v>
      </c>
      <c r="B51" s="34">
        <f>'Occ T1'!B18</f>
        <v>501.60500000000036</v>
      </c>
      <c r="C51" s="34">
        <f>'Occ T1'!C18</f>
        <v>513.76599999999996</v>
      </c>
      <c r="D51" s="34">
        <f>'Occ T1'!D18</f>
        <v>514.84500000000014</v>
      </c>
      <c r="E51" s="34">
        <f>'Occ T1'!E18</f>
        <v>520.37000000000023</v>
      </c>
      <c r="F51" s="34">
        <f>'Occ T1'!F18</f>
        <v>532.91199999999981</v>
      </c>
      <c r="G51" s="24"/>
      <c r="H51" s="34">
        <f>C51-B51</f>
        <v>12.160999999999603</v>
      </c>
      <c r="I51" s="205">
        <f>D51-C51</f>
        <v>1.0790000000001783</v>
      </c>
      <c r="J51" s="34">
        <f>E51-D51</f>
        <v>5.5250000000000909</v>
      </c>
      <c r="K51" s="34">
        <f>F51-E51</f>
        <v>12.541999999999575</v>
      </c>
      <c r="L51" s="205">
        <f>F51-D51</f>
        <v>18.066999999999666</v>
      </c>
    </row>
    <row r="53" spans="1:12" ht="15.75" x14ac:dyDescent="0.25">
      <c r="A53" s="19" t="str">
        <f>CONCATENATE(A1," (Continued)")</f>
        <v>Occupation Table 3  Employment Change by Occupation in Occupation Group (SOC 2020), 2015-2035, Greater Lincolnshire (Continued)</v>
      </c>
    </row>
    <row r="55" spans="1:12" x14ac:dyDescent="0.2">
      <c r="L55" s="16" t="s">
        <v>22</v>
      </c>
    </row>
    <row r="56" spans="1:12" x14ac:dyDescent="0.2">
      <c r="A56" s="36"/>
      <c r="B56" s="28" t="s">
        <v>15</v>
      </c>
      <c r="C56" s="28"/>
      <c r="D56" s="28"/>
      <c r="E56" s="28"/>
      <c r="F56" s="28"/>
      <c r="G56" s="28"/>
      <c r="H56" s="28" t="s">
        <v>14</v>
      </c>
      <c r="I56" s="28"/>
      <c r="J56" s="28"/>
      <c r="K56" s="28"/>
      <c r="L56" s="28"/>
    </row>
    <row r="57" spans="1:12" x14ac:dyDescent="0.2">
      <c r="A57" s="24"/>
      <c r="B57" s="37" t="str">
        <f>H5</f>
        <v>2015-2019</v>
      </c>
      <c r="C57" s="37" t="str">
        <f>I5</f>
        <v>2019-2020</v>
      </c>
      <c r="D57" s="37" t="str">
        <f>J5</f>
        <v>2020-2025</v>
      </c>
      <c r="E57" s="37" t="str">
        <f>K5</f>
        <v>2025-2035</v>
      </c>
      <c r="F57" s="37" t="str">
        <f>L5</f>
        <v>2020-2035</v>
      </c>
      <c r="G57" s="1"/>
      <c r="H57" s="42">
        <f>B5</f>
        <v>2015</v>
      </c>
      <c r="I57" s="42">
        <f>C5</f>
        <v>2019</v>
      </c>
      <c r="J57" s="42">
        <f>D5</f>
        <v>2020</v>
      </c>
      <c r="K57" s="42">
        <f>E5</f>
        <v>2025</v>
      </c>
      <c r="L57" s="42">
        <f>F5</f>
        <v>2035</v>
      </c>
    </row>
    <row r="59" spans="1:12" s="30" customFormat="1" x14ac:dyDescent="0.2">
      <c r="A59" s="30" t="str">
        <f>A7</f>
        <v>Managers, directors and senior officials</v>
      </c>
      <c r="B59" s="44">
        <f>IF(AND(C$5-B$5 &lt;&gt; 0,C7 &lt;&gt; 0,B7 &lt;&gt; 0),(EXP(LN(C7/B7)/(C$5-B$5))-1)*100,0)</f>
        <v>3.3714651272099605</v>
      </c>
      <c r="C59" s="44">
        <f>IF(AND(D$5-C$5 &lt;&gt; 0,D7 &lt;&gt; 0,C7 &lt;&gt; 0),(EXP(LN(D7/C7)/(D$5-C$5))-1)*100,0)</f>
        <v>5.1546189164777934</v>
      </c>
      <c r="D59" s="44">
        <f>IF(AND(E$5-D$5 &lt;&gt; 0,E7 &lt;&gt; 0,D7 &lt;&gt; 0),(EXP(LN(E7/D7)/(E$5-D$5))-1)*100,0)</f>
        <v>-1.3170568805956462</v>
      </c>
      <c r="E59" s="44">
        <f>IF(AND(F$5-E$5 &lt;&gt; 0,F7 &lt;&gt; 0,E7 &lt;&gt; 0),(EXP(LN(F7/E7)/(F$5-E$5))-1)*100,0)</f>
        <v>0.85330461471615493</v>
      </c>
      <c r="F59" s="44">
        <f>IF(AND(F$5-D$5 &lt;&gt; 0,F7 &lt;&gt; 0,D7 &lt;&gt; 0),(EXP(LN(F7/D7)/(F$5-D$5))-1)*100,0)</f>
        <v>0.12459826275421637</v>
      </c>
      <c r="H59" s="44">
        <f>(B7/B$51)*100</f>
        <v>9.1168539341778221</v>
      </c>
      <c r="I59" s="44">
        <f>(C7/C$51)*100</f>
        <v>10.163520806160451</v>
      </c>
      <c r="J59" s="44">
        <f>(D7/D$51)*100</f>
        <v>10.665013147278474</v>
      </c>
      <c r="K59" s="44">
        <f>(E7/E$51)*100</f>
        <v>9.8749774051860051</v>
      </c>
      <c r="L59" s="44">
        <f>(F7/F$51)*100</f>
        <v>10.497700858679364</v>
      </c>
    </row>
    <row r="60" spans="1:12" s="30" customFormat="1" x14ac:dyDescent="0.2">
      <c r="A60" s="30" t="str">
        <f>A8</f>
        <v>11 Corporate managers and directors</v>
      </c>
      <c r="B60" s="44">
        <f t="shared" ref="B60:E60" si="32">IF(AND(C$5-B$5 &lt;&gt; 0,C8 &lt;&gt; 0,B8 &lt;&gt; 0),(EXP(LN(C8/B8)/(C$5-B$5))-1)*100,0)</f>
        <v>4.0365706888637165</v>
      </c>
      <c r="C60" s="44">
        <f t="shared" si="32"/>
        <v>5.2206920341773211</v>
      </c>
      <c r="D60" s="44">
        <f t="shared" si="32"/>
        <v>-2.2622845385892099</v>
      </c>
      <c r="E60" s="44">
        <f t="shared" si="32"/>
        <v>0.73276333128133864</v>
      </c>
      <c r="F60" s="44">
        <f>IF(AND(F$5-D$5 &lt;&gt; 0,F8 &lt;&gt; 0,D8 &lt;&gt; 0),(EXP(LN(F8/D8)/(F$5-D$5))-1)*100,0)</f>
        <v>-0.27564721899374645</v>
      </c>
      <c r="H60" s="44">
        <f t="shared" ref="H60:L60" si="33">(B8/B$51)*100</f>
        <v>6.0301557585094292</v>
      </c>
      <c r="I60" s="44">
        <f t="shared" si="33"/>
        <v>6.8971415649467733</v>
      </c>
      <c r="J60" s="44">
        <f t="shared" si="33"/>
        <v>7.2420105746389574</v>
      </c>
      <c r="K60" s="44">
        <f t="shared" si="33"/>
        <v>6.3904923707992616</v>
      </c>
      <c r="L60" s="44">
        <f t="shared" si="33"/>
        <v>6.7127202743352168</v>
      </c>
    </row>
    <row r="61" spans="1:12" s="30" customFormat="1" x14ac:dyDescent="0.2">
      <c r="A61" s="30" t="str">
        <f>A9</f>
        <v>12 Other managers and proprietors</v>
      </c>
      <c r="B61" s="44">
        <f t="shared" ref="B61:E61" si="34">IF(AND(C$5-B$5 &lt;&gt; 0,C9 &lt;&gt; 0,B9 &lt;&gt; 0),(EXP(LN(C9/B9)/(C$5-B$5))-1)*100,0)</f>
        <v>2.0337823840923752</v>
      </c>
      <c r="C61" s="44">
        <f>IF(AND(D$5-C$5 &lt;&gt; 0,D9 &lt;&gt; 0,C9 &lt;&gt; 0),(EXP(LN(D9/C9)/(D$5-C$5))-1)*100,0)</f>
        <v>5.0151018510186107</v>
      </c>
      <c r="D61" s="44">
        <f t="shared" si="34"/>
        <v>0.57115225797017555</v>
      </c>
      <c r="E61" s="44">
        <f t="shared" si="34"/>
        <v>1.0710622473825593</v>
      </c>
      <c r="F61" s="44">
        <f>IF(AND(F$5-D$5 &lt;&gt; 0,F9 &lt;&gt; 0,D9 &lt;&gt; 0),(EXP(LN(F9/D9)/(F$5-D$5))-1)*100,0)</f>
        <v>0.90415009162645443</v>
      </c>
      <c r="H61" s="44">
        <f t="shared" ref="H61:L61" si="35">(B9/B$51)*100</f>
        <v>3.0866981756683929</v>
      </c>
      <c r="I61" s="44">
        <f t="shared" si="35"/>
        <v>3.2663792412136772</v>
      </c>
      <c r="J61" s="44">
        <f t="shared" si="35"/>
        <v>3.423002572639517</v>
      </c>
      <c r="K61" s="44">
        <f t="shared" si="35"/>
        <v>3.4844850343867417</v>
      </c>
      <c r="L61" s="44">
        <f t="shared" si="35"/>
        <v>3.7849805843441477</v>
      </c>
    </row>
    <row r="62" spans="1:12" x14ac:dyDescent="0.2">
      <c r="B62" s="40"/>
      <c r="C62" s="44"/>
      <c r="D62" s="40"/>
      <c r="E62" s="40"/>
      <c r="F62" s="44"/>
      <c r="H62" s="40"/>
      <c r="I62" s="40"/>
      <c r="J62" s="40"/>
      <c r="K62" s="40"/>
      <c r="L62" s="40"/>
    </row>
    <row r="63" spans="1:12" s="30" customFormat="1" x14ac:dyDescent="0.2">
      <c r="A63" s="30" t="str">
        <f>A11</f>
        <v>Professional occupations</v>
      </c>
      <c r="B63" s="44">
        <f t="shared" ref="B63:E67" si="36">IF(AND(C$5-B$5 &lt;&gt; 0,C11 &lt;&gt; 0,B11 &lt;&gt; 0),(EXP(LN(C11/B11)/(C$5-B$5))-1)*100,0)</f>
        <v>2.7908884115774857</v>
      </c>
      <c r="C63" s="44">
        <f t="shared" si="36"/>
        <v>7.2497733074175397</v>
      </c>
      <c r="D63" s="44">
        <f t="shared" si="36"/>
        <v>1.1003217420321398</v>
      </c>
      <c r="E63" s="44">
        <f t="shared" si="36"/>
        <v>0.97568146772075703</v>
      </c>
      <c r="F63" s="44">
        <f>IF(AND(F$5-D$5 &lt;&gt; 0,F11 &lt;&gt; 0,D11 &lt;&gt; 0),(EXP(LN(F11/D11)/(F$5-D$5))-1)*100,0)</f>
        <v>1.0172111429947783</v>
      </c>
      <c r="H63" s="44">
        <f>(B11/B$51)*100</f>
        <v>16.775761884444677</v>
      </c>
      <c r="I63" s="44">
        <f>(C11/C$51)*100</f>
        <v>18.285095310325325</v>
      </c>
      <c r="J63" s="44">
        <f>(D11/D$51)*100</f>
        <v>19.569623578379332</v>
      </c>
      <c r="K63" s="44">
        <f>(E11/E$51)*100</f>
        <v>20.45075796915523</v>
      </c>
      <c r="L63" s="44">
        <f>(F11/F$51)*100</f>
        <v>22.00564429066457</v>
      </c>
    </row>
    <row r="64" spans="1:12" x14ac:dyDescent="0.2">
      <c r="A64" t="str">
        <f>A12</f>
        <v>21 Science, research, engineering and technology professionals</v>
      </c>
      <c r="B64" s="49">
        <f t="shared" si="36"/>
        <v>3.0161035955746485</v>
      </c>
      <c r="C64" s="44">
        <f t="shared" si="36"/>
        <v>7.2257359932127452</v>
      </c>
      <c r="D64" s="49">
        <f t="shared" si="36"/>
        <v>4.1943220455676666</v>
      </c>
      <c r="E64" s="49">
        <f t="shared" si="36"/>
        <v>1.388249134046049</v>
      </c>
      <c r="F64" s="44">
        <f>IF(AND(F$5-D$5 &lt;&gt; 0,F12 &lt;&gt; 0,D12 &lt;&gt; 0),(EXP(LN(F12/D12)/(F$5-D$5))-1)*100,0)</f>
        <v>2.3151079070570457</v>
      </c>
      <c r="H64" s="40">
        <f t="shared" ref="H64:L67" si="37">(B12/B$11)*100</f>
        <v>27.640750325782381</v>
      </c>
      <c r="I64" s="40">
        <f t="shared" si="37"/>
        <v>27.883791534763958</v>
      </c>
      <c r="J64" s="40">
        <f t="shared" si="37"/>
        <v>27.877542090707593</v>
      </c>
      <c r="K64" s="40">
        <f t="shared" si="37"/>
        <v>32.41246477432697</v>
      </c>
      <c r="L64" s="40">
        <f t="shared" si="37"/>
        <v>33.761393412570243</v>
      </c>
    </row>
    <row r="65" spans="1:12" x14ac:dyDescent="0.2">
      <c r="A65" t="str">
        <f>A13</f>
        <v>22 Health professionals</v>
      </c>
      <c r="B65" s="49">
        <f t="shared" si="36"/>
        <v>3.5255825935990526</v>
      </c>
      <c r="C65" s="44">
        <f t="shared" si="36"/>
        <v>0.95139402477424362</v>
      </c>
      <c r="D65" s="49">
        <f t="shared" si="36"/>
        <v>-0.43511252438230841</v>
      </c>
      <c r="E65" s="49">
        <f t="shared" si="36"/>
        <v>0.66011863168748963</v>
      </c>
      <c r="F65" s="44">
        <f>IF(AND(F$5-D$5 &lt;&gt; 0,F13 &lt;&gt; 0,D13 &lt;&gt; 0),(EXP(LN(F13/D13)/(F$5-D$5))-1)*100,0)</f>
        <v>0.29370944541005084</v>
      </c>
      <c r="H65" s="40">
        <f t="shared" si="37"/>
        <v>22.756097560454485</v>
      </c>
      <c r="I65" s="40">
        <f t="shared" si="37"/>
        <v>23.413699556439415</v>
      </c>
      <c r="J65" s="40">
        <f t="shared" si="37"/>
        <v>22.038700284472533</v>
      </c>
      <c r="K65" s="40">
        <f t="shared" si="37"/>
        <v>20.415232325851452</v>
      </c>
      <c r="L65" s="40">
        <f t="shared" si="37"/>
        <v>19.786126310206591</v>
      </c>
    </row>
    <row r="66" spans="1:12" x14ac:dyDescent="0.2">
      <c r="A66" t="str">
        <f>A14</f>
        <v>23 Teaching and other educational professionals</v>
      </c>
      <c r="B66" s="49">
        <f t="shared" si="36"/>
        <v>0.43128215640870771</v>
      </c>
      <c r="C66" s="44">
        <f t="shared" si="36"/>
        <v>4.574327859139049</v>
      </c>
      <c r="D66" s="49">
        <f t="shared" si="36"/>
        <v>-1.4799319624908769</v>
      </c>
      <c r="E66" s="49">
        <f t="shared" si="36"/>
        <v>0.28872648789199928</v>
      </c>
      <c r="F66" s="44">
        <f>IF(AND(F$5-D$5 &lt;&gt; 0,F14 &lt;&gt; 0,D14 &lt;&gt; 0),(EXP(LN(F14/D14)/(F$5-D$5))-1)*100,0)</f>
        <v>-0.30432640784666676</v>
      </c>
      <c r="H66" s="40">
        <f t="shared" si="37"/>
        <v>21.698766891322819</v>
      </c>
      <c r="I66" s="40">
        <f t="shared" si="37"/>
        <v>19.773912327816269</v>
      </c>
      <c r="J66" s="40">
        <f t="shared" si="37"/>
        <v>19.280633674625356</v>
      </c>
      <c r="K66" s="40">
        <f t="shared" si="37"/>
        <v>16.942680855709547</v>
      </c>
      <c r="L66" s="40">
        <f t="shared" si="37"/>
        <v>15.824695669638537</v>
      </c>
    </row>
    <row r="67" spans="1:12" x14ac:dyDescent="0.2">
      <c r="A67" t="str">
        <f>A15</f>
        <v>24 Business, media and public service professionals</v>
      </c>
      <c r="B67" s="49">
        <f t="shared" si="36"/>
        <v>3.7213942972073921</v>
      </c>
      <c r="C67" s="44">
        <f t="shared" si="36"/>
        <v>14.199389229641323</v>
      </c>
      <c r="D67" s="49">
        <f t="shared" si="36"/>
        <v>0.72102307347332584</v>
      </c>
      <c r="E67" s="49">
        <f t="shared" si="36"/>
        <v>1.1078975066129981</v>
      </c>
      <c r="F67" s="44">
        <f>IF(AND(F$5-D$5 &lt;&gt; 0,F15 &lt;&gt; 0,D15 &lt;&gt; 0),(EXP(LN(F15/D15)/(F$5-D$5))-1)*100,0)</f>
        <v>0.97877453193280228</v>
      </c>
      <c r="H67" s="40">
        <f t="shared" si="37"/>
        <v>27.904385222440315</v>
      </c>
      <c r="I67" s="40">
        <f t="shared" si="37"/>
        <v>28.928596580980354</v>
      </c>
      <c r="J67" s="40">
        <f t="shared" si="37"/>
        <v>30.803123950194518</v>
      </c>
      <c r="K67" s="40">
        <f t="shared" si="37"/>
        <v>30.22962204411202</v>
      </c>
      <c r="L67" s="40">
        <f t="shared" si="37"/>
        <v>30.627784607584633</v>
      </c>
    </row>
    <row r="68" spans="1:12" x14ac:dyDescent="0.2">
      <c r="B68" s="40"/>
      <c r="C68" s="44"/>
      <c r="D68" s="40"/>
      <c r="E68" s="40"/>
      <c r="F68" s="44"/>
      <c r="H68" s="40"/>
      <c r="I68" s="40"/>
      <c r="J68" s="40"/>
      <c r="K68" s="40"/>
      <c r="L68" s="40"/>
    </row>
    <row r="69" spans="1:12" s="30" customFormat="1" x14ac:dyDescent="0.2">
      <c r="A69" s="30" t="str">
        <f t="shared" ref="A69:A74" si="38">A17</f>
        <v>Associate professional occupations</v>
      </c>
      <c r="B69" s="44">
        <f t="shared" ref="B69:E74" si="39">IF(AND(C$5-B$5 &lt;&gt; 0,C17 &lt;&gt; 0,B17 &lt;&gt; 0),(EXP(LN(C17/B17)/(C$5-B$5))-1)*100,0)</f>
        <v>1.7454569422561628</v>
      </c>
      <c r="C69" s="44">
        <f t="shared" si="39"/>
        <v>6.3083050479719072</v>
      </c>
      <c r="D69" s="44">
        <f t="shared" si="39"/>
        <v>0.95356728452768991</v>
      </c>
      <c r="E69" s="44">
        <f t="shared" si="39"/>
        <v>0.80469570177195138</v>
      </c>
      <c r="F69" s="44">
        <f t="shared" ref="F69:F74" si="40">IF(AND(F$5-D$5 &lt;&gt; 0,F17 &lt;&gt; 0,D17 &lt;&gt; 0),(EXP(LN(F17/D17)/(F$5-D$5))-1)*100,0)</f>
        <v>0.85429515401460598</v>
      </c>
      <c r="H69" s="44">
        <f>(B17/B$51)*100</f>
        <v>10.750866807448402</v>
      </c>
      <c r="I69" s="44">
        <f>(C17/C$51)*100</f>
        <v>11.248641722167081</v>
      </c>
      <c r="J69" s="44">
        <f>(D17/D$51)*100</f>
        <v>11.933178557846981</v>
      </c>
      <c r="K69" s="44">
        <f>(E17/E$51)*100</f>
        <v>12.380230657703803</v>
      </c>
      <c r="L69" s="44">
        <f>(F17/F$51)*100</f>
        <v>13.097642043167184</v>
      </c>
    </row>
    <row r="70" spans="1:12" x14ac:dyDescent="0.2">
      <c r="A70" t="str">
        <f t="shared" si="38"/>
        <v>31 Science, engineering and technology associate professionals</v>
      </c>
      <c r="B70" s="49">
        <f t="shared" si="39"/>
        <v>3.5654436718260962</v>
      </c>
      <c r="C70" s="44">
        <f t="shared" si="39"/>
        <v>12.654841497882874</v>
      </c>
      <c r="D70" s="49">
        <f t="shared" si="39"/>
        <v>-1.5235499816016351</v>
      </c>
      <c r="E70" s="49">
        <f t="shared" si="39"/>
        <v>0.71900691308379727</v>
      </c>
      <c r="F70" s="44">
        <f t="shared" si="40"/>
        <v>-3.4129669856530764E-2</v>
      </c>
      <c r="H70" s="40">
        <f t="shared" ref="H70:L74" si="41">(B18/B$17)*100</f>
        <v>14.610173019810299</v>
      </c>
      <c r="I70" s="40">
        <f t="shared" si="41"/>
        <v>15.683924135934896</v>
      </c>
      <c r="J70" s="40">
        <f t="shared" si="41"/>
        <v>16.620244173785487</v>
      </c>
      <c r="K70" s="40">
        <f t="shared" si="41"/>
        <v>14.678814178937397</v>
      </c>
      <c r="L70" s="40">
        <f t="shared" si="41"/>
        <v>14.554513490760639</v>
      </c>
    </row>
    <row r="71" spans="1:12" x14ac:dyDescent="0.2">
      <c r="A71" t="str">
        <f t="shared" si="38"/>
        <v>32 Health and social care associate professionals</v>
      </c>
      <c r="B71" s="49">
        <f t="shared" si="39"/>
        <v>3.2075564227700859</v>
      </c>
      <c r="C71" s="44">
        <f t="shared" si="39"/>
        <v>2.2093306315429828</v>
      </c>
      <c r="D71" s="49">
        <f t="shared" si="39"/>
        <v>9.4989198728200108</v>
      </c>
      <c r="E71" s="49">
        <f t="shared" si="39"/>
        <v>1.6144053157249205</v>
      </c>
      <c r="F71" s="44">
        <f t="shared" si="40"/>
        <v>4.1773881525108081</v>
      </c>
      <c r="H71" s="40">
        <f t="shared" si="41"/>
        <v>15.724058466215423</v>
      </c>
      <c r="I71" s="40">
        <f t="shared" si="41"/>
        <v>16.647557608125052</v>
      </c>
      <c r="J71" s="40">
        <f t="shared" si="41"/>
        <v>16.00567066711006</v>
      </c>
      <c r="K71" s="40">
        <f t="shared" si="41"/>
        <v>24.027838482754618</v>
      </c>
      <c r="L71" s="40">
        <f t="shared" si="41"/>
        <v>26.029143209022948</v>
      </c>
    </row>
    <row r="72" spans="1:12" x14ac:dyDescent="0.2">
      <c r="A72" t="str">
        <f t="shared" si="38"/>
        <v>33 Protective service occupations</v>
      </c>
      <c r="B72" s="49">
        <f t="shared" si="39"/>
        <v>-5.8648711108777452E-2</v>
      </c>
      <c r="C72" s="44">
        <f t="shared" si="39"/>
        <v>5.190281070774172</v>
      </c>
      <c r="D72" s="49">
        <f t="shared" si="39"/>
        <v>-2.8844923690450996</v>
      </c>
      <c r="E72" s="49">
        <f t="shared" si="39"/>
        <v>0.55317295100143493</v>
      </c>
      <c r="F72" s="44">
        <f t="shared" si="40"/>
        <v>-0.6060276737569148</v>
      </c>
      <c r="H72" s="40">
        <f t="shared" si="41"/>
        <v>10.11783204363166</v>
      </c>
      <c r="I72" s="40">
        <f t="shared" si="41"/>
        <v>9.4190744197875826</v>
      </c>
      <c r="J72" s="40">
        <f t="shared" si="41"/>
        <v>9.3200158275206828</v>
      </c>
      <c r="K72" s="40">
        <f t="shared" si="41"/>
        <v>7.6780550965692278</v>
      </c>
      <c r="L72" s="40">
        <f t="shared" si="41"/>
        <v>7.4886130006854108</v>
      </c>
    </row>
    <row r="73" spans="1:12" x14ac:dyDescent="0.2">
      <c r="A73" t="str">
        <f t="shared" si="38"/>
        <v>34 Culture, media and sports occupations</v>
      </c>
      <c r="B73" s="49">
        <f t="shared" si="39"/>
        <v>0.26937784931577724</v>
      </c>
      <c r="C73" s="44">
        <f t="shared" si="39"/>
        <v>3.2689434763066849</v>
      </c>
      <c r="D73" s="49">
        <f t="shared" si="39"/>
        <v>-3.2437975238176597</v>
      </c>
      <c r="E73" s="49">
        <f t="shared" si="39"/>
        <v>0.55789057560378108</v>
      </c>
      <c r="F73" s="44">
        <f t="shared" si="40"/>
        <v>-0.72565251059176772</v>
      </c>
      <c r="H73" s="40">
        <f t="shared" si="41"/>
        <v>11.792168166866142</v>
      </c>
      <c r="I73" s="40">
        <f t="shared" si="41"/>
        <v>11.122613309449255</v>
      </c>
      <c r="J73" s="40">
        <f t="shared" si="41"/>
        <v>10.804617048912723</v>
      </c>
      <c r="K73" s="40">
        <f t="shared" si="41"/>
        <v>8.737659234005001</v>
      </c>
      <c r="L73" s="40">
        <f t="shared" si="41"/>
        <v>8.5260724473041094</v>
      </c>
    </row>
    <row r="74" spans="1:12" x14ac:dyDescent="0.2">
      <c r="A74" t="str">
        <f t="shared" si="38"/>
        <v>35 Business and public service associate professionals</v>
      </c>
      <c r="B74" s="49">
        <f t="shared" si="39"/>
        <v>1.4087957945148277</v>
      </c>
      <c r="C74" s="44">
        <f t="shared" si="39"/>
        <v>6.5849141662439381</v>
      </c>
      <c r="D74" s="49">
        <f t="shared" si="39"/>
        <v>-8.0948542436010129E-2</v>
      </c>
      <c r="E74" s="49">
        <f t="shared" si="39"/>
        <v>0.46814890344537563</v>
      </c>
      <c r="F74" s="44">
        <f t="shared" si="40"/>
        <v>0.28478195746237667</v>
      </c>
      <c r="H74" s="40">
        <f t="shared" si="41"/>
        <v>47.755768303476472</v>
      </c>
      <c r="I74" s="40">
        <f t="shared" si="41"/>
        <v>47.126830526703216</v>
      </c>
      <c r="J74" s="40">
        <f t="shared" si="41"/>
        <v>47.249452282671051</v>
      </c>
      <c r="K74" s="40">
        <f t="shared" si="41"/>
        <v>44.877633007733763</v>
      </c>
      <c r="L74" s="40">
        <f t="shared" si="41"/>
        <v>43.40165785222689</v>
      </c>
    </row>
    <row r="75" spans="1:12" x14ac:dyDescent="0.2">
      <c r="A75" s="30"/>
      <c r="B75" s="40"/>
      <c r="C75" s="44"/>
      <c r="D75" s="40"/>
      <c r="E75" s="40"/>
      <c r="F75" s="44"/>
      <c r="H75" s="40"/>
      <c r="I75" s="40"/>
      <c r="J75" s="40"/>
      <c r="K75" s="40"/>
      <c r="L75" s="40"/>
    </row>
    <row r="76" spans="1:12" s="30" customFormat="1" x14ac:dyDescent="0.2">
      <c r="A76" s="30" t="str">
        <f>A24</f>
        <v>Administrative and secretarial occupations</v>
      </c>
      <c r="B76" s="44">
        <f t="shared" ref="B76:E78" si="42">IF(AND(C$5-B$5 &lt;&gt; 0,C24 &lt;&gt; 0,B24 &lt;&gt; 0),(EXP(LN(C24/B24)/(C$5-B$5))-1)*100,0)</f>
        <v>-0.89805171349243151</v>
      </c>
      <c r="C76" s="44">
        <f t="shared" si="42"/>
        <v>3.2418607176059044</v>
      </c>
      <c r="D76" s="44">
        <f t="shared" si="42"/>
        <v>-4.7814000821611025E-2</v>
      </c>
      <c r="E76" s="44">
        <f t="shared" si="42"/>
        <v>-0.57373873533133057</v>
      </c>
      <c r="F76" s="44">
        <f>IF(AND(F$5-D$5 &lt;&gt; 0,F24 &lt;&gt; 0,D24 &lt;&gt; 0),(EXP(LN(F24/D24)/(F$5-D$5))-1)*100,0)</f>
        <v>-0.39873868858705253</v>
      </c>
      <c r="H76" s="44">
        <f>(B24/B$51)*100</f>
        <v>10.240410371723357</v>
      </c>
      <c r="I76" s="44">
        <f>(C24/C$51)*100</f>
        <v>9.643676373794456</v>
      </c>
      <c r="J76" s="44">
        <f>(D24/D$51)*100</f>
        <v>9.9354447284243346</v>
      </c>
      <c r="K76" s="44">
        <f>(E24/E$51)*100</f>
        <v>9.8064776745205613</v>
      </c>
      <c r="L76" s="44">
        <f>(F24/F$51)*100</f>
        <v>9.0402592340431926</v>
      </c>
    </row>
    <row r="77" spans="1:12" x14ac:dyDescent="0.2">
      <c r="A77" t="str">
        <f>A25</f>
        <v>41 Administrative occupations</v>
      </c>
      <c r="B77" s="49">
        <f t="shared" si="42"/>
        <v>-0.68491785147378748</v>
      </c>
      <c r="C77" s="44">
        <f t="shared" si="42"/>
        <v>4.4070314785279452</v>
      </c>
      <c r="D77" s="49">
        <f t="shared" si="42"/>
        <v>0.26610210311499571</v>
      </c>
      <c r="E77" s="49">
        <f t="shared" si="42"/>
        <v>-0.18674792282650232</v>
      </c>
      <c r="F77" s="44">
        <f>IF(AND(F$5-D$5 &lt;&gt; 0,F25 &lt;&gt; 0,D25 &lt;&gt; 0),(EXP(LN(F25/D25)/(F$5-D$5))-1)*100,0)</f>
        <v>-3.6025625880720114E-2</v>
      </c>
      <c r="H77" s="40">
        <f t="shared" ref="H77:L78" si="43">(B25/B$24)*100</f>
        <v>80.526649465888738</v>
      </c>
      <c r="I77" s="40">
        <f t="shared" si="43"/>
        <v>81.221626824194203</v>
      </c>
      <c r="J77" s="40">
        <f t="shared" si="43"/>
        <v>82.138280825509923</v>
      </c>
      <c r="K77" s="40">
        <f t="shared" si="43"/>
        <v>83.436251416348256</v>
      </c>
      <c r="L77" s="40">
        <f t="shared" si="43"/>
        <v>86.741265391514162</v>
      </c>
    </row>
    <row r="78" spans="1:12" x14ac:dyDescent="0.2">
      <c r="A78" t="str">
        <f>A26</f>
        <v>42 Secretarial and related occupations</v>
      </c>
      <c r="B78" s="49">
        <f t="shared" si="42"/>
        <v>-1.7943411743111537</v>
      </c>
      <c r="C78" s="44">
        <f t="shared" si="42"/>
        <v>-1.7978231700274017</v>
      </c>
      <c r="D78" s="49">
        <f t="shared" si="42"/>
        <v>-1.5446384511392797</v>
      </c>
      <c r="E78" s="49">
        <f t="shared" si="42"/>
        <v>-2.7621262709936922</v>
      </c>
      <c r="F78" s="44">
        <f>IF(AND(F$5-D$5 &lt;&gt; 0,F26 &lt;&gt; 0,D26 &lt;&gt; 0),(EXP(LN(F26/D26)/(F$5-D$5))-1)*100,0)</f>
        <v>-2.3579790711757642</v>
      </c>
      <c r="H78" s="40">
        <f t="shared" si="43"/>
        <v>19.473350534111248</v>
      </c>
      <c r="I78" s="40">
        <f t="shared" si="43"/>
        <v>18.77837317580579</v>
      </c>
      <c r="J78" s="40">
        <f t="shared" si="43"/>
        <v>17.861719174490069</v>
      </c>
      <c r="K78" s="40">
        <f t="shared" si="43"/>
        <v>16.563748583651744</v>
      </c>
      <c r="L78" s="40">
        <f t="shared" si="43"/>
        <v>13.258734608485845</v>
      </c>
    </row>
    <row r="79" spans="1:12" x14ac:dyDescent="0.2">
      <c r="B79" s="40"/>
      <c r="C79" s="44"/>
      <c r="D79" s="40"/>
      <c r="E79" s="40"/>
      <c r="F79" s="44"/>
      <c r="H79" s="40"/>
      <c r="I79" s="40"/>
      <c r="J79" s="40"/>
      <c r="K79" s="40"/>
      <c r="L79" s="40"/>
    </row>
    <row r="80" spans="1:12" s="30" customFormat="1" x14ac:dyDescent="0.2">
      <c r="A80" s="30" t="str">
        <f>A28</f>
        <v>Skilled trades occupations</v>
      </c>
      <c r="B80" s="44">
        <f t="shared" ref="B80:E84" si="44">IF(AND(C$5-B$5 &lt;&gt; 0,C28 &lt;&gt; 0,B28 &lt;&gt; 0),(EXP(LN(C28/B28)/(C$5-B$5))-1)*100,0)</f>
        <v>-1.5351839610878493</v>
      </c>
      <c r="C80" s="44">
        <f t="shared" si="44"/>
        <v>-7.0914343965972515</v>
      </c>
      <c r="D80" s="44">
        <f t="shared" si="44"/>
        <v>-0.7287545265190265</v>
      </c>
      <c r="E80" s="44">
        <f t="shared" si="44"/>
        <v>-0.78712381370044104</v>
      </c>
      <c r="F80" s="44">
        <f>IF(AND(F$5-D$5 &lt;&gt; 0,F28 &lt;&gt; 0,D28 &lt;&gt; 0),(EXP(LN(F28/D28)/(F$5-D$5))-1)*100,0)</f>
        <v>-0.76767119895284619</v>
      </c>
      <c r="H80" s="44">
        <f>(B28/B$51)*100</f>
        <v>11.07885049054623</v>
      </c>
      <c r="I80" s="44">
        <f>(C28/C$51)*100</f>
        <v>10.167530731431137</v>
      </c>
      <c r="J80" s="44">
        <f>(D28/D$51)*100</f>
        <v>9.4267091935209972</v>
      </c>
      <c r="K80" s="44">
        <f>(E28/E$51)*100</f>
        <v>8.9916979844617249</v>
      </c>
      <c r="L80" s="44">
        <f>(F28/F$51)*100</f>
        <v>8.1129511854474288</v>
      </c>
    </row>
    <row r="81" spans="1:12" x14ac:dyDescent="0.2">
      <c r="A81" t="str">
        <f>A29</f>
        <v>51 Skilled agricultural and related trades</v>
      </c>
      <c r="B81" s="49">
        <f t="shared" si="44"/>
        <v>-0.9701753091363452</v>
      </c>
      <c r="C81" s="44">
        <f t="shared" si="44"/>
        <v>16.760977569830416</v>
      </c>
      <c r="D81" s="49">
        <f t="shared" si="44"/>
        <v>-1.4927372603544709</v>
      </c>
      <c r="E81" s="49">
        <f t="shared" si="44"/>
        <v>-8.0946163232842316E-2</v>
      </c>
      <c r="F81" s="44">
        <f>IF(AND(F$5-D$5 &lt;&gt; 0,F29 &lt;&gt; 0,D29 &lt;&gt; 0),(EXP(LN(F29/D29)/(F$5-D$5))-1)*100,0)</f>
        <v>-0.55377716898685758</v>
      </c>
      <c r="H81" s="40">
        <f t="shared" ref="H81:L84" si="45">(B29/B$28)*100</f>
        <v>16.110068156683955</v>
      </c>
      <c r="I81" s="40">
        <f t="shared" si="45"/>
        <v>16.4830328183299</v>
      </c>
      <c r="J81" s="40">
        <f t="shared" si="45"/>
        <v>20.714721109775795</v>
      </c>
      <c r="K81" s="40">
        <f t="shared" si="45"/>
        <v>19.929802456199159</v>
      </c>
      <c r="L81" s="40">
        <f t="shared" si="45"/>
        <v>21.394676440447309</v>
      </c>
    </row>
    <row r="82" spans="1:12" x14ac:dyDescent="0.2">
      <c r="A82" t="str">
        <f>A30</f>
        <v>52 Skilled metal, electrical and electronic trades</v>
      </c>
      <c r="B82" s="49">
        <f t="shared" si="44"/>
        <v>-0.66626788872553577</v>
      </c>
      <c r="C82" s="44">
        <f t="shared" si="44"/>
        <v>-11.434116202666743</v>
      </c>
      <c r="D82" s="49">
        <f t="shared" si="44"/>
        <v>-0.65279464965372069</v>
      </c>
      <c r="E82" s="49">
        <f t="shared" si="44"/>
        <v>-0.74977604861181657</v>
      </c>
      <c r="F82" s="44">
        <f>IF(AND(F$5-D$5 &lt;&gt; 0,F30 &lt;&gt; 0,D30 &lt;&gt; 0),(EXP(LN(F30/D30)/(F$5-D$5))-1)*100,0)</f>
        <v>-0.71745943929563127</v>
      </c>
      <c r="H82" s="40">
        <f t="shared" si="45"/>
        <v>38.09646131593027</v>
      </c>
      <c r="I82" s="40">
        <f t="shared" si="45"/>
        <v>39.459116133267877</v>
      </c>
      <c r="J82" s="40">
        <f t="shared" si="45"/>
        <v>37.61473951844637</v>
      </c>
      <c r="K82" s="40">
        <f t="shared" si="45"/>
        <v>37.758869213225829</v>
      </c>
      <c r="L82" s="40">
        <f t="shared" si="45"/>
        <v>37.901249991031435</v>
      </c>
    </row>
    <row r="83" spans="1:12" x14ac:dyDescent="0.2">
      <c r="A83" t="str">
        <f>A31</f>
        <v>53 Skilled construction and building trades</v>
      </c>
      <c r="B83" s="49">
        <f t="shared" si="44"/>
        <v>-1.4372783330063532</v>
      </c>
      <c r="C83" s="44">
        <f t="shared" si="44"/>
        <v>-18.257660021783639</v>
      </c>
      <c r="D83" s="49">
        <f t="shared" si="44"/>
        <v>-0.79161358351703681</v>
      </c>
      <c r="E83" s="49">
        <f t="shared" si="44"/>
        <v>-1.5153949237584619</v>
      </c>
      <c r="F83" s="44">
        <f>IF(AND(F$5-D$5 &lt;&gt; 0,F31 &lt;&gt; 0,D31 &lt;&gt; 0),(EXP(LN(F31/D31)/(F$5-D$5))-1)*100,0)</f>
        <v>-1.2747230980522328</v>
      </c>
      <c r="H83" s="40">
        <f t="shared" si="45"/>
        <v>26.044451936271674</v>
      </c>
      <c r="I83" s="40">
        <f t="shared" si="45"/>
        <v>26.148192710908543</v>
      </c>
      <c r="J83" s="40">
        <f t="shared" si="45"/>
        <v>23.005569448945646</v>
      </c>
      <c r="K83" s="40">
        <f t="shared" si="45"/>
        <v>22.93282541378904</v>
      </c>
      <c r="L83" s="40">
        <f t="shared" si="45"/>
        <v>21.303974898376048</v>
      </c>
    </row>
    <row r="84" spans="1:12" x14ac:dyDescent="0.2">
      <c r="A84" t="str">
        <f>A32</f>
        <v>54 Textiles, printing and other skilled trades</v>
      </c>
      <c r="B84" s="49">
        <f t="shared" si="44"/>
        <v>-3.9125828945056895</v>
      </c>
      <c r="C84" s="44">
        <f t="shared" si="44"/>
        <v>-3.1731622188125752</v>
      </c>
      <c r="D84" s="49">
        <f t="shared" si="44"/>
        <v>1.8895944006747101E-2</v>
      </c>
      <c r="E84" s="49">
        <f t="shared" si="44"/>
        <v>-0.77607289251053757</v>
      </c>
      <c r="F84" s="44">
        <f>IF(AND(F$5-D$5 &lt;&gt; 0,F32 &lt;&gt; 0,D32 &lt;&gt; 0),(EXP(LN(F32/D32)/(F$5-D$5))-1)*100,0)</f>
        <v>-0.51178783423651009</v>
      </c>
      <c r="H84" s="40">
        <f t="shared" si="45"/>
        <v>19.749018591114094</v>
      </c>
      <c r="I84" s="40">
        <f t="shared" si="45"/>
        <v>17.909658337493685</v>
      </c>
      <c r="J84" s="40">
        <f t="shared" si="45"/>
        <v>18.664969922832171</v>
      </c>
      <c r="K84" s="40">
        <f t="shared" si="45"/>
        <v>19.378502916785976</v>
      </c>
      <c r="L84" s="40">
        <f t="shared" si="45"/>
        <v>19.400098670145219</v>
      </c>
    </row>
    <row r="85" spans="1:12" x14ac:dyDescent="0.2">
      <c r="A85" s="30"/>
      <c r="B85" s="40"/>
      <c r="C85" s="44"/>
      <c r="D85" s="40"/>
      <c r="E85" s="40"/>
      <c r="F85" s="44"/>
      <c r="H85" s="40"/>
      <c r="I85" s="40"/>
      <c r="J85" s="40"/>
      <c r="K85" s="40"/>
      <c r="L85" s="40"/>
    </row>
    <row r="86" spans="1:12" s="30" customFormat="1" x14ac:dyDescent="0.2">
      <c r="A86" s="30" t="str">
        <f>A34</f>
        <v>Caring, leisure and other service occupations</v>
      </c>
      <c r="B86" s="44">
        <f t="shared" ref="B86:E89" si="46">IF(AND(C$5-B$5 &lt;&gt; 0,C34 &lt;&gt; 0,B34 &lt;&gt; 0),(EXP(LN(C34/B34)/(C$5-B$5))-1)*100,0)</f>
        <v>1.4733254630268977</v>
      </c>
      <c r="C86" s="44">
        <f t="shared" si="46"/>
        <v>-2.9064230682059544</v>
      </c>
      <c r="D86" s="44">
        <f t="shared" si="46"/>
        <v>0.13721468329781494</v>
      </c>
      <c r="E86" s="44">
        <f t="shared" si="46"/>
        <v>0.54383413405341141</v>
      </c>
      <c r="F86" s="44">
        <f>IF(AND(F$5-D$5 &lt;&gt; 0,F34 &lt;&gt; 0,D34 &lt;&gt; 0),(EXP(LN(F34/D34)/(F$5-D$5))-1)*100,0)</f>
        <v>0.40811118875707653</v>
      </c>
      <c r="H86" s="44">
        <f>(B34/B$51)*100</f>
        <v>11.008896403928157</v>
      </c>
      <c r="I86" s="44">
        <f>(C34/C$51)*100</f>
        <v>11.395879662476574</v>
      </c>
      <c r="J86" s="44">
        <f>(D34/D$51)*100</f>
        <v>11.041478118790838</v>
      </c>
      <c r="K86" s="44">
        <f>(E34/E$51)*100</f>
        <v>10.999400138336886</v>
      </c>
      <c r="L86" s="44">
        <f>(F34/F$51)*100</f>
        <v>11.339141587537908</v>
      </c>
    </row>
    <row r="87" spans="1:12" x14ac:dyDescent="0.2">
      <c r="A87" t="str">
        <f>A35</f>
        <v>61 Caring personal service occupations</v>
      </c>
      <c r="B87" s="49">
        <f t="shared" si="46"/>
        <v>0.35532337155650406</v>
      </c>
      <c r="C87" s="44">
        <f t="shared" si="46"/>
        <v>-3.1343411981067049</v>
      </c>
      <c r="D87" s="49">
        <f t="shared" si="46"/>
        <v>0.70587973357889577</v>
      </c>
      <c r="E87" s="49">
        <f t="shared" si="46"/>
        <v>0.66297293131791779</v>
      </c>
      <c r="F87" s="44">
        <f>IF(AND(F$5-D$5 &lt;&gt; 0,F35 &lt;&gt; 0,D35 &lt;&gt; 0),(EXP(LN(F35/D35)/(F$5-D$5))-1)*100,0)</f>
        <v>0.67727316714287777</v>
      </c>
      <c r="H87" s="40">
        <f t="shared" ref="H87:L89" si="47">(B35/B$34)*100</f>
        <v>79.803226907438543</v>
      </c>
      <c r="I87" s="40">
        <f t="shared" si="47"/>
        <v>76.343934573108754</v>
      </c>
      <c r="J87" s="40">
        <f t="shared" si="47"/>
        <v>76.164724296311633</v>
      </c>
      <c r="K87" s="40">
        <f t="shared" si="47"/>
        <v>78.352070245635261</v>
      </c>
      <c r="L87" s="40">
        <f t="shared" si="47"/>
        <v>79.285464561839291</v>
      </c>
    </row>
    <row r="88" spans="1:12" x14ac:dyDescent="0.2">
      <c r="A88" t="str">
        <f>A36</f>
        <v>62 Leisure, travel and related personal service occupations</v>
      </c>
      <c r="B88" s="49">
        <f t="shared" si="46"/>
        <v>6.0135501623544085</v>
      </c>
      <c r="C88" s="44">
        <f t="shared" si="46"/>
        <v>-3.1095027863263236</v>
      </c>
      <c r="D88" s="49">
        <f t="shared" si="46"/>
        <v>-1.6341816783302821</v>
      </c>
      <c r="E88" s="49">
        <f t="shared" si="46"/>
        <v>6.3096421443331607E-2</v>
      </c>
      <c r="F88" s="44">
        <f>IF(AND(F$5-D$5 &lt;&gt; 0,F36 &lt;&gt; 0,D36 &lt;&gt; 0),(EXP(LN(F36/D36)/(F$5-D$5))-1)*100,0)</f>
        <v>-0.50589225225016188</v>
      </c>
      <c r="H88" s="40">
        <f t="shared" si="47"/>
        <v>19.228363763344881</v>
      </c>
      <c r="I88" s="40">
        <f t="shared" si="47"/>
        <v>22.907635809163576</v>
      </c>
      <c r="J88" s="40">
        <f t="shared" si="47"/>
        <v>22.859722482969023</v>
      </c>
      <c r="K88" s="40">
        <f t="shared" si="47"/>
        <v>20.908094939251178</v>
      </c>
      <c r="L88" s="40">
        <f t="shared" si="47"/>
        <v>19.929638278610913</v>
      </c>
    </row>
    <row r="89" spans="1:12" x14ac:dyDescent="0.2">
      <c r="A89" t="str">
        <f>A37</f>
        <v>63 Community and civil enforcement occupations</v>
      </c>
      <c r="B89" s="49">
        <f t="shared" si="46"/>
        <v>-4.8574267096918256</v>
      </c>
      <c r="C89" s="44">
        <f t="shared" si="46"/>
        <v>26.558262050817085</v>
      </c>
      <c r="D89" s="49">
        <f t="shared" si="46"/>
        <v>-5.2515166674560243</v>
      </c>
      <c r="E89" s="49">
        <f t="shared" si="46"/>
        <v>1.1400681354551523</v>
      </c>
      <c r="F89" s="44">
        <f>IF(AND(F$5-D$5 &lt;&gt; 0,F37 &lt;&gt; 0,D37 &lt;&gt; 0),(EXP(LN(F37/D37)/(F$5-D$5))-1)*100,0)</f>
        <v>-1.0369852633635102</v>
      </c>
      <c r="H89" s="40">
        <f t="shared" si="47"/>
        <v>0.96840932921657685</v>
      </c>
      <c r="I89" s="40">
        <f t="shared" si="47"/>
        <v>0.7484296177276718</v>
      </c>
      <c r="J89" s="40">
        <f t="shared" si="47"/>
        <v>0.97555322071932826</v>
      </c>
      <c r="K89" s="40">
        <f t="shared" si="47"/>
        <v>0.73983481511355798</v>
      </c>
      <c r="L89" s="40">
        <f t="shared" si="47"/>
        <v>0.78489715954979633</v>
      </c>
    </row>
    <row r="90" spans="1:12" x14ac:dyDescent="0.2">
      <c r="B90" s="40"/>
      <c r="C90" s="44"/>
      <c r="D90" s="40"/>
      <c r="E90" s="40"/>
      <c r="F90" s="44"/>
      <c r="H90" s="40"/>
      <c r="I90" s="40"/>
      <c r="J90" s="40"/>
      <c r="K90" s="40"/>
      <c r="L90" s="40"/>
    </row>
    <row r="91" spans="1:12" s="30" customFormat="1" x14ac:dyDescent="0.2">
      <c r="A91" s="30" t="str">
        <f>A39</f>
        <v>Sales and customer service occupations</v>
      </c>
      <c r="B91" s="44">
        <f t="shared" ref="B91:E93" si="48">IF(AND(C$5-B$5 &lt;&gt; 0,C39 &lt;&gt; 0,B39 &lt;&gt; 0),(EXP(LN(C39/B39)/(C$5-B$5))-1)*100,0)</f>
        <v>-1.6212867411538046</v>
      </c>
      <c r="C91" s="44">
        <f t="shared" si="48"/>
        <v>-1.3950159797736172</v>
      </c>
      <c r="D91" s="44">
        <f t="shared" si="48"/>
        <v>-0.11332211452914631</v>
      </c>
      <c r="E91" s="44">
        <f t="shared" si="48"/>
        <v>-1.5005909782872529E-2</v>
      </c>
      <c r="F91" s="44">
        <f t="shared" ref="F91:F93" si="49">IF(AND(F$5-D$5 &lt;&gt; 0,F39 &lt;&gt; 0,D39 &lt;&gt; 0),(EXP(LN(F39/D39)/(F$5-D$5))-1)*100,0)</f>
        <v>-4.7788725599950954E-2</v>
      </c>
      <c r="H91" s="44">
        <f>(B39/B$51)*100</f>
        <v>9.2439413823017382</v>
      </c>
      <c r="I91" s="44">
        <f>(C39/C$51)*100</f>
        <v>8.4539218986634985</v>
      </c>
      <c r="J91" s="44">
        <f>(D39/D$51)*100</f>
        <v>8.3185179696423077</v>
      </c>
      <c r="K91" s="44">
        <f>(E39/E$51)*100</f>
        <v>8.1836689681052945</v>
      </c>
      <c r="L91" s="44">
        <f>(F39/F$51)*100</f>
        <v>7.97908437779369</v>
      </c>
    </row>
    <row r="92" spans="1:12" s="30" customFormat="1" x14ac:dyDescent="0.2">
      <c r="A92" t="str">
        <f>A40</f>
        <v>71 Sales occupations</v>
      </c>
      <c r="B92" s="49">
        <f t="shared" si="48"/>
        <v>-2.2503104164614207</v>
      </c>
      <c r="C92" s="44">
        <f t="shared" si="48"/>
        <v>-2.3269202507478548</v>
      </c>
      <c r="D92" s="49">
        <f t="shared" si="48"/>
        <v>-0.59931074753049041</v>
      </c>
      <c r="E92" s="49">
        <f t="shared" si="48"/>
        <v>-0.29719852448796269</v>
      </c>
      <c r="F92" s="44">
        <f t="shared" si="49"/>
        <v>-0.39800448581286396</v>
      </c>
      <c r="G92"/>
      <c r="H92" s="40">
        <f>(B40/B$34)*100</f>
        <v>70.577139023319788</v>
      </c>
      <c r="I92" s="40">
        <f t="shared" ref="H92:L93" si="50">(C40/C$34)*100</f>
        <v>60.774028366047908</v>
      </c>
      <c r="J92" s="40">
        <f t="shared" si="50"/>
        <v>61.136758031380388</v>
      </c>
      <c r="K92" s="40">
        <f t="shared" si="50"/>
        <v>58.921235891408983</v>
      </c>
      <c r="L92" s="40">
        <f t="shared" si="50"/>
        <v>54.174016542660908</v>
      </c>
    </row>
    <row r="93" spans="1:12" s="30" customFormat="1" x14ac:dyDescent="0.2">
      <c r="A93" t="str">
        <f>A41</f>
        <v>72 Customer service occupations</v>
      </c>
      <c r="B93" s="49">
        <f t="shared" si="48"/>
        <v>1.5097029505585891</v>
      </c>
      <c r="C93" s="44">
        <f t="shared" si="48"/>
        <v>2.8283697503880489</v>
      </c>
      <c r="D93" s="49">
        <f t="shared" si="48"/>
        <v>1.8775373382021954</v>
      </c>
      <c r="E93" s="49">
        <f t="shared" si="48"/>
        <v>0.99810649738796275</v>
      </c>
      <c r="F93" s="44">
        <f t="shared" si="49"/>
        <v>1.2904033636425893</v>
      </c>
      <c r="G93"/>
      <c r="H93" s="40">
        <f t="shared" si="50"/>
        <v>13.390781494156814</v>
      </c>
      <c r="I93" s="40">
        <f t="shared" si="50"/>
        <v>13.40999383365892</v>
      </c>
      <c r="J93" s="40">
        <f t="shared" si="50"/>
        <v>14.202049691161008</v>
      </c>
      <c r="K93" s="40">
        <f t="shared" si="50"/>
        <v>15.479812031034065</v>
      </c>
      <c r="L93" s="40">
        <f t="shared" si="50"/>
        <v>16.193606228387029</v>
      </c>
    </row>
    <row r="94" spans="1:12" x14ac:dyDescent="0.2">
      <c r="C94" s="44"/>
      <c r="F94" s="44"/>
    </row>
    <row r="95" spans="1:12" s="30" customFormat="1" x14ac:dyDescent="0.2">
      <c r="A95" s="30" t="str">
        <f>A43</f>
        <v>Process, plant and machine operatives</v>
      </c>
      <c r="B95" s="44">
        <f t="shared" ref="B95:E97" si="51">IF(AND(C$5-B$5 &lt;&gt; 0,C43 &lt;&gt; 0,B43 &lt;&gt; 0),(EXP(LN(C43/B43)/(C$5-B$5))-1)*100,0)</f>
        <v>-0.12873489985151254</v>
      </c>
      <c r="C95" s="44">
        <f t="shared" si="51"/>
        <v>-6.6593985487536926</v>
      </c>
      <c r="D95" s="44">
        <f t="shared" si="51"/>
        <v>5.8842214625309808E-2</v>
      </c>
      <c r="E95" s="44">
        <f t="shared" si="51"/>
        <v>-0.58941004451810164</v>
      </c>
      <c r="F95" s="44">
        <f>IF(AND(F$5-D$5 &lt;&gt; 0,F43 &lt;&gt; 0,D43 &lt;&gt; 0),(EXP(LN(F43/D43)/(F$5-D$5))-1)*100,0)</f>
        <v>-0.37379395565542151</v>
      </c>
      <c r="H95" s="44">
        <f>(B43/B$51)*100</f>
        <v>8.9157428881824785</v>
      </c>
      <c r="I95" s="44">
        <f>(C43/C$51)*100</f>
        <v>8.659967010002438</v>
      </c>
      <c r="J95" s="44">
        <f>(D43/D$51)*100</f>
        <v>8.0663245759909117</v>
      </c>
      <c r="K95" s="44">
        <f>(E43/E$51)*100</f>
        <v>8.0041885114954248</v>
      </c>
      <c r="L95" s="44">
        <f>(F43/F$51)*100</f>
        <v>7.3671679580500999</v>
      </c>
    </row>
    <row r="96" spans="1:12" x14ac:dyDescent="0.2">
      <c r="A96" t="str">
        <f>A44</f>
        <v>81 Process, plant and machine operatives</v>
      </c>
      <c r="B96" s="49">
        <f t="shared" si="51"/>
        <v>-1.0723125808887013</v>
      </c>
      <c r="C96" s="44">
        <f t="shared" si="51"/>
        <v>-11.062248136621855</v>
      </c>
      <c r="D96" s="49">
        <f t="shared" si="51"/>
        <v>0.35025778829398391</v>
      </c>
      <c r="E96" s="49">
        <f t="shared" si="51"/>
        <v>-0.7503941206391973</v>
      </c>
      <c r="F96" s="44">
        <f>IF(AND(F$5-D$5 &lt;&gt; 0,F44 &lt;&gt; 0,D44 &lt;&gt; 0),(EXP(LN(F44/D44)/(F$5-D$5))-1)*100,0)</f>
        <v>-0.38485807210871803</v>
      </c>
      <c r="H96" s="40">
        <f>(B44/B$43)*100</f>
        <v>52.810914327132721</v>
      </c>
      <c r="I96" s="40">
        <f t="shared" ref="H96:L97" si="52">(C44/C$43)*100</f>
        <v>50.843203819976132</v>
      </c>
      <c r="J96" s="40">
        <f t="shared" si="52"/>
        <v>48.444944375487729</v>
      </c>
      <c r="K96" s="40">
        <f t="shared" si="52"/>
        <v>49.15453106663027</v>
      </c>
      <c r="L96" s="40">
        <f t="shared" si="52"/>
        <v>48.364305348224327</v>
      </c>
    </row>
    <row r="97" spans="1:12" x14ac:dyDescent="0.2">
      <c r="A97" t="str">
        <f>A45</f>
        <v>82 Transport and mobile machine drivers and operatives</v>
      </c>
      <c r="B97" s="49">
        <f t="shared" si="51"/>
        <v>0.89648879978838636</v>
      </c>
      <c r="C97" s="44">
        <f t="shared" si="51"/>
        <v>-2.1055017047676094</v>
      </c>
      <c r="D97" s="49">
        <f t="shared" si="51"/>
        <v>-0.21812217575232218</v>
      </c>
      <c r="E97" s="49">
        <f t="shared" si="51"/>
        <v>-0.43597898005102165</v>
      </c>
      <c r="F97" s="44">
        <f>IF(AND(F$5-D$5 &lt;&gt; 0,F45 &lt;&gt; 0,D45 &lt;&gt; 0),(EXP(LN(F45/D45)/(F$5-D$5))-1)*100,0)</f>
        <v>-0.36341294700982241</v>
      </c>
      <c r="H97" s="40">
        <f t="shared" si="52"/>
        <v>47.189085672867279</v>
      </c>
      <c r="I97" s="40">
        <f t="shared" si="52"/>
        <v>49.156796180023875</v>
      </c>
      <c r="J97" s="40">
        <f t="shared" si="52"/>
        <v>51.555055624512271</v>
      </c>
      <c r="K97" s="40">
        <f t="shared" si="52"/>
        <v>50.845468933369716</v>
      </c>
      <c r="L97" s="40">
        <f t="shared" si="52"/>
        <v>51.63569465177568</v>
      </c>
    </row>
    <row r="98" spans="1:12" x14ac:dyDescent="0.2">
      <c r="C98" s="44"/>
      <c r="F98" s="44"/>
    </row>
    <row r="99" spans="1:12" s="30" customFormat="1" x14ac:dyDescent="0.2">
      <c r="A99" s="30" t="str">
        <f>A47</f>
        <v>Elementary occupations</v>
      </c>
      <c r="B99" s="44">
        <f t="shared" ref="B99:E101" si="53">IF(AND(C$5-B$5 &lt;&gt; 0,C47 &lt;&gt; 0,B47 &lt;&gt; 0),(EXP(LN(C47/B47)/(C$5-B$5))-1)*100,0)</f>
        <v>-1.179368842643802</v>
      </c>
      <c r="C99" s="44">
        <f t="shared" si="53"/>
        <v>-7.635456758640002</v>
      </c>
      <c r="D99" s="44">
        <f t="shared" si="53"/>
        <v>0.68990344306285589</v>
      </c>
      <c r="E99" s="44">
        <f t="shared" si="53"/>
        <v>-0.44535923229244156</v>
      </c>
      <c r="F99" s="44">
        <f>IF(AND(F$5-D$5 &lt;&gt; 0,F47 &lt;&gt; 0,D47 &lt;&gt; 0),(EXP(LN(F47/D47)/(F$5-D$5))-1)*100,0)</f>
        <v>-6.8367726321361122E-2</v>
      </c>
      <c r="H99" s="44">
        <f>(B47/B$51)*100</f>
        <v>12.868675837247126</v>
      </c>
      <c r="I99" s="44">
        <f>(C47/C$51)*100</f>
        <v>11.981766484979033</v>
      </c>
      <c r="J99" s="44">
        <f>(D47/D$51)*100</f>
        <v>11.043710130125827</v>
      </c>
      <c r="K99" s="44">
        <f>(E47/E$51)*100</f>
        <v>11.308600691035071</v>
      </c>
      <c r="L99" s="44">
        <f>(F47/F$51)*100</f>
        <v>10.560408464616572</v>
      </c>
    </row>
    <row r="100" spans="1:12" x14ac:dyDescent="0.2">
      <c r="A100" t="str">
        <f>A48</f>
        <v>91 Elementary trades and related occupations</v>
      </c>
      <c r="B100" s="49">
        <f t="shared" si="53"/>
        <v>-2.9965296584723022</v>
      </c>
      <c r="C100" s="44">
        <f t="shared" si="53"/>
        <v>-8.0406950265293986</v>
      </c>
      <c r="D100" s="49">
        <f t="shared" si="53"/>
        <v>11.132283338265525</v>
      </c>
      <c r="E100" s="49">
        <f t="shared" si="53"/>
        <v>0.7138038800924118</v>
      </c>
      <c r="F100" s="44">
        <f>IF(AND(F$5-D$5 &lt;&gt; 0,F48 &lt;&gt; 0,D48 &lt;&gt; 0),(EXP(LN(F48/D48)/(F$5-D$5))-1)*100,0)</f>
        <v>4.0733207095563051</v>
      </c>
      <c r="H100" s="40">
        <f t="shared" ref="H100:L101" si="54">(B48/B$47)*100</f>
        <v>20.197842438937119</v>
      </c>
      <c r="I100" s="40">
        <f t="shared" si="54"/>
        <v>18.752689942436369</v>
      </c>
      <c r="J100" s="40">
        <f t="shared" si="54"/>
        <v>18.670414782251992</v>
      </c>
      <c r="K100" s="40">
        <f t="shared" si="54"/>
        <v>30.579158637550059</v>
      </c>
      <c r="L100" s="40">
        <f t="shared" si="54"/>
        <v>34.332104704118763</v>
      </c>
    </row>
    <row r="101" spans="1:12" x14ac:dyDescent="0.2">
      <c r="A101" t="str">
        <f>A49</f>
        <v>92 Elementary administration and service occupations</v>
      </c>
      <c r="B101" s="49">
        <f t="shared" si="53"/>
        <v>-0.73498493077527316</v>
      </c>
      <c r="C101" s="44">
        <f t="shared" si="53"/>
        <v>-7.5419237224674029</v>
      </c>
      <c r="D101" s="49">
        <f t="shared" si="53"/>
        <v>-2.448447038511159</v>
      </c>
      <c r="E101" s="49">
        <f t="shared" si="53"/>
        <v>-0.99711918494923557</v>
      </c>
      <c r="F101" s="44">
        <f>IF(AND(F$5-D$5 &lt;&gt; 0,F49 &lt;&gt; 0,D49 &lt;&gt; 0),(EXP(LN(F49/D49)/(F$5-D$5))-1)*100,0)</f>
        <v>-1.4832785420224925</v>
      </c>
      <c r="H101" s="40">
        <f t="shared" si="54"/>
        <v>79.802157561062884</v>
      </c>
      <c r="I101" s="40">
        <f t="shared" si="54"/>
        <v>81.247310057563624</v>
      </c>
      <c r="J101" s="40">
        <f t="shared" si="54"/>
        <v>81.329585217748019</v>
      </c>
      <c r="K101" s="40">
        <f t="shared" si="54"/>
        <v>69.420841362449934</v>
      </c>
      <c r="L101" s="40">
        <f t="shared" si="54"/>
        <v>65.667895295881223</v>
      </c>
    </row>
    <row r="102" spans="1:12" x14ac:dyDescent="0.2">
      <c r="A102" s="13"/>
      <c r="C102" s="44"/>
      <c r="F102" s="44"/>
    </row>
    <row r="103" spans="1:12" x14ac:dyDescent="0.2">
      <c r="A103" s="39" t="str">
        <f t="shared" ref="A103" si="55">A51</f>
        <v>All occupations</v>
      </c>
      <c r="B103" s="50">
        <f>IF(AND(C$5-B$5 &lt;&gt; 0,C51 &lt;&gt; 0,B51 &lt;&gt; 0),(EXP(LN(C51/B51)/(C$5-B$5))-1)*100,0)</f>
        <v>0.60067062186752729</v>
      </c>
      <c r="C103" s="206">
        <f t="shared" ref="C103" si="56">IF(AND(D$5-C$5 &lt;&gt; 0,D51 &lt;&gt; 0,C51 &lt;&gt; 0),(EXP(LN(D51/C51)/(D$5-C$5))-1)*100,0)</f>
        <v>0.21001779020024536</v>
      </c>
      <c r="D103" s="50">
        <f>IF(AND(E$5-D$5 &lt;&gt; 0,E51 &lt;&gt; 0,D51 &lt;&gt; 0),(EXP(LN(E51/D51)/(E$5-D$5))-1)*100,0)</f>
        <v>0.2137122903617783</v>
      </c>
      <c r="E103" s="50">
        <f>IF(AND(F$5-E$5 &lt;&gt; 0,F51 &lt;&gt; 0,E51 &lt;&gt; 0),(EXP(LN(F51/E51)/(F$5-E$5))-1)*100,0)</f>
        <v>0.23844593453650198</v>
      </c>
      <c r="F103" s="206">
        <f>IF(AND(F$5-D$5 &lt;&gt; 0,F51 &lt;&gt; 0,D51 &lt;&gt; 0),(EXP(LN(F51/D51)/(F$5-D$5))-1)*100,0)</f>
        <v>0.23020070827648453</v>
      </c>
      <c r="G103" s="24"/>
      <c r="H103" s="43">
        <f>(B51/B$51)*100</f>
        <v>100</v>
      </c>
      <c r="I103" s="43">
        <f>(C51/C$51)*100</f>
        <v>100</v>
      </c>
      <c r="J103" s="43">
        <f>(D51/D$51)*100</f>
        <v>100</v>
      </c>
      <c r="K103" s="43">
        <f>(E51/E$51)*100</f>
        <v>100</v>
      </c>
      <c r="L103" s="43">
        <f>(F51/F$51)*100</f>
        <v>100</v>
      </c>
    </row>
  </sheetData>
  <phoneticPr fontId="4" type="noConversion"/>
  <pageMargins left="0.55118110236220474" right="0.55118110236220474" top="0.59055118110236227" bottom="0.59055118110236227" header="0.51181102362204722" footer="0.51181102362204722"/>
  <pageSetup paperSize="9" scale="77" orientation="landscape" r:id="rId1"/>
  <headerFooter alignWithMargins="0"/>
  <rowBreaks count="1" manualBreakCount="1">
    <brk id="52" max="11" man="1"/>
  </rowBreaks>
  <drawing r:id="rId2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100-000000000000}">
  <sheetPr codeName="Sheet40"/>
  <dimension ref="A1:U1312"/>
  <sheetViews>
    <sheetView showGridLines="0" zoomScale="85" zoomScaleNormal="85" workbookViewId="0"/>
  </sheetViews>
  <sheetFormatPr defaultRowHeight="12.75" x14ac:dyDescent="0.2"/>
  <cols>
    <col min="1" max="1" width="35.5703125" style="91" customWidth="1"/>
    <col min="2" max="13" width="5.7109375" style="91" customWidth="1"/>
    <col min="14" max="15" width="7.7109375" style="91" customWidth="1"/>
    <col min="16" max="16" width="5.7109375" style="91" customWidth="1"/>
    <col min="17" max="18" width="7.7109375" style="91" customWidth="1"/>
    <col min="19" max="19" width="5.7109375" style="91" customWidth="1"/>
    <col min="20" max="21" width="7.7109375" style="91" customWidth="1"/>
    <col min="22" max="254" width="9.140625" style="91"/>
    <col min="255" max="255" width="33.140625" style="91" bestFit="1" customWidth="1"/>
    <col min="256" max="258" width="7.140625" style="91" customWidth="1"/>
    <col min="259" max="259" width="5" style="91" customWidth="1"/>
    <col min="260" max="262" width="7.140625" style="91" customWidth="1"/>
    <col min="263" max="263" width="5" style="91" customWidth="1"/>
    <col min="264" max="266" width="7.140625" style="91" customWidth="1"/>
    <col min="267" max="510" width="9.140625" style="91"/>
    <col min="511" max="511" width="33.140625" style="91" bestFit="1" customWidth="1"/>
    <col min="512" max="514" width="7.140625" style="91" customWidth="1"/>
    <col min="515" max="515" width="5" style="91" customWidth="1"/>
    <col min="516" max="518" width="7.140625" style="91" customWidth="1"/>
    <col min="519" max="519" width="5" style="91" customWidth="1"/>
    <col min="520" max="522" width="7.140625" style="91" customWidth="1"/>
    <col min="523" max="766" width="9.140625" style="91"/>
    <col min="767" max="767" width="33.140625" style="91" bestFit="1" customWidth="1"/>
    <col min="768" max="770" width="7.140625" style="91" customWidth="1"/>
    <col min="771" max="771" width="5" style="91" customWidth="1"/>
    <col min="772" max="774" width="7.140625" style="91" customWidth="1"/>
    <col min="775" max="775" width="5" style="91" customWidth="1"/>
    <col min="776" max="778" width="7.140625" style="91" customWidth="1"/>
    <col min="779" max="1022" width="9.140625" style="91"/>
    <col min="1023" max="1023" width="33.140625" style="91" bestFit="1" customWidth="1"/>
    <col min="1024" max="1026" width="7.140625" style="91" customWidth="1"/>
    <col min="1027" max="1027" width="5" style="91" customWidth="1"/>
    <col min="1028" max="1030" width="7.140625" style="91" customWidth="1"/>
    <col min="1031" max="1031" width="5" style="91" customWidth="1"/>
    <col min="1032" max="1034" width="7.140625" style="91" customWidth="1"/>
    <col min="1035" max="1278" width="9.140625" style="91"/>
    <col min="1279" max="1279" width="33.140625" style="91" bestFit="1" customWidth="1"/>
    <col min="1280" max="1282" width="7.140625" style="91" customWidth="1"/>
    <col min="1283" max="1283" width="5" style="91" customWidth="1"/>
    <col min="1284" max="1286" width="7.140625" style="91" customWidth="1"/>
    <col min="1287" max="1287" width="5" style="91" customWidth="1"/>
    <col min="1288" max="1290" width="7.140625" style="91" customWidth="1"/>
    <col min="1291" max="1534" width="9.140625" style="91"/>
    <col min="1535" max="1535" width="33.140625" style="91" bestFit="1" customWidth="1"/>
    <col min="1536" max="1538" width="7.140625" style="91" customWidth="1"/>
    <col min="1539" max="1539" width="5" style="91" customWidth="1"/>
    <col min="1540" max="1542" width="7.140625" style="91" customWidth="1"/>
    <col min="1543" max="1543" width="5" style="91" customWidth="1"/>
    <col min="1544" max="1546" width="7.140625" style="91" customWidth="1"/>
    <col min="1547" max="1790" width="9.140625" style="91"/>
    <col min="1791" max="1791" width="33.140625" style="91" bestFit="1" customWidth="1"/>
    <col min="1792" max="1794" width="7.140625" style="91" customWidth="1"/>
    <col min="1795" max="1795" width="5" style="91" customWidth="1"/>
    <col min="1796" max="1798" width="7.140625" style="91" customWidth="1"/>
    <col min="1799" max="1799" width="5" style="91" customWidth="1"/>
    <col min="1800" max="1802" width="7.140625" style="91" customWidth="1"/>
    <col min="1803" max="2046" width="9.140625" style="91"/>
    <col min="2047" max="2047" width="33.140625" style="91" bestFit="1" customWidth="1"/>
    <col min="2048" max="2050" width="7.140625" style="91" customWidth="1"/>
    <col min="2051" max="2051" width="5" style="91" customWidth="1"/>
    <col min="2052" max="2054" width="7.140625" style="91" customWidth="1"/>
    <col min="2055" max="2055" width="5" style="91" customWidth="1"/>
    <col min="2056" max="2058" width="7.140625" style="91" customWidth="1"/>
    <col min="2059" max="2302" width="9.140625" style="91"/>
    <col min="2303" max="2303" width="33.140625" style="91" bestFit="1" customWidth="1"/>
    <col min="2304" max="2306" width="7.140625" style="91" customWidth="1"/>
    <col min="2307" max="2307" width="5" style="91" customWidth="1"/>
    <col min="2308" max="2310" width="7.140625" style="91" customWidth="1"/>
    <col min="2311" max="2311" width="5" style="91" customWidth="1"/>
    <col min="2312" max="2314" width="7.140625" style="91" customWidth="1"/>
    <col min="2315" max="2558" width="9.140625" style="91"/>
    <col min="2559" max="2559" width="33.140625" style="91" bestFit="1" customWidth="1"/>
    <col min="2560" max="2562" width="7.140625" style="91" customWidth="1"/>
    <col min="2563" max="2563" width="5" style="91" customWidth="1"/>
    <col min="2564" max="2566" width="7.140625" style="91" customWidth="1"/>
    <col min="2567" max="2567" width="5" style="91" customWidth="1"/>
    <col min="2568" max="2570" width="7.140625" style="91" customWidth="1"/>
    <col min="2571" max="2814" width="9.140625" style="91"/>
    <col min="2815" max="2815" width="33.140625" style="91" bestFit="1" customWidth="1"/>
    <col min="2816" max="2818" width="7.140625" style="91" customWidth="1"/>
    <col min="2819" max="2819" width="5" style="91" customWidth="1"/>
    <col min="2820" max="2822" width="7.140625" style="91" customWidth="1"/>
    <col min="2823" max="2823" width="5" style="91" customWidth="1"/>
    <col min="2824" max="2826" width="7.140625" style="91" customWidth="1"/>
    <col min="2827" max="3070" width="9.140625" style="91"/>
    <col min="3071" max="3071" width="33.140625" style="91" bestFit="1" customWidth="1"/>
    <col min="3072" max="3074" width="7.140625" style="91" customWidth="1"/>
    <col min="3075" max="3075" width="5" style="91" customWidth="1"/>
    <col min="3076" max="3078" width="7.140625" style="91" customWidth="1"/>
    <col min="3079" max="3079" width="5" style="91" customWidth="1"/>
    <col min="3080" max="3082" width="7.140625" style="91" customWidth="1"/>
    <col min="3083" max="3326" width="9.140625" style="91"/>
    <col min="3327" max="3327" width="33.140625" style="91" bestFit="1" customWidth="1"/>
    <col min="3328" max="3330" width="7.140625" style="91" customWidth="1"/>
    <col min="3331" max="3331" width="5" style="91" customWidth="1"/>
    <col min="3332" max="3334" width="7.140625" style="91" customWidth="1"/>
    <col min="3335" max="3335" width="5" style="91" customWidth="1"/>
    <col min="3336" max="3338" width="7.140625" style="91" customWidth="1"/>
    <col min="3339" max="3582" width="9.140625" style="91"/>
    <col min="3583" max="3583" width="33.140625" style="91" bestFit="1" customWidth="1"/>
    <col min="3584" max="3586" width="7.140625" style="91" customWidth="1"/>
    <col min="3587" max="3587" width="5" style="91" customWidth="1"/>
    <col min="3588" max="3590" width="7.140625" style="91" customWidth="1"/>
    <col min="3591" max="3591" width="5" style="91" customWidth="1"/>
    <col min="3592" max="3594" width="7.140625" style="91" customWidth="1"/>
    <col min="3595" max="3838" width="9.140625" style="91"/>
    <col min="3839" max="3839" width="33.140625" style="91" bestFit="1" customWidth="1"/>
    <col min="3840" max="3842" width="7.140625" style="91" customWidth="1"/>
    <col min="3843" max="3843" width="5" style="91" customWidth="1"/>
    <col min="3844" max="3846" width="7.140625" style="91" customWidth="1"/>
    <col min="3847" max="3847" width="5" style="91" customWidth="1"/>
    <col min="3848" max="3850" width="7.140625" style="91" customWidth="1"/>
    <col min="3851" max="4094" width="9.140625" style="91"/>
    <col min="4095" max="4095" width="33.140625" style="91" bestFit="1" customWidth="1"/>
    <col min="4096" max="4098" width="7.140625" style="91" customWidth="1"/>
    <col min="4099" max="4099" width="5" style="91" customWidth="1"/>
    <col min="4100" max="4102" width="7.140625" style="91" customWidth="1"/>
    <col min="4103" max="4103" width="5" style="91" customWidth="1"/>
    <col min="4104" max="4106" width="7.140625" style="91" customWidth="1"/>
    <col min="4107" max="4350" width="9.140625" style="91"/>
    <col min="4351" max="4351" width="33.140625" style="91" bestFit="1" customWidth="1"/>
    <col min="4352" max="4354" width="7.140625" style="91" customWidth="1"/>
    <col min="4355" max="4355" width="5" style="91" customWidth="1"/>
    <col min="4356" max="4358" width="7.140625" style="91" customWidth="1"/>
    <col min="4359" max="4359" width="5" style="91" customWidth="1"/>
    <col min="4360" max="4362" width="7.140625" style="91" customWidth="1"/>
    <col min="4363" max="4606" width="9.140625" style="91"/>
    <col min="4607" max="4607" width="33.140625" style="91" bestFit="1" customWidth="1"/>
    <col min="4608" max="4610" width="7.140625" style="91" customWidth="1"/>
    <col min="4611" max="4611" width="5" style="91" customWidth="1"/>
    <col min="4612" max="4614" width="7.140625" style="91" customWidth="1"/>
    <col min="4615" max="4615" width="5" style="91" customWidth="1"/>
    <col min="4616" max="4618" width="7.140625" style="91" customWidth="1"/>
    <col min="4619" max="4862" width="9.140625" style="91"/>
    <col min="4863" max="4863" width="33.140625" style="91" bestFit="1" customWidth="1"/>
    <col min="4864" max="4866" width="7.140625" style="91" customWidth="1"/>
    <col min="4867" max="4867" width="5" style="91" customWidth="1"/>
    <col min="4868" max="4870" width="7.140625" style="91" customWidth="1"/>
    <col min="4871" max="4871" width="5" style="91" customWidth="1"/>
    <col min="4872" max="4874" width="7.140625" style="91" customWidth="1"/>
    <col min="4875" max="5118" width="9.140625" style="91"/>
    <col min="5119" max="5119" width="33.140625" style="91" bestFit="1" customWidth="1"/>
    <col min="5120" max="5122" width="7.140625" style="91" customWidth="1"/>
    <col min="5123" max="5123" width="5" style="91" customWidth="1"/>
    <col min="5124" max="5126" width="7.140625" style="91" customWidth="1"/>
    <col min="5127" max="5127" width="5" style="91" customWidth="1"/>
    <col min="5128" max="5130" width="7.140625" style="91" customWidth="1"/>
    <col min="5131" max="5374" width="9.140625" style="91"/>
    <col min="5375" max="5375" width="33.140625" style="91" bestFit="1" customWidth="1"/>
    <col min="5376" max="5378" width="7.140625" style="91" customWidth="1"/>
    <col min="5379" max="5379" width="5" style="91" customWidth="1"/>
    <col min="5380" max="5382" width="7.140625" style="91" customWidth="1"/>
    <col min="5383" max="5383" width="5" style="91" customWidth="1"/>
    <col min="5384" max="5386" width="7.140625" style="91" customWidth="1"/>
    <col min="5387" max="5630" width="9.140625" style="91"/>
    <col min="5631" max="5631" width="33.140625" style="91" bestFit="1" customWidth="1"/>
    <col min="5632" max="5634" width="7.140625" style="91" customWidth="1"/>
    <col min="5635" max="5635" width="5" style="91" customWidth="1"/>
    <col min="5636" max="5638" width="7.140625" style="91" customWidth="1"/>
    <col min="5639" max="5639" width="5" style="91" customWidth="1"/>
    <col min="5640" max="5642" width="7.140625" style="91" customWidth="1"/>
    <col min="5643" max="5886" width="9.140625" style="91"/>
    <col min="5887" max="5887" width="33.140625" style="91" bestFit="1" customWidth="1"/>
    <col min="5888" max="5890" width="7.140625" style="91" customWidth="1"/>
    <col min="5891" max="5891" width="5" style="91" customWidth="1"/>
    <col min="5892" max="5894" width="7.140625" style="91" customWidth="1"/>
    <col min="5895" max="5895" width="5" style="91" customWidth="1"/>
    <col min="5896" max="5898" width="7.140625" style="91" customWidth="1"/>
    <col min="5899" max="6142" width="9.140625" style="91"/>
    <col min="6143" max="6143" width="33.140625" style="91" bestFit="1" customWidth="1"/>
    <col min="6144" max="6146" width="7.140625" style="91" customWidth="1"/>
    <col min="6147" max="6147" width="5" style="91" customWidth="1"/>
    <col min="6148" max="6150" width="7.140625" style="91" customWidth="1"/>
    <col min="6151" max="6151" width="5" style="91" customWidth="1"/>
    <col min="6152" max="6154" width="7.140625" style="91" customWidth="1"/>
    <col min="6155" max="6398" width="9.140625" style="91"/>
    <col min="6399" max="6399" width="33.140625" style="91" bestFit="1" customWidth="1"/>
    <col min="6400" max="6402" width="7.140625" style="91" customWidth="1"/>
    <col min="6403" max="6403" width="5" style="91" customWidth="1"/>
    <col min="6404" max="6406" width="7.140625" style="91" customWidth="1"/>
    <col min="6407" max="6407" width="5" style="91" customWidth="1"/>
    <col min="6408" max="6410" width="7.140625" style="91" customWidth="1"/>
    <col min="6411" max="6654" width="9.140625" style="91"/>
    <col min="6655" max="6655" width="33.140625" style="91" bestFit="1" customWidth="1"/>
    <col min="6656" max="6658" width="7.140625" style="91" customWidth="1"/>
    <col min="6659" max="6659" width="5" style="91" customWidth="1"/>
    <col min="6660" max="6662" width="7.140625" style="91" customWidth="1"/>
    <col min="6663" max="6663" width="5" style="91" customWidth="1"/>
    <col min="6664" max="6666" width="7.140625" style="91" customWidth="1"/>
    <col min="6667" max="6910" width="9.140625" style="91"/>
    <col min="6911" max="6911" width="33.140625" style="91" bestFit="1" customWidth="1"/>
    <col min="6912" max="6914" width="7.140625" style="91" customWidth="1"/>
    <col min="6915" max="6915" width="5" style="91" customWidth="1"/>
    <col min="6916" max="6918" width="7.140625" style="91" customWidth="1"/>
    <col min="6919" max="6919" width="5" style="91" customWidth="1"/>
    <col min="6920" max="6922" width="7.140625" style="91" customWidth="1"/>
    <col min="6923" max="7166" width="9.140625" style="91"/>
    <col min="7167" max="7167" width="33.140625" style="91" bestFit="1" customWidth="1"/>
    <col min="7168" max="7170" width="7.140625" style="91" customWidth="1"/>
    <col min="7171" max="7171" width="5" style="91" customWidth="1"/>
    <col min="7172" max="7174" width="7.140625" style="91" customWidth="1"/>
    <col min="7175" max="7175" width="5" style="91" customWidth="1"/>
    <col min="7176" max="7178" width="7.140625" style="91" customWidth="1"/>
    <col min="7179" max="7422" width="9.140625" style="91"/>
    <col min="7423" max="7423" width="33.140625" style="91" bestFit="1" customWidth="1"/>
    <col min="7424" max="7426" width="7.140625" style="91" customWidth="1"/>
    <col min="7427" max="7427" width="5" style="91" customWidth="1"/>
    <col min="7428" max="7430" width="7.140625" style="91" customWidth="1"/>
    <col min="7431" max="7431" width="5" style="91" customWidth="1"/>
    <col min="7432" max="7434" width="7.140625" style="91" customWidth="1"/>
    <col min="7435" max="7678" width="9.140625" style="91"/>
    <col min="7679" max="7679" width="33.140625" style="91" bestFit="1" customWidth="1"/>
    <col min="7680" max="7682" width="7.140625" style="91" customWidth="1"/>
    <col min="7683" max="7683" width="5" style="91" customWidth="1"/>
    <col min="7684" max="7686" width="7.140625" style="91" customWidth="1"/>
    <col min="7687" max="7687" width="5" style="91" customWidth="1"/>
    <col min="7688" max="7690" width="7.140625" style="91" customWidth="1"/>
    <col min="7691" max="7934" width="9.140625" style="91"/>
    <col min="7935" max="7935" width="33.140625" style="91" bestFit="1" customWidth="1"/>
    <col min="7936" max="7938" width="7.140625" style="91" customWidth="1"/>
    <col min="7939" max="7939" width="5" style="91" customWidth="1"/>
    <col min="7940" max="7942" width="7.140625" style="91" customWidth="1"/>
    <col min="7943" max="7943" width="5" style="91" customWidth="1"/>
    <col min="7944" max="7946" width="7.140625" style="91" customWidth="1"/>
    <col min="7947" max="8190" width="9.140625" style="91"/>
    <col min="8191" max="8191" width="33.140625" style="91" bestFit="1" customWidth="1"/>
    <col min="8192" max="8194" width="7.140625" style="91" customWidth="1"/>
    <col min="8195" max="8195" width="5" style="91" customWidth="1"/>
    <col min="8196" max="8198" width="7.140625" style="91" customWidth="1"/>
    <col min="8199" max="8199" width="5" style="91" customWidth="1"/>
    <col min="8200" max="8202" width="7.140625" style="91" customWidth="1"/>
    <col min="8203" max="8446" width="9.140625" style="91"/>
    <col min="8447" max="8447" width="33.140625" style="91" bestFit="1" customWidth="1"/>
    <col min="8448" max="8450" width="7.140625" style="91" customWidth="1"/>
    <col min="8451" max="8451" width="5" style="91" customWidth="1"/>
    <col min="8452" max="8454" width="7.140625" style="91" customWidth="1"/>
    <col min="8455" max="8455" width="5" style="91" customWidth="1"/>
    <col min="8456" max="8458" width="7.140625" style="91" customWidth="1"/>
    <col min="8459" max="8702" width="9.140625" style="91"/>
    <col min="8703" max="8703" width="33.140625" style="91" bestFit="1" customWidth="1"/>
    <col min="8704" max="8706" width="7.140625" style="91" customWidth="1"/>
    <col min="8707" max="8707" width="5" style="91" customWidth="1"/>
    <col min="8708" max="8710" width="7.140625" style="91" customWidth="1"/>
    <col min="8711" max="8711" width="5" style="91" customWidth="1"/>
    <col min="8712" max="8714" width="7.140625" style="91" customWidth="1"/>
    <col min="8715" max="8958" width="9.140625" style="91"/>
    <col min="8959" max="8959" width="33.140625" style="91" bestFit="1" customWidth="1"/>
    <col min="8960" max="8962" width="7.140625" style="91" customWidth="1"/>
    <col min="8963" max="8963" width="5" style="91" customWidth="1"/>
    <col min="8964" max="8966" width="7.140625" style="91" customWidth="1"/>
    <col min="8967" max="8967" width="5" style="91" customWidth="1"/>
    <col min="8968" max="8970" width="7.140625" style="91" customWidth="1"/>
    <col min="8971" max="9214" width="9.140625" style="91"/>
    <col min="9215" max="9215" width="33.140625" style="91" bestFit="1" customWidth="1"/>
    <col min="9216" max="9218" width="7.140625" style="91" customWidth="1"/>
    <col min="9219" max="9219" width="5" style="91" customWidth="1"/>
    <col min="9220" max="9222" width="7.140625" style="91" customWidth="1"/>
    <col min="9223" max="9223" width="5" style="91" customWidth="1"/>
    <col min="9224" max="9226" width="7.140625" style="91" customWidth="1"/>
    <col min="9227" max="9470" width="9.140625" style="91"/>
    <col min="9471" max="9471" width="33.140625" style="91" bestFit="1" customWidth="1"/>
    <col min="9472" max="9474" width="7.140625" style="91" customWidth="1"/>
    <col min="9475" max="9475" width="5" style="91" customWidth="1"/>
    <col min="9476" max="9478" width="7.140625" style="91" customWidth="1"/>
    <col min="9479" max="9479" width="5" style="91" customWidth="1"/>
    <col min="9480" max="9482" width="7.140625" style="91" customWidth="1"/>
    <col min="9483" max="9726" width="9.140625" style="91"/>
    <col min="9727" max="9727" width="33.140625" style="91" bestFit="1" customWidth="1"/>
    <col min="9728" max="9730" width="7.140625" style="91" customWidth="1"/>
    <col min="9731" max="9731" width="5" style="91" customWidth="1"/>
    <col min="9732" max="9734" width="7.140625" style="91" customWidth="1"/>
    <col min="9735" max="9735" width="5" style="91" customWidth="1"/>
    <col min="9736" max="9738" width="7.140625" style="91" customWidth="1"/>
    <col min="9739" max="9982" width="9.140625" style="91"/>
    <col min="9983" max="9983" width="33.140625" style="91" bestFit="1" customWidth="1"/>
    <col min="9984" max="9986" width="7.140625" style="91" customWidth="1"/>
    <col min="9987" max="9987" width="5" style="91" customWidth="1"/>
    <col min="9988" max="9990" width="7.140625" style="91" customWidth="1"/>
    <col min="9991" max="9991" width="5" style="91" customWidth="1"/>
    <col min="9992" max="9994" width="7.140625" style="91" customWidth="1"/>
    <col min="9995" max="10238" width="9.140625" style="91"/>
    <col min="10239" max="10239" width="33.140625" style="91" bestFit="1" customWidth="1"/>
    <col min="10240" max="10242" width="7.140625" style="91" customWidth="1"/>
    <col min="10243" max="10243" width="5" style="91" customWidth="1"/>
    <col min="10244" max="10246" width="7.140625" style="91" customWidth="1"/>
    <col min="10247" max="10247" width="5" style="91" customWidth="1"/>
    <col min="10248" max="10250" width="7.140625" style="91" customWidth="1"/>
    <col min="10251" max="10494" width="9.140625" style="91"/>
    <col min="10495" max="10495" width="33.140625" style="91" bestFit="1" customWidth="1"/>
    <col min="10496" max="10498" width="7.140625" style="91" customWidth="1"/>
    <col min="10499" max="10499" width="5" style="91" customWidth="1"/>
    <col min="10500" max="10502" width="7.140625" style="91" customWidth="1"/>
    <col min="10503" max="10503" width="5" style="91" customWidth="1"/>
    <col min="10504" max="10506" width="7.140625" style="91" customWidth="1"/>
    <col min="10507" max="10750" width="9.140625" style="91"/>
    <col min="10751" max="10751" width="33.140625" style="91" bestFit="1" customWidth="1"/>
    <col min="10752" max="10754" width="7.140625" style="91" customWidth="1"/>
    <col min="10755" max="10755" width="5" style="91" customWidth="1"/>
    <col min="10756" max="10758" width="7.140625" style="91" customWidth="1"/>
    <col min="10759" max="10759" width="5" style="91" customWidth="1"/>
    <col min="10760" max="10762" width="7.140625" style="91" customWidth="1"/>
    <col min="10763" max="11006" width="9.140625" style="91"/>
    <col min="11007" max="11007" width="33.140625" style="91" bestFit="1" customWidth="1"/>
    <col min="11008" max="11010" width="7.140625" style="91" customWidth="1"/>
    <col min="11011" max="11011" width="5" style="91" customWidth="1"/>
    <col min="11012" max="11014" width="7.140625" style="91" customWidth="1"/>
    <col min="11015" max="11015" width="5" style="91" customWidth="1"/>
    <col min="11016" max="11018" width="7.140625" style="91" customWidth="1"/>
    <col min="11019" max="11262" width="9.140625" style="91"/>
    <col min="11263" max="11263" width="33.140625" style="91" bestFit="1" customWidth="1"/>
    <col min="11264" max="11266" width="7.140625" style="91" customWidth="1"/>
    <col min="11267" max="11267" width="5" style="91" customWidth="1"/>
    <col min="11268" max="11270" width="7.140625" style="91" customWidth="1"/>
    <col min="11271" max="11271" width="5" style="91" customWidth="1"/>
    <col min="11272" max="11274" width="7.140625" style="91" customWidth="1"/>
    <col min="11275" max="11518" width="9.140625" style="91"/>
    <col min="11519" max="11519" width="33.140625" style="91" bestFit="1" customWidth="1"/>
    <col min="11520" max="11522" width="7.140625" style="91" customWidth="1"/>
    <col min="11523" max="11523" width="5" style="91" customWidth="1"/>
    <col min="11524" max="11526" width="7.140625" style="91" customWidth="1"/>
    <col min="11527" max="11527" width="5" style="91" customWidth="1"/>
    <col min="11528" max="11530" width="7.140625" style="91" customWidth="1"/>
    <col min="11531" max="11774" width="9.140625" style="91"/>
    <col min="11775" max="11775" width="33.140625" style="91" bestFit="1" customWidth="1"/>
    <col min="11776" max="11778" width="7.140625" style="91" customWidth="1"/>
    <col min="11779" max="11779" width="5" style="91" customWidth="1"/>
    <col min="11780" max="11782" width="7.140625" style="91" customWidth="1"/>
    <col min="11783" max="11783" width="5" style="91" customWidth="1"/>
    <col min="11784" max="11786" width="7.140625" style="91" customWidth="1"/>
    <col min="11787" max="12030" width="9.140625" style="91"/>
    <col min="12031" max="12031" width="33.140625" style="91" bestFit="1" customWidth="1"/>
    <col min="12032" max="12034" width="7.140625" style="91" customWidth="1"/>
    <col min="12035" max="12035" width="5" style="91" customWidth="1"/>
    <col min="12036" max="12038" width="7.140625" style="91" customWidth="1"/>
    <col min="12039" max="12039" width="5" style="91" customWidth="1"/>
    <col min="12040" max="12042" width="7.140625" style="91" customWidth="1"/>
    <col min="12043" max="12286" width="9.140625" style="91"/>
    <col min="12287" max="12287" width="33.140625" style="91" bestFit="1" customWidth="1"/>
    <col min="12288" max="12290" width="7.140625" style="91" customWidth="1"/>
    <col min="12291" max="12291" width="5" style="91" customWidth="1"/>
    <col min="12292" max="12294" width="7.140625" style="91" customWidth="1"/>
    <col min="12295" max="12295" width="5" style="91" customWidth="1"/>
    <col min="12296" max="12298" width="7.140625" style="91" customWidth="1"/>
    <col min="12299" max="12542" width="9.140625" style="91"/>
    <col min="12543" max="12543" width="33.140625" style="91" bestFit="1" customWidth="1"/>
    <col min="12544" max="12546" width="7.140625" style="91" customWidth="1"/>
    <col min="12547" max="12547" width="5" style="91" customWidth="1"/>
    <col min="12548" max="12550" width="7.140625" style="91" customWidth="1"/>
    <col min="12551" max="12551" width="5" style="91" customWidth="1"/>
    <col min="12552" max="12554" width="7.140625" style="91" customWidth="1"/>
    <col min="12555" max="12798" width="9.140625" style="91"/>
    <col min="12799" max="12799" width="33.140625" style="91" bestFit="1" customWidth="1"/>
    <col min="12800" max="12802" width="7.140625" style="91" customWidth="1"/>
    <col min="12803" max="12803" width="5" style="91" customWidth="1"/>
    <col min="12804" max="12806" width="7.140625" style="91" customWidth="1"/>
    <col min="12807" max="12807" width="5" style="91" customWidth="1"/>
    <col min="12808" max="12810" width="7.140625" style="91" customWidth="1"/>
    <col min="12811" max="13054" width="9.140625" style="91"/>
    <col min="13055" max="13055" width="33.140625" style="91" bestFit="1" customWidth="1"/>
    <col min="13056" max="13058" width="7.140625" style="91" customWidth="1"/>
    <col min="13059" max="13059" width="5" style="91" customWidth="1"/>
    <col min="13060" max="13062" width="7.140625" style="91" customWidth="1"/>
    <col min="13063" max="13063" width="5" style="91" customWidth="1"/>
    <col min="13064" max="13066" width="7.140625" style="91" customWidth="1"/>
    <col min="13067" max="13310" width="9.140625" style="91"/>
    <col min="13311" max="13311" width="33.140625" style="91" bestFit="1" customWidth="1"/>
    <col min="13312" max="13314" width="7.140625" style="91" customWidth="1"/>
    <col min="13315" max="13315" width="5" style="91" customWidth="1"/>
    <col min="13316" max="13318" width="7.140625" style="91" customWidth="1"/>
    <col min="13319" max="13319" width="5" style="91" customWidth="1"/>
    <col min="13320" max="13322" width="7.140625" style="91" customWidth="1"/>
    <col min="13323" max="13566" width="9.140625" style="91"/>
    <col min="13567" max="13567" width="33.140625" style="91" bestFit="1" customWidth="1"/>
    <col min="13568" max="13570" width="7.140625" style="91" customWidth="1"/>
    <col min="13571" max="13571" width="5" style="91" customWidth="1"/>
    <col min="13572" max="13574" width="7.140625" style="91" customWidth="1"/>
    <col min="13575" max="13575" width="5" style="91" customWidth="1"/>
    <col min="13576" max="13578" width="7.140625" style="91" customWidth="1"/>
    <col min="13579" max="13822" width="9.140625" style="91"/>
    <col min="13823" max="13823" width="33.140625" style="91" bestFit="1" customWidth="1"/>
    <col min="13824" max="13826" width="7.140625" style="91" customWidth="1"/>
    <col min="13827" max="13827" width="5" style="91" customWidth="1"/>
    <col min="13828" max="13830" width="7.140625" style="91" customWidth="1"/>
    <col min="13831" max="13831" width="5" style="91" customWidth="1"/>
    <col min="13832" max="13834" width="7.140625" style="91" customWidth="1"/>
    <col min="13835" max="14078" width="9.140625" style="91"/>
    <col min="14079" max="14079" width="33.140625" style="91" bestFit="1" customWidth="1"/>
    <col min="14080" max="14082" width="7.140625" style="91" customWidth="1"/>
    <col min="14083" max="14083" width="5" style="91" customWidth="1"/>
    <col min="14084" max="14086" width="7.140625" style="91" customWidth="1"/>
    <col min="14087" max="14087" width="5" style="91" customWidth="1"/>
    <col min="14088" max="14090" width="7.140625" style="91" customWidth="1"/>
    <col min="14091" max="14334" width="9.140625" style="91"/>
    <col min="14335" max="14335" width="33.140625" style="91" bestFit="1" customWidth="1"/>
    <col min="14336" max="14338" width="7.140625" style="91" customWidth="1"/>
    <col min="14339" max="14339" width="5" style="91" customWidth="1"/>
    <col min="14340" max="14342" width="7.140625" style="91" customWidth="1"/>
    <col min="14343" max="14343" width="5" style="91" customWidth="1"/>
    <col min="14344" max="14346" width="7.140625" style="91" customWidth="1"/>
    <col min="14347" max="14590" width="9.140625" style="91"/>
    <col min="14591" max="14591" width="33.140625" style="91" bestFit="1" customWidth="1"/>
    <col min="14592" max="14594" width="7.140625" style="91" customWidth="1"/>
    <col min="14595" max="14595" width="5" style="91" customWidth="1"/>
    <col min="14596" max="14598" width="7.140625" style="91" customWidth="1"/>
    <col min="14599" max="14599" width="5" style="91" customWidth="1"/>
    <col min="14600" max="14602" width="7.140625" style="91" customWidth="1"/>
    <col min="14603" max="14846" width="9.140625" style="91"/>
    <col min="14847" max="14847" width="33.140625" style="91" bestFit="1" customWidth="1"/>
    <col min="14848" max="14850" width="7.140625" style="91" customWidth="1"/>
    <col min="14851" max="14851" width="5" style="91" customWidth="1"/>
    <col min="14852" max="14854" width="7.140625" style="91" customWidth="1"/>
    <col min="14855" max="14855" width="5" style="91" customWidth="1"/>
    <col min="14856" max="14858" width="7.140625" style="91" customWidth="1"/>
    <col min="14859" max="15102" width="9.140625" style="91"/>
    <col min="15103" max="15103" width="33.140625" style="91" bestFit="1" customWidth="1"/>
    <col min="15104" max="15106" width="7.140625" style="91" customWidth="1"/>
    <col min="15107" max="15107" width="5" style="91" customWidth="1"/>
    <col min="15108" max="15110" width="7.140625" style="91" customWidth="1"/>
    <col min="15111" max="15111" width="5" style="91" customWidth="1"/>
    <col min="15112" max="15114" width="7.140625" style="91" customWidth="1"/>
    <col min="15115" max="15358" width="9.140625" style="91"/>
    <col min="15359" max="15359" width="33.140625" style="91" bestFit="1" customWidth="1"/>
    <col min="15360" max="15362" width="7.140625" style="91" customWidth="1"/>
    <col min="15363" max="15363" width="5" style="91" customWidth="1"/>
    <col min="15364" max="15366" width="7.140625" style="91" customWidth="1"/>
    <col min="15367" max="15367" width="5" style="91" customWidth="1"/>
    <col min="15368" max="15370" width="7.140625" style="91" customWidth="1"/>
    <col min="15371" max="15614" width="9.140625" style="91"/>
    <col min="15615" max="15615" width="33.140625" style="91" bestFit="1" customWidth="1"/>
    <col min="15616" max="15618" width="7.140625" style="91" customWidth="1"/>
    <col min="15619" max="15619" width="5" style="91" customWidth="1"/>
    <col min="15620" max="15622" width="7.140625" style="91" customWidth="1"/>
    <col min="15623" max="15623" width="5" style="91" customWidth="1"/>
    <col min="15624" max="15626" width="7.140625" style="91" customWidth="1"/>
    <col min="15627" max="15870" width="9.140625" style="91"/>
    <col min="15871" max="15871" width="33.140625" style="91" bestFit="1" customWidth="1"/>
    <col min="15872" max="15874" width="7.140625" style="91" customWidth="1"/>
    <col min="15875" max="15875" width="5" style="91" customWidth="1"/>
    <col min="15876" max="15878" width="7.140625" style="91" customWidth="1"/>
    <col min="15879" max="15879" width="5" style="91" customWidth="1"/>
    <col min="15880" max="15882" width="7.140625" style="91" customWidth="1"/>
    <col min="15883" max="16126" width="9.140625" style="91"/>
    <col min="16127" max="16127" width="33.140625" style="91" bestFit="1" customWidth="1"/>
    <col min="16128" max="16130" width="7.140625" style="91" customWidth="1"/>
    <col min="16131" max="16131" width="5" style="91" customWidth="1"/>
    <col min="16132" max="16134" width="7.140625" style="91" customWidth="1"/>
    <col min="16135" max="16135" width="5" style="91" customWidth="1"/>
    <col min="16136" max="16138" width="7.140625" style="91" customWidth="1"/>
    <col min="16139" max="16384" width="9.140625" style="91"/>
  </cols>
  <sheetData>
    <row r="1" spans="1:21" ht="15.75" x14ac:dyDescent="0.25">
      <c r="A1" s="19" t="str">
        <f>CONCATENATE("Occupation Table 4  Occuptation composition (SOC2020) by gender, ",B$6,"-",J$6,", ",Info!B5)</f>
        <v>Occupation Table 4  Occuptation composition (SOC2020) by gender, 2015-2035, Greater Lincolnshire</v>
      </c>
      <c r="B1" s="236"/>
      <c r="C1" s="236"/>
      <c r="D1" s="236"/>
      <c r="E1" s="236"/>
      <c r="F1" s="236"/>
      <c r="G1" s="236"/>
      <c r="H1" s="236"/>
      <c r="I1" s="236"/>
      <c r="J1" s="236"/>
      <c r="K1" s="236"/>
      <c r="L1" s="248"/>
      <c r="M1" s="236"/>
    </row>
    <row r="2" spans="1:21" x14ac:dyDescent="0.2">
      <c r="A2" s="182" t="s">
        <v>518</v>
      </c>
      <c r="B2" s="236"/>
      <c r="C2" s="236"/>
      <c r="D2" s="236"/>
      <c r="E2" s="236"/>
      <c r="F2" s="236"/>
      <c r="G2" s="236"/>
      <c r="H2" s="236"/>
      <c r="I2" s="236"/>
      <c r="J2" s="236"/>
      <c r="K2" s="236"/>
      <c r="L2" s="248"/>
      <c r="M2" s="236"/>
    </row>
    <row r="3" spans="1:21" x14ac:dyDescent="0.2">
      <c r="B3" s="122"/>
      <c r="D3" s="122"/>
      <c r="F3" s="122"/>
      <c r="H3" s="122"/>
      <c r="J3" s="122"/>
      <c r="K3" s="236"/>
      <c r="L3" s="248"/>
      <c r="M3" s="236"/>
    </row>
    <row r="4" spans="1:21" x14ac:dyDescent="0.2">
      <c r="A4" s="236"/>
      <c r="B4" s="236"/>
      <c r="C4" s="236"/>
      <c r="D4" s="236"/>
      <c r="E4" s="236"/>
      <c r="F4" s="236"/>
      <c r="G4" s="236"/>
      <c r="H4" s="236"/>
      <c r="I4" s="236"/>
      <c r="J4" s="236"/>
      <c r="K4" s="236"/>
      <c r="L4" s="251" t="s">
        <v>36</v>
      </c>
      <c r="M4" s="236"/>
      <c r="N4" s="92"/>
      <c r="O4" s="92"/>
      <c r="P4" s="92"/>
      <c r="Q4" s="92"/>
      <c r="R4" s="92"/>
      <c r="S4" s="92"/>
      <c r="T4" s="92" t="s">
        <v>373</v>
      </c>
      <c r="U4" s="92"/>
    </row>
    <row r="5" spans="1:21" x14ac:dyDescent="0.2">
      <c r="A5" s="242"/>
      <c r="B5" s="242"/>
      <c r="C5" s="243"/>
      <c r="D5" s="243"/>
      <c r="E5" s="243"/>
      <c r="F5" s="243"/>
      <c r="G5" s="243"/>
      <c r="H5" s="243"/>
      <c r="I5" s="243"/>
      <c r="J5" s="243"/>
      <c r="K5" s="243"/>
      <c r="L5" s="236"/>
      <c r="M5" s="236"/>
    </row>
    <row r="6" spans="1:21" ht="14.25" customHeight="1" x14ac:dyDescent="0.2">
      <c r="A6" s="241" t="s">
        <v>0</v>
      </c>
      <c r="B6" s="375">
        <v>2015</v>
      </c>
      <c r="C6" s="376"/>
      <c r="D6" s="376"/>
      <c r="E6" s="325"/>
      <c r="F6" s="375">
        <v>2020</v>
      </c>
      <c r="G6" s="376"/>
      <c r="H6" s="376"/>
      <c r="I6" s="325"/>
      <c r="J6" s="375">
        <v>2035</v>
      </c>
      <c r="K6" s="376"/>
      <c r="L6" s="376"/>
      <c r="M6" s="324"/>
      <c r="N6" s="376" t="s">
        <v>105</v>
      </c>
      <c r="O6" s="376"/>
      <c r="P6" s="326"/>
      <c r="Q6" s="376" t="s">
        <v>104</v>
      </c>
      <c r="R6" s="376"/>
      <c r="S6" s="326"/>
      <c r="T6" s="376" t="s">
        <v>33</v>
      </c>
      <c r="U6" s="376"/>
    </row>
    <row r="7" spans="1:21" ht="15" customHeight="1" x14ac:dyDescent="0.2">
      <c r="A7" s="252"/>
      <c r="B7" s="245" t="s">
        <v>361</v>
      </c>
      <c r="C7" s="245" t="s">
        <v>362</v>
      </c>
      <c r="D7" s="245" t="s">
        <v>33</v>
      </c>
      <c r="E7" s="245"/>
      <c r="F7" s="245" t="s">
        <v>361</v>
      </c>
      <c r="G7" s="245" t="s">
        <v>362</v>
      </c>
      <c r="H7" s="245" t="s">
        <v>33</v>
      </c>
      <c r="I7" s="245"/>
      <c r="J7" s="245" t="s">
        <v>361</v>
      </c>
      <c r="K7" s="245" t="s">
        <v>362</v>
      </c>
      <c r="L7" s="245" t="s">
        <v>33</v>
      </c>
      <c r="M7" s="236"/>
      <c r="N7" s="321" t="str">
        <f>CONCATENATE(B6,"-",RIGHT(F6,2))</f>
        <v>2015-20</v>
      </c>
      <c r="O7" s="321" t="str">
        <f>CONCATENATE(F6,"-",RIGHT(J6,2))</f>
        <v>2020-35</v>
      </c>
      <c r="P7" s="296"/>
      <c r="Q7" s="321" t="str">
        <f>CONCATENATE(B6,"-",RIGHT(F6,2))</f>
        <v>2015-20</v>
      </c>
      <c r="R7" s="321" t="str">
        <f>CONCATENATE(F6,"-",RIGHT(J6,2))</f>
        <v>2020-35</v>
      </c>
      <c r="S7" s="180"/>
      <c r="T7" s="321" t="str">
        <f>CONCATENATE(B6,"-",RIGHT(F6,2))</f>
        <v>2015-20</v>
      </c>
      <c r="U7" s="321" t="str">
        <f>CONCATENATE(F6,"-",RIGHT(J6,2))</f>
        <v>2020-35</v>
      </c>
    </row>
    <row r="8" spans="1:21" x14ac:dyDescent="0.2">
      <c r="A8" s="236"/>
      <c r="B8" s="257"/>
      <c r="C8" s="257"/>
      <c r="D8" s="257"/>
      <c r="E8" s="257"/>
      <c r="F8" s="257"/>
      <c r="G8" s="257"/>
      <c r="H8" s="257"/>
      <c r="I8" s="257"/>
      <c r="J8" s="257"/>
      <c r="K8" s="257"/>
      <c r="L8" s="257"/>
      <c r="M8" s="236"/>
      <c r="N8" s="327"/>
      <c r="O8" s="327"/>
      <c r="P8" s="327"/>
      <c r="Q8" s="327"/>
      <c r="R8" s="327"/>
      <c r="S8" s="327"/>
      <c r="T8" s="327"/>
      <c r="U8" s="327"/>
    </row>
    <row r="9" spans="1:21" x14ac:dyDescent="0.2">
      <c r="A9" s="329" t="str">
        <f>name!D4</f>
        <v>11 Corporate managers and directors</v>
      </c>
      <c r="B9" s="330">
        <v>8.443841535736242</v>
      </c>
      <c r="C9" s="330">
        <v>21.803721256734949</v>
      </c>
      <c r="D9" s="330">
        <f>SUM(B9:C9)</f>
        <v>30.247562792471193</v>
      </c>
      <c r="E9" s="331"/>
      <c r="F9" s="330">
        <v>11.535738564818502</v>
      </c>
      <c r="G9" s="330">
        <v>25.749390778181418</v>
      </c>
      <c r="H9" s="330">
        <f>SUM(F9:G9)</f>
        <v>37.285129342999923</v>
      </c>
      <c r="I9" s="331"/>
      <c r="J9" s="330">
        <v>12.972986434202971</v>
      </c>
      <c r="K9" s="330">
        <v>22.799905434162348</v>
      </c>
      <c r="L9" s="330">
        <f>SUM(J9:K9)</f>
        <v>35.772891868365321</v>
      </c>
      <c r="M9" s="236"/>
      <c r="N9" s="328">
        <f>IF(B9&gt;0,(EXP(LN(F9/B9)/($F$6-$B$6))-1)*100,0)</f>
        <v>6.4390687352035458</v>
      </c>
      <c r="O9" s="328">
        <f>IF(F9&gt;0,(EXP(LN(J9/F9)/($J$6-$F$6))-1)*100,0)</f>
        <v>0.78586726118470285</v>
      </c>
      <c r="P9" s="328"/>
      <c r="Q9" s="328">
        <f>IF(C9&gt;0,(EXP(LN(G9/C9)/($F$6-$B$6))-1)*100,0)</f>
        <v>3.3825564898544824</v>
      </c>
      <c r="R9" s="328">
        <f>IF(G9&gt;0,(EXP(LN(K9/G9)/($J$6-$F$6))-1)*100,0)</f>
        <v>-0.80775054995531059</v>
      </c>
      <c r="S9" s="327"/>
      <c r="T9" s="328">
        <f>IF(D9&gt;0,(EXP(LN(H9/D9)/($F$6-$B$6))-1)*100,0)</f>
        <v>4.2723240701384224</v>
      </c>
      <c r="U9" s="328">
        <f>IF(H9&gt;0,(EXP(LN(L9/H9)/($J$6-$F$6))-1)*100,0)</f>
        <v>-0.27564721899372424</v>
      </c>
    </row>
    <row r="10" spans="1:21" x14ac:dyDescent="0.2">
      <c r="A10" s="329" t="str">
        <f>name!D5</f>
        <v>12 Other managers and proprietors</v>
      </c>
      <c r="B10" s="330">
        <v>5.5734162779702121</v>
      </c>
      <c r="C10" s="330">
        <v>9.9096161060912422</v>
      </c>
      <c r="D10" s="330">
        <f t="shared" ref="D10:D33" si="0">SUM(B10:C10)</f>
        <v>15.483032384061454</v>
      </c>
      <c r="E10" s="331"/>
      <c r="F10" s="330">
        <v>6.3917004969137432</v>
      </c>
      <c r="G10" s="330">
        <v>11.231457098192198</v>
      </c>
      <c r="H10" s="330">
        <f t="shared" ref="H10:H33" si="1">SUM(F10:G10)</f>
        <v>17.62315759510594</v>
      </c>
      <c r="I10" s="331"/>
      <c r="J10" s="330">
        <v>6.1947310495773653</v>
      </c>
      <c r="K10" s="330">
        <v>13.975884682062709</v>
      </c>
      <c r="L10" s="330">
        <f t="shared" ref="L10:L33" si="2">SUM(J10:K10)</f>
        <v>20.170615731640076</v>
      </c>
      <c r="M10" s="236"/>
      <c r="N10" s="328">
        <f t="shared" ref="N10:N36" si="3">IF(B10&gt;0,(EXP(LN(F10/B10)/($F$6-$B$6))-1)*100,0)</f>
        <v>2.7777218504402068</v>
      </c>
      <c r="O10" s="328">
        <f t="shared" ref="O10:O34" si="4">IF(F10&gt;0,(EXP(LN(J10/F10)/($J$6-$F$6))-1)*100,0)</f>
        <v>-0.20845743448459908</v>
      </c>
      <c r="P10" s="328"/>
      <c r="Q10" s="328">
        <f t="shared" ref="Q10:Q34" si="5">IF(C10&gt;0,(EXP(LN(G10/C10)/($F$6-$B$6))-1)*100,0)</f>
        <v>2.5358779634647277</v>
      </c>
      <c r="R10" s="328">
        <f t="shared" ref="R10:R34" si="6">IF(G10&gt;0,(EXP(LN(K10/G10)/($J$6-$F$6))-1)*100,0)</f>
        <v>1.4681043976047636</v>
      </c>
      <c r="S10" s="327"/>
      <c r="T10" s="328">
        <f t="shared" ref="T10:T34" si="7">IF(D10&gt;0,(EXP(LN(H10/D10)/($F$6-$B$6))-1)*100,0)</f>
        <v>2.6231971261082343</v>
      </c>
      <c r="U10" s="328">
        <f t="shared" ref="U10:U34" si="8">IF(H10&gt;0,(EXP(LN(L10/H10)/($J$6-$F$6))-1)*100,0)</f>
        <v>0.90415009162645443</v>
      </c>
    </row>
    <row r="11" spans="1:21" x14ac:dyDescent="0.2">
      <c r="A11" s="329" t="str">
        <f>name!D6</f>
        <v>21 Science, research, engineering and technology professionals</v>
      </c>
      <c r="B11" s="330">
        <v>3.9748812597008878</v>
      </c>
      <c r="C11" s="330">
        <v>19.28427401958124</v>
      </c>
      <c r="D11" s="330">
        <f t="shared" si="0"/>
        <v>23.259155279282126</v>
      </c>
      <c r="E11" s="331"/>
      <c r="F11" s="330">
        <v>5.5927674924724959</v>
      </c>
      <c r="G11" s="330">
        <v>22.494756193737008</v>
      </c>
      <c r="H11" s="330">
        <f t="shared" si="1"/>
        <v>28.087523686209504</v>
      </c>
      <c r="I11" s="331"/>
      <c r="J11" s="330">
        <v>9.2603123516068688</v>
      </c>
      <c r="K11" s="330">
        <v>30.331916482259494</v>
      </c>
      <c r="L11" s="330">
        <f t="shared" si="2"/>
        <v>39.592228833866365</v>
      </c>
      <c r="M11" s="236"/>
      <c r="N11" s="328">
        <f t="shared" si="3"/>
        <v>7.0682048154627752</v>
      </c>
      <c r="O11" s="328">
        <f t="shared" si="4"/>
        <v>3.4189025186742272</v>
      </c>
      <c r="P11" s="328"/>
      <c r="Q11" s="328">
        <f t="shared" si="5"/>
        <v>3.1277634679570898</v>
      </c>
      <c r="R11" s="328">
        <f t="shared" si="6"/>
        <v>2.012777143044775</v>
      </c>
      <c r="S11" s="327"/>
      <c r="T11" s="328">
        <f t="shared" si="7"/>
        <v>3.8445963923345872</v>
      </c>
      <c r="U11" s="328">
        <f t="shared" si="8"/>
        <v>2.3151079070570457</v>
      </c>
    </row>
    <row r="12" spans="1:21" x14ac:dyDescent="0.2">
      <c r="A12" s="329" t="str">
        <f>name!D7</f>
        <v>22 Health professionals</v>
      </c>
      <c r="B12" s="330">
        <v>14.185808850411375</v>
      </c>
      <c r="C12" s="330">
        <v>4.9630058695494483</v>
      </c>
      <c r="D12" s="330">
        <f t="shared" si="0"/>
        <v>19.148814719960825</v>
      </c>
      <c r="E12" s="331"/>
      <c r="F12" s="330">
        <v>16.196072799477765</v>
      </c>
      <c r="G12" s="330">
        <v>6.0086292592352475</v>
      </c>
      <c r="H12" s="330">
        <f t="shared" si="1"/>
        <v>22.204702058713011</v>
      </c>
      <c r="I12" s="331"/>
      <c r="J12" s="330">
        <v>16.999531301906142</v>
      </c>
      <c r="K12" s="330">
        <v>6.2038013045558529</v>
      </c>
      <c r="L12" s="330">
        <f t="shared" si="2"/>
        <v>23.203332606461995</v>
      </c>
      <c r="M12" s="236"/>
      <c r="N12" s="328">
        <f t="shared" si="3"/>
        <v>2.6859731684090393</v>
      </c>
      <c r="O12" s="328">
        <f t="shared" si="4"/>
        <v>0.32330136272700205</v>
      </c>
      <c r="P12" s="328"/>
      <c r="Q12" s="328">
        <f t="shared" si="5"/>
        <v>3.897745519465845</v>
      </c>
      <c r="R12" s="328">
        <f t="shared" si="6"/>
        <v>0.21333104051954876</v>
      </c>
      <c r="S12" s="327"/>
      <c r="T12" s="328">
        <f t="shared" si="7"/>
        <v>3.0055465035826456</v>
      </c>
      <c r="U12" s="328">
        <f t="shared" si="8"/>
        <v>0.29370944541005084</v>
      </c>
    </row>
    <row r="13" spans="1:21" x14ac:dyDescent="0.2">
      <c r="A13" s="329" t="str">
        <f>name!D8</f>
        <v>23 Teaching and other educational professionals</v>
      </c>
      <c r="B13" s="330">
        <v>10.887680480897437</v>
      </c>
      <c r="C13" s="330">
        <v>7.3714109889697976</v>
      </c>
      <c r="D13" s="330">
        <f t="shared" si="0"/>
        <v>18.259091469867236</v>
      </c>
      <c r="E13" s="331"/>
      <c r="F13" s="330">
        <v>12.245791101003586</v>
      </c>
      <c r="G13" s="330">
        <v>7.1800698037739972</v>
      </c>
      <c r="H13" s="330">
        <f t="shared" si="1"/>
        <v>19.425860904777583</v>
      </c>
      <c r="I13" s="331"/>
      <c r="J13" s="330">
        <v>11.345054962377688</v>
      </c>
      <c r="K13" s="330">
        <v>7.2126794451526228</v>
      </c>
      <c r="L13" s="330">
        <f t="shared" si="2"/>
        <v>18.557734407530312</v>
      </c>
      <c r="M13" s="236"/>
      <c r="N13" s="328">
        <f t="shared" si="3"/>
        <v>2.3788615452790873</v>
      </c>
      <c r="O13" s="328">
        <f t="shared" si="4"/>
        <v>-0.50804062931540939</v>
      </c>
      <c r="P13" s="328"/>
      <c r="Q13" s="328">
        <f t="shared" si="5"/>
        <v>-0.52461970335623276</v>
      </c>
      <c r="R13" s="328">
        <f t="shared" si="6"/>
        <v>3.0213938702061682E-2</v>
      </c>
      <c r="S13" s="327"/>
      <c r="T13" s="328">
        <f t="shared" si="7"/>
        <v>1.2465473525054005</v>
      </c>
      <c r="U13" s="328">
        <f t="shared" si="8"/>
        <v>-0.30432640784667786</v>
      </c>
    </row>
    <row r="14" spans="1:21" x14ac:dyDescent="0.2">
      <c r="A14" s="329" t="str">
        <f>name!D9</f>
        <v>24 Business, media and public service professionals</v>
      </c>
      <c r="B14" s="330">
        <v>9.7036500934502108</v>
      </c>
      <c r="C14" s="330">
        <v>13.777348837908342</v>
      </c>
      <c r="D14" s="330">
        <f t="shared" si="0"/>
        <v>23.480998931358553</v>
      </c>
      <c r="E14" s="331"/>
      <c r="F14" s="330">
        <v>14.461619339520748</v>
      </c>
      <c r="G14" s="330">
        <v>16.573522522886321</v>
      </c>
      <c r="H14" s="330">
        <f t="shared" si="1"/>
        <v>31.03514186240707</v>
      </c>
      <c r="I14" s="331"/>
      <c r="J14" s="330">
        <v>17.108688849924906</v>
      </c>
      <c r="K14" s="330">
        <v>18.80873440448287</v>
      </c>
      <c r="L14" s="330">
        <f t="shared" si="2"/>
        <v>35.91742325440778</v>
      </c>
      <c r="M14" s="236"/>
      <c r="N14" s="328">
        <f t="shared" si="3"/>
        <v>8.3069583872910968</v>
      </c>
      <c r="O14" s="328">
        <f t="shared" si="4"/>
        <v>1.1268904855024964</v>
      </c>
      <c r="P14" s="328"/>
      <c r="Q14" s="328">
        <f t="shared" si="5"/>
        <v>3.76474750330269</v>
      </c>
      <c r="R14" s="328">
        <f t="shared" si="6"/>
        <v>0.84700001622290966</v>
      </c>
      <c r="S14" s="327"/>
      <c r="T14" s="328">
        <f t="shared" si="7"/>
        <v>5.7371092945450286</v>
      </c>
      <c r="U14" s="328">
        <f t="shared" si="8"/>
        <v>0.97877453193282449</v>
      </c>
    </row>
    <row r="15" spans="1:21" x14ac:dyDescent="0.2">
      <c r="A15" s="329" t="str">
        <f>name!D10</f>
        <v>31 Science, engineering and technology associate professionals</v>
      </c>
      <c r="B15" s="330">
        <v>1.9912277672281815</v>
      </c>
      <c r="C15" s="330">
        <v>5.8875835011389022</v>
      </c>
      <c r="D15" s="330">
        <f t="shared" si="0"/>
        <v>7.8788112683670839</v>
      </c>
      <c r="E15" s="331"/>
      <c r="F15" s="330">
        <v>2.6035661321738717</v>
      </c>
      <c r="G15" s="330">
        <v>7.6074752986755341</v>
      </c>
      <c r="H15" s="330">
        <f t="shared" si="1"/>
        <v>10.211041430849406</v>
      </c>
      <c r="I15" s="331"/>
      <c r="J15" s="330">
        <v>3.2235085611986385</v>
      </c>
      <c r="K15" s="330">
        <v>6.9353826530017209</v>
      </c>
      <c r="L15" s="330">
        <f t="shared" si="2"/>
        <v>10.158891214200359</v>
      </c>
      <c r="M15" s="236"/>
      <c r="N15" s="328">
        <f t="shared" si="3"/>
        <v>5.509006771100089</v>
      </c>
      <c r="O15" s="328">
        <f t="shared" si="4"/>
        <v>1.4341079716961636</v>
      </c>
      <c r="P15" s="328"/>
      <c r="Q15" s="328">
        <f t="shared" si="5"/>
        <v>5.2593525287918386</v>
      </c>
      <c r="R15" s="328">
        <f t="shared" si="6"/>
        <v>-0.61473688987717656</v>
      </c>
      <c r="S15" s="327"/>
      <c r="T15" s="328">
        <f t="shared" si="7"/>
        <v>5.3226719309982684</v>
      </c>
      <c r="U15" s="328">
        <f t="shared" si="8"/>
        <v>-3.4129669856552969E-2</v>
      </c>
    </row>
    <row r="16" spans="1:21" x14ac:dyDescent="0.2">
      <c r="A16" s="329" t="str">
        <f>name!D11</f>
        <v>32 Health and social care associate professionals</v>
      </c>
      <c r="B16" s="330">
        <v>6.6618453256311181</v>
      </c>
      <c r="C16" s="330">
        <v>1.8176496714575312</v>
      </c>
      <c r="D16" s="330">
        <f t="shared" si="0"/>
        <v>8.4794949970886488</v>
      </c>
      <c r="E16" s="331"/>
      <c r="F16" s="330">
        <v>7.7658684194250238</v>
      </c>
      <c r="G16" s="330">
        <v>2.0675951928708374</v>
      </c>
      <c r="H16" s="330">
        <f t="shared" si="1"/>
        <v>9.8334636122958621</v>
      </c>
      <c r="I16" s="331"/>
      <c r="J16" s="330">
        <v>15.065237009558532</v>
      </c>
      <c r="K16" s="330">
        <v>3.1028202344824516</v>
      </c>
      <c r="L16" s="330">
        <f t="shared" si="2"/>
        <v>18.168057244040984</v>
      </c>
      <c r="M16" s="236"/>
      <c r="N16" s="328">
        <f t="shared" si="3"/>
        <v>3.1143471721877036</v>
      </c>
      <c r="O16" s="328">
        <f t="shared" si="4"/>
        <v>4.5167097409388068</v>
      </c>
      <c r="P16" s="328"/>
      <c r="Q16" s="328">
        <f t="shared" si="5"/>
        <v>2.6103257402461111</v>
      </c>
      <c r="R16" s="328">
        <f t="shared" si="6"/>
        <v>2.7431176984470174</v>
      </c>
      <c r="S16" s="327"/>
      <c r="T16" s="328">
        <f t="shared" si="7"/>
        <v>3.0071343626424163</v>
      </c>
      <c r="U16" s="328">
        <f t="shared" si="8"/>
        <v>4.1773881525107859</v>
      </c>
    </row>
    <row r="17" spans="1:21" x14ac:dyDescent="0.2">
      <c r="A17" s="329" t="str">
        <f>name!D12</f>
        <v>33 Protective service occupations</v>
      </c>
      <c r="B17" s="330">
        <v>0.99973704195117008</v>
      </c>
      <c r="C17" s="330">
        <v>4.4564946541910393</v>
      </c>
      <c r="D17" s="330">
        <f t="shared" si="0"/>
        <v>5.4562316961422095</v>
      </c>
      <c r="E17" s="331"/>
      <c r="F17" s="330">
        <v>1.2200771116398967</v>
      </c>
      <c r="G17" s="330">
        <v>4.5058957895939704</v>
      </c>
      <c r="H17" s="330">
        <f t="shared" si="1"/>
        <v>5.7259729012338667</v>
      </c>
      <c r="I17" s="331"/>
      <c r="J17" s="330">
        <v>1.4306566579819835</v>
      </c>
      <c r="K17" s="330">
        <v>3.7963133034326324</v>
      </c>
      <c r="L17" s="330">
        <f t="shared" si="2"/>
        <v>5.2269699614146159</v>
      </c>
      <c r="M17" s="236"/>
      <c r="N17" s="328">
        <f t="shared" si="3"/>
        <v>4.0639482417492045</v>
      </c>
      <c r="O17" s="328">
        <f t="shared" si="4"/>
        <v>1.0671166876663252</v>
      </c>
      <c r="P17" s="328"/>
      <c r="Q17" s="328">
        <f t="shared" si="5"/>
        <v>0.22072743865682032</v>
      </c>
      <c r="R17" s="328">
        <f t="shared" si="6"/>
        <v>-1.1358750172118404</v>
      </c>
      <c r="S17" s="327"/>
      <c r="T17" s="328">
        <f t="shared" si="7"/>
        <v>0.96975369409324497</v>
      </c>
      <c r="U17" s="328">
        <f t="shared" si="8"/>
        <v>-0.6060276737569148</v>
      </c>
    </row>
    <row r="18" spans="1:21" x14ac:dyDescent="0.2">
      <c r="A18" s="329" t="str">
        <f>name!D13</f>
        <v>34 Culture, media and sports occupations</v>
      </c>
      <c r="B18" s="330">
        <v>2.6184384017061735</v>
      </c>
      <c r="C18" s="330">
        <v>3.7407106176523288</v>
      </c>
      <c r="D18" s="330">
        <f t="shared" si="0"/>
        <v>6.3591490193585027</v>
      </c>
      <c r="E18" s="331"/>
      <c r="F18" s="330">
        <v>3.273535628862478</v>
      </c>
      <c r="G18" s="330">
        <v>3.3645372644902891</v>
      </c>
      <c r="H18" s="330">
        <f t="shared" si="1"/>
        <v>6.6380728933527671</v>
      </c>
      <c r="I18" s="331"/>
      <c r="J18" s="330">
        <v>2.9943095320499782</v>
      </c>
      <c r="K18" s="330">
        <v>2.9567957750108254</v>
      </c>
      <c r="L18" s="330">
        <f t="shared" si="2"/>
        <v>5.9511053070608035</v>
      </c>
      <c r="M18" s="236"/>
      <c r="N18" s="328">
        <f t="shared" si="3"/>
        <v>4.5670707124451315</v>
      </c>
      <c r="O18" s="328">
        <f t="shared" si="4"/>
        <v>-0.5926168452281444</v>
      </c>
      <c r="P18" s="327"/>
      <c r="Q18" s="328">
        <f t="shared" si="5"/>
        <v>-2.0973953645606946</v>
      </c>
      <c r="R18" s="328">
        <f t="shared" si="6"/>
        <v>-0.85753049019164918</v>
      </c>
      <c r="S18" s="327"/>
      <c r="T18" s="328">
        <f t="shared" si="7"/>
        <v>0.86223860740157754</v>
      </c>
      <c r="U18" s="328">
        <f t="shared" si="8"/>
        <v>-0.72565251059176772</v>
      </c>
    </row>
    <row r="19" spans="1:21" x14ac:dyDescent="0.2">
      <c r="A19" s="329" t="str">
        <f>name!D14</f>
        <v>35 Business and public service associate professionals</v>
      </c>
      <c r="B19" s="330">
        <v>11.42697055221179</v>
      </c>
      <c r="C19" s="330">
        <v>14.326227916333306</v>
      </c>
      <c r="D19" s="330">
        <f t="shared" si="0"/>
        <v>25.753198468545094</v>
      </c>
      <c r="E19" s="331"/>
      <c r="F19" s="330">
        <v>13.130440036753035</v>
      </c>
      <c r="G19" s="330">
        <v>15.898382271662374</v>
      </c>
      <c r="H19" s="330">
        <f t="shared" si="1"/>
        <v>29.028822308415407</v>
      </c>
      <c r="I19" s="331"/>
      <c r="J19" s="330">
        <v>14.46480484768891</v>
      </c>
      <c r="K19" s="330">
        <v>15.829077590677349</v>
      </c>
      <c r="L19" s="330">
        <f t="shared" si="2"/>
        <v>30.293882438366261</v>
      </c>
      <c r="M19" s="236"/>
      <c r="N19" s="328">
        <f t="shared" si="3"/>
        <v>2.8181142835611794</v>
      </c>
      <c r="O19" s="328">
        <f t="shared" si="4"/>
        <v>0.64732109452425579</v>
      </c>
      <c r="P19" s="327"/>
      <c r="Q19" s="328">
        <f t="shared" si="5"/>
        <v>2.1043431582948191</v>
      </c>
      <c r="R19" s="328">
        <f t="shared" si="6"/>
        <v>-2.9120809951121984E-2</v>
      </c>
      <c r="S19" s="327"/>
      <c r="T19" s="328">
        <f t="shared" si="7"/>
        <v>2.4235085007761059</v>
      </c>
      <c r="U19" s="328">
        <f t="shared" si="8"/>
        <v>0.28478195746237667</v>
      </c>
    </row>
    <row r="20" spans="1:21" x14ac:dyDescent="0.2">
      <c r="A20" s="329" t="str">
        <f>name!D15</f>
        <v>41 Administrative occupations</v>
      </c>
      <c r="B20" s="330">
        <v>31.413711395300606</v>
      </c>
      <c r="C20" s="330">
        <v>9.9499378870209618</v>
      </c>
      <c r="D20" s="330">
        <f t="shared" si="0"/>
        <v>41.363649282321568</v>
      </c>
      <c r="E20" s="331"/>
      <c r="F20" s="330">
        <v>30.846637027637957</v>
      </c>
      <c r="G20" s="330">
        <v>11.168851712276034</v>
      </c>
      <c r="H20" s="330">
        <f t="shared" si="1"/>
        <v>42.015488739913991</v>
      </c>
      <c r="I20" s="331"/>
      <c r="J20" s="330">
        <v>28.98589249193429</v>
      </c>
      <c r="K20" s="330">
        <v>12.803122774366457</v>
      </c>
      <c r="L20" s="330">
        <f t="shared" si="2"/>
        <v>41.789015266300751</v>
      </c>
      <c r="M20" s="236"/>
      <c r="N20" s="328">
        <f t="shared" si="3"/>
        <v>-0.3636717522715549</v>
      </c>
      <c r="O20" s="328">
        <f t="shared" si="4"/>
        <v>-0.41393085566848731</v>
      </c>
      <c r="P20" s="327"/>
      <c r="Q20" s="328">
        <f t="shared" si="5"/>
        <v>2.3381663120976448</v>
      </c>
      <c r="R20" s="328">
        <f t="shared" si="6"/>
        <v>0.91455877172903488</v>
      </c>
      <c r="S20" s="327"/>
      <c r="T20" s="328">
        <f t="shared" si="7"/>
        <v>0.31320689803882029</v>
      </c>
      <c r="U20" s="328">
        <f t="shared" si="8"/>
        <v>-3.6025625880720114E-2</v>
      </c>
    </row>
    <row r="21" spans="1:21" x14ac:dyDescent="0.2">
      <c r="A21" s="329" t="str">
        <f>name!D16</f>
        <v>42 Secretarial and related occupations</v>
      </c>
      <c r="B21" s="330">
        <v>9.1330166926186998</v>
      </c>
      <c r="C21" s="330">
        <v>0.86974447014264156</v>
      </c>
      <c r="D21" s="330">
        <f t="shared" si="0"/>
        <v>10.002761162761342</v>
      </c>
      <c r="E21" s="331"/>
      <c r="F21" s="330">
        <v>8.462952040629391</v>
      </c>
      <c r="G21" s="330">
        <v>0.67369963151294798</v>
      </c>
      <c r="H21" s="330">
        <f t="shared" si="1"/>
        <v>9.1366516721423388</v>
      </c>
      <c r="I21" s="331"/>
      <c r="J21" s="330">
        <v>5.6934891397362994</v>
      </c>
      <c r="K21" s="330">
        <v>0.6941218832872218</v>
      </c>
      <c r="L21" s="330">
        <f t="shared" si="2"/>
        <v>6.3876110230235215</v>
      </c>
      <c r="M21" s="236"/>
      <c r="N21" s="328">
        <f t="shared" si="3"/>
        <v>-1.5124065279710441</v>
      </c>
      <c r="O21" s="328">
        <f t="shared" si="4"/>
        <v>-2.6078901053712134</v>
      </c>
      <c r="P21" s="327"/>
      <c r="Q21" s="328">
        <f t="shared" si="5"/>
        <v>-4.9800217381800067</v>
      </c>
      <c r="R21" s="328">
        <f t="shared" si="6"/>
        <v>0.19928636794370735</v>
      </c>
      <c r="S21" s="327"/>
      <c r="T21" s="328">
        <f t="shared" si="7"/>
        <v>-1.7950375833312715</v>
      </c>
      <c r="U21" s="328">
        <f t="shared" si="8"/>
        <v>-2.3579790711757753</v>
      </c>
    </row>
    <row r="22" spans="1:21" x14ac:dyDescent="0.2">
      <c r="A22" s="329" t="str">
        <f>name!D17</f>
        <v>51 Skilled agricultural and related trades</v>
      </c>
      <c r="B22" s="330">
        <v>1.8201318675147202</v>
      </c>
      <c r="C22" s="330">
        <v>7.1325661638641584</v>
      </c>
      <c r="D22" s="330">
        <f t="shared" si="0"/>
        <v>8.952698031378878</v>
      </c>
      <c r="E22" s="331"/>
      <c r="F22" s="330">
        <v>2.3191259858911213</v>
      </c>
      <c r="G22" s="330">
        <v>7.7343373777314817</v>
      </c>
      <c r="H22" s="330">
        <f t="shared" si="1"/>
        <v>10.053463363622603</v>
      </c>
      <c r="I22" s="331"/>
      <c r="J22" s="330">
        <v>2.4998350174203847</v>
      </c>
      <c r="K22" s="330">
        <v>6.7501298976182813</v>
      </c>
      <c r="L22" s="330">
        <f t="shared" si="2"/>
        <v>9.2499649150386656</v>
      </c>
      <c r="M22" s="236"/>
      <c r="N22" s="328">
        <f t="shared" si="3"/>
        <v>4.964948672019176</v>
      </c>
      <c r="O22" s="328">
        <f t="shared" si="4"/>
        <v>0.50148224872037517</v>
      </c>
      <c r="P22" s="327"/>
      <c r="Q22" s="328">
        <f t="shared" si="5"/>
        <v>1.6331674223289294</v>
      </c>
      <c r="R22" s="328">
        <f t="shared" si="6"/>
        <v>-0.90328277405176127</v>
      </c>
      <c r="S22" s="327"/>
      <c r="T22" s="328">
        <f t="shared" si="7"/>
        <v>2.3463485233949255</v>
      </c>
      <c r="U22" s="328">
        <f t="shared" si="8"/>
        <v>-0.55377716898686868</v>
      </c>
    </row>
    <row r="23" spans="1:21" x14ac:dyDescent="0.2">
      <c r="A23" s="329" t="str">
        <f>name!D18</f>
        <v>52 Skilled metal, electrical and electronic trades</v>
      </c>
      <c r="B23" s="330">
        <v>0.31452033695458975</v>
      </c>
      <c r="C23" s="330">
        <v>20.856471052310557</v>
      </c>
      <c r="D23" s="330">
        <f t="shared" si="0"/>
        <v>21.170991389265147</v>
      </c>
      <c r="E23" s="331"/>
      <c r="F23" s="330">
        <v>0.35625565955151378</v>
      </c>
      <c r="G23" s="330">
        <v>17.899283658448081</v>
      </c>
      <c r="H23" s="330">
        <f t="shared" si="1"/>
        <v>18.255539317999595</v>
      </c>
      <c r="I23" s="331"/>
      <c r="J23" s="330">
        <v>0.75560038233866911</v>
      </c>
      <c r="K23" s="330">
        <v>15.630963519621453</v>
      </c>
      <c r="L23" s="330">
        <f t="shared" si="2"/>
        <v>16.386563901960123</v>
      </c>
      <c r="M23" s="236"/>
      <c r="N23" s="328">
        <f t="shared" si="3"/>
        <v>2.5233073880353674</v>
      </c>
      <c r="O23" s="328">
        <f t="shared" si="4"/>
        <v>5.1401744110639136</v>
      </c>
      <c r="P23" s="327"/>
      <c r="Q23" s="328">
        <f t="shared" si="5"/>
        <v>-3.0117854033334002</v>
      </c>
      <c r="R23" s="328">
        <f t="shared" si="6"/>
        <v>-0.89931115429868758</v>
      </c>
      <c r="S23" s="327"/>
      <c r="T23" s="328">
        <f t="shared" si="7"/>
        <v>-2.9197928323575817</v>
      </c>
      <c r="U23" s="328">
        <f t="shared" si="8"/>
        <v>-0.71745943929563127</v>
      </c>
    </row>
    <row r="24" spans="1:21" x14ac:dyDescent="0.2">
      <c r="A24" s="329" t="str">
        <f>name!D19</f>
        <v>53 Skilled construction and building trades</v>
      </c>
      <c r="B24" s="330">
        <v>0.12237833151421372</v>
      </c>
      <c r="C24" s="330">
        <v>14.351062209546514</v>
      </c>
      <c r="D24" s="330">
        <f t="shared" si="0"/>
        <v>14.473440541060727</v>
      </c>
      <c r="E24" s="331"/>
      <c r="F24" s="330">
        <v>0.15473703533210023</v>
      </c>
      <c r="G24" s="330">
        <v>11.01054239993393</v>
      </c>
      <c r="H24" s="330">
        <f t="shared" si="1"/>
        <v>11.165279435266031</v>
      </c>
      <c r="I24" s="331"/>
      <c r="J24" s="330">
        <v>7.7283079857544595E-2</v>
      </c>
      <c r="K24" s="330">
        <v>9.1334671228561053</v>
      </c>
      <c r="L24" s="330">
        <f t="shared" si="2"/>
        <v>9.2107502027136494</v>
      </c>
      <c r="M24" s="236"/>
      <c r="N24" s="328">
        <f t="shared" si="3"/>
        <v>4.8040218006897284</v>
      </c>
      <c r="O24" s="328">
        <f t="shared" si="4"/>
        <v>-4.5228727578075389</v>
      </c>
      <c r="P24" s="327"/>
      <c r="Q24" s="328">
        <f t="shared" si="5"/>
        <v>-5.1614438950536083</v>
      </c>
      <c r="R24" s="328">
        <f t="shared" si="6"/>
        <v>-1.2383211845532816</v>
      </c>
      <c r="S24" s="327"/>
      <c r="T24" s="328">
        <f t="shared" si="7"/>
        <v>-5.0577405135382003</v>
      </c>
      <c r="U24" s="328">
        <f t="shared" si="8"/>
        <v>-1.2747230980522439</v>
      </c>
    </row>
    <row r="25" spans="1:21" x14ac:dyDescent="0.2">
      <c r="A25" s="329" t="str">
        <f>name!D20</f>
        <v>54 Textiles, printing and other skilled trades</v>
      </c>
      <c r="B25" s="330">
        <v>4.506941313848297</v>
      </c>
      <c r="C25" s="330">
        <v>6.4679967275513697</v>
      </c>
      <c r="D25" s="330">
        <f t="shared" si="0"/>
        <v>10.974938041399668</v>
      </c>
      <c r="E25" s="331"/>
      <c r="F25" s="330">
        <v>4.1498154676065209</v>
      </c>
      <c r="G25" s="330">
        <v>4.9088433628884482</v>
      </c>
      <c r="H25" s="330">
        <f t="shared" si="1"/>
        <v>9.05865883049497</v>
      </c>
      <c r="I25" s="331"/>
      <c r="J25" s="330">
        <v>3.6594975725322216</v>
      </c>
      <c r="K25" s="330">
        <v>4.7281138291469116</v>
      </c>
      <c r="L25" s="330">
        <f t="shared" si="2"/>
        <v>8.3876114016791341</v>
      </c>
      <c r="M25" s="236"/>
      <c r="N25" s="328">
        <f t="shared" si="3"/>
        <v>-1.6375411993174382</v>
      </c>
      <c r="O25" s="328">
        <f t="shared" si="4"/>
        <v>-0.8347498187827318</v>
      </c>
      <c r="P25" s="327"/>
      <c r="Q25" s="328">
        <f t="shared" si="5"/>
        <v>-5.3671593921498006</v>
      </c>
      <c r="R25" s="328">
        <f t="shared" si="6"/>
        <v>-0.24976750104409584</v>
      </c>
      <c r="S25" s="327"/>
      <c r="T25" s="328">
        <f t="shared" si="7"/>
        <v>-3.7651518734696299</v>
      </c>
      <c r="U25" s="328">
        <f t="shared" si="8"/>
        <v>-0.51178783423651009</v>
      </c>
    </row>
    <row r="26" spans="1:21" x14ac:dyDescent="0.2">
      <c r="A26" s="329" t="str">
        <f>name!D21</f>
        <v>61 Caring personal service occupations</v>
      </c>
      <c r="B26" s="330">
        <v>37.673060501442833</v>
      </c>
      <c r="C26" s="330">
        <v>6.3952189306799134</v>
      </c>
      <c r="D26" s="330">
        <f t="shared" si="0"/>
        <v>44.06827943212275</v>
      </c>
      <c r="E26" s="331"/>
      <c r="F26" s="330">
        <v>36.609951791537007</v>
      </c>
      <c r="G26" s="330">
        <v>6.6870266980287862</v>
      </c>
      <c r="H26" s="330">
        <f t="shared" si="1"/>
        <v>43.296978489565795</v>
      </c>
      <c r="I26" s="331"/>
      <c r="J26" s="330">
        <v>38.645422003512493</v>
      </c>
      <c r="K26" s="330">
        <v>9.2649180234048014</v>
      </c>
      <c r="L26" s="330">
        <f t="shared" si="2"/>
        <v>47.910340026917297</v>
      </c>
      <c r="M26" s="236"/>
      <c r="N26" s="328">
        <f t="shared" si="3"/>
        <v>-0.57086738702843975</v>
      </c>
      <c r="O26" s="328">
        <f t="shared" si="4"/>
        <v>0.36137278385104388</v>
      </c>
      <c r="P26" s="327"/>
      <c r="Q26" s="328">
        <f t="shared" si="5"/>
        <v>0.89636685062892685</v>
      </c>
      <c r="R26" s="328">
        <f t="shared" si="6"/>
        <v>2.1975697087945445</v>
      </c>
      <c r="S26" s="327"/>
      <c r="T26" s="328">
        <f t="shared" si="7"/>
        <v>-0.35252486004241357</v>
      </c>
      <c r="U26" s="328">
        <f t="shared" si="8"/>
        <v>0.67727316714287777</v>
      </c>
    </row>
    <row r="27" spans="1:21" x14ac:dyDescent="0.2">
      <c r="A27" s="329" t="str">
        <f>name!D22</f>
        <v>62 Leisure, travel and related personal service occupations</v>
      </c>
      <c r="B27" s="330">
        <v>7.3487429135200344</v>
      </c>
      <c r="C27" s="330">
        <v>3.2693854527478297</v>
      </c>
      <c r="D27" s="330">
        <f t="shared" si="0"/>
        <v>10.618128366267864</v>
      </c>
      <c r="E27" s="331"/>
      <c r="F27" s="330">
        <v>9.3398575175119802</v>
      </c>
      <c r="G27" s="330">
        <v>3.655094171303936</v>
      </c>
      <c r="H27" s="330">
        <f t="shared" si="1"/>
        <v>12.994951688815917</v>
      </c>
      <c r="I27" s="331"/>
      <c r="J27" s="330">
        <v>8.3615077833678448</v>
      </c>
      <c r="K27" s="330">
        <v>3.6815035279549813</v>
      </c>
      <c r="L27" s="330">
        <f t="shared" si="2"/>
        <v>12.043011311322825</v>
      </c>
      <c r="M27" s="236"/>
      <c r="N27" s="328">
        <f t="shared" si="3"/>
        <v>4.9120659466806105</v>
      </c>
      <c r="O27" s="328">
        <f t="shared" si="4"/>
        <v>-0.73496733689821792</v>
      </c>
      <c r="P27" s="327"/>
      <c r="Q27" s="328">
        <f t="shared" si="5"/>
        <v>2.2554558159910698</v>
      </c>
      <c r="R27" s="328">
        <f t="shared" si="6"/>
        <v>4.8007374430025784E-2</v>
      </c>
      <c r="S27" s="327"/>
      <c r="T27" s="328">
        <f t="shared" si="7"/>
        <v>4.1226804193179145</v>
      </c>
      <c r="U27" s="328">
        <f t="shared" si="8"/>
        <v>-0.50589225225016188</v>
      </c>
    </row>
    <row r="28" spans="1:21" x14ac:dyDescent="0.2">
      <c r="A28" s="329" t="str">
        <f>name!D23</f>
        <v>63 Community and civil enforcement occupations</v>
      </c>
      <c r="B28" s="330">
        <v>0.10416255809838562</v>
      </c>
      <c r="C28" s="330">
        <v>0.43060445043485929</v>
      </c>
      <c r="D28" s="330">
        <f t="shared" si="0"/>
        <v>0.53476700853324488</v>
      </c>
      <c r="E28" s="331"/>
      <c r="F28" s="330">
        <v>0.10520091659139465</v>
      </c>
      <c r="G28" s="330">
        <v>0.44936692571558245</v>
      </c>
      <c r="H28" s="330">
        <f t="shared" si="1"/>
        <v>0.55456784230697709</v>
      </c>
      <c r="I28" s="331"/>
      <c r="J28" s="330">
        <v>0.13700213842974718</v>
      </c>
      <c r="K28" s="330">
        <v>0.33729274031012874</v>
      </c>
      <c r="L28" s="330">
        <f>SUM(J28:K28)</f>
        <v>0.47429487873987591</v>
      </c>
      <c r="M28" s="236"/>
      <c r="N28" s="328">
        <f t="shared" si="3"/>
        <v>0.19858242698578277</v>
      </c>
      <c r="O28" s="328">
        <f t="shared" si="4"/>
        <v>1.7764241513161805</v>
      </c>
      <c r="P28" s="327"/>
      <c r="Q28" s="328">
        <f t="shared" si="5"/>
        <v>0.85664518790289357</v>
      </c>
      <c r="R28" s="328">
        <f t="shared" si="6"/>
        <v>-1.8944163184752449</v>
      </c>
      <c r="S28" s="327"/>
      <c r="T28" s="328">
        <f t="shared" si="7"/>
        <v>0.72981010636818944</v>
      </c>
      <c r="U28" s="328">
        <f t="shared" si="8"/>
        <v>-1.0369852633634991</v>
      </c>
    </row>
    <row r="29" spans="1:21" x14ac:dyDescent="0.2">
      <c r="A29" s="329" t="str">
        <f>name!D24</f>
        <v>71 Sales occupations</v>
      </c>
      <c r="B29" s="330">
        <v>24.929133926695201</v>
      </c>
      <c r="C29" s="330">
        <v>14.044391387097871</v>
      </c>
      <c r="D29" s="330">
        <f t="shared" si="0"/>
        <v>38.973525313793075</v>
      </c>
      <c r="E29" s="331"/>
      <c r="F29" s="330">
        <v>21.502087893397537</v>
      </c>
      <c r="G29" s="330">
        <v>13.252018050824308</v>
      </c>
      <c r="H29" s="330">
        <f t="shared" si="1"/>
        <v>34.754105944221848</v>
      </c>
      <c r="I29" s="331"/>
      <c r="J29" s="330">
        <v>19.983917462050208</v>
      </c>
      <c r="K29" s="330">
        <v>12.752165595877164</v>
      </c>
      <c r="L29" s="330">
        <f t="shared" si="2"/>
        <v>32.736083057927374</v>
      </c>
      <c r="M29" s="236"/>
      <c r="N29" s="328">
        <f t="shared" si="3"/>
        <v>-2.9144291827818414</v>
      </c>
      <c r="O29" s="328">
        <f t="shared" si="4"/>
        <v>-0.48695861712744204</v>
      </c>
      <c r="P29" s="327"/>
      <c r="Q29" s="328">
        <f t="shared" si="5"/>
        <v>-1.1547466262058159</v>
      </c>
      <c r="R29" s="328">
        <f t="shared" si="6"/>
        <v>-0.25599669296456629</v>
      </c>
      <c r="S29" s="327"/>
      <c r="T29" s="328">
        <f t="shared" si="7"/>
        <v>-2.2656371889221871</v>
      </c>
      <c r="U29" s="328">
        <f t="shared" si="8"/>
        <v>-0.39800448581284176</v>
      </c>
    </row>
    <row r="30" spans="1:21" x14ac:dyDescent="0.2">
      <c r="A30" s="329" t="str">
        <f>name!D25</f>
        <v>72 Customer service occupations</v>
      </c>
      <c r="B30" s="330">
        <v>4.9021277152472029</v>
      </c>
      <c r="C30" s="330">
        <v>2.4924191416543375</v>
      </c>
      <c r="D30" s="330">
        <f t="shared" si="0"/>
        <v>7.39454685690154</v>
      </c>
      <c r="E30" s="331"/>
      <c r="F30" s="330">
        <v>5.3894839884851731</v>
      </c>
      <c r="G30" s="330">
        <v>2.6838839080978922</v>
      </c>
      <c r="H30" s="330">
        <f t="shared" si="1"/>
        <v>8.0733678965830649</v>
      </c>
      <c r="I30" s="331"/>
      <c r="J30" s="330">
        <v>6.0195788952239262</v>
      </c>
      <c r="K30" s="330">
        <v>3.765836186236633</v>
      </c>
      <c r="L30" s="330">
        <f t="shared" si="2"/>
        <v>9.7854150814605596</v>
      </c>
      <c r="M30" s="236"/>
      <c r="N30" s="328">
        <f t="shared" si="3"/>
        <v>1.9136868164934429</v>
      </c>
      <c r="O30" s="328">
        <f t="shared" si="4"/>
        <v>0.73984113724383516</v>
      </c>
      <c r="P30" s="327"/>
      <c r="Q30" s="328">
        <f t="shared" si="5"/>
        <v>1.4912332292623898</v>
      </c>
      <c r="R30" s="328">
        <f t="shared" si="6"/>
        <v>2.2837196491412692</v>
      </c>
      <c r="S30" s="327"/>
      <c r="T30" s="328">
        <f t="shared" si="7"/>
        <v>1.7720764793354604</v>
      </c>
      <c r="U30" s="328">
        <f t="shared" si="8"/>
        <v>1.2904033636426115</v>
      </c>
    </row>
    <row r="31" spans="1:21" x14ac:dyDescent="0.2">
      <c r="A31" s="329" t="str">
        <f>name!D26</f>
        <v>81 Process, plant and machine operatives</v>
      </c>
      <c r="B31" s="330">
        <v>5.8951432008606313</v>
      </c>
      <c r="C31" s="330">
        <v>17.722854680346526</v>
      </c>
      <c r="D31" s="330">
        <f t="shared" si="0"/>
        <v>23.617997881207156</v>
      </c>
      <c r="E31" s="331"/>
      <c r="F31" s="330">
        <v>5.076471163918395</v>
      </c>
      <c r="G31" s="330">
        <v>15.042263098101182</v>
      </c>
      <c r="H31" s="330">
        <f t="shared" si="1"/>
        <v>20.118734262019579</v>
      </c>
      <c r="I31" s="331"/>
      <c r="J31" s="330">
        <v>6.0045443384178228</v>
      </c>
      <c r="K31" s="330">
        <v>12.983534455494516</v>
      </c>
      <c r="L31" s="330">
        <f t="shared" si="2"/>
        <v>18.988078793912337</v>
      </c>
      <c r="M31" s="236"/>
      <c r="N31" s="328">
        <f t="shared" si="3"/>
        <v>-2.9459835281104296</v>
      </c>
      <c r="O31" s="328">
        <f t="shared" si="4"/>
        <v>1.1256226891876997</v>
      </c>
      <c r="P31" s="327"/>
      <c r="Q31" s="328">
        <f t="shared" si="5"/>
        <v>-3.2266220277714308</v>
      </c>
      <c r="R31" s="328">
        <f t="shared" si="6"/>
        <v>-0.97641385317328577</v>
      </c>
      <c r="S31" s="327"/>
      <c r="T31" s="328">
        <f t="shared" si="7"/>
        <v>-3.1562684905209526</v>
      </c>
      <c r="U31" s="328">
        <f t="shared" si="8"/>
        <v>-0.38485807210871803</v>
      </c>
    </row>
    <row r="32" spans="1:21" x14ac:dyDescent="0.2">
      <c r="A32" s="329" t="str">
        <f>name!D27</f>
        <v>82 Transport and mobile machine drivers and operatives</v>
      </c>
      <c r="B32" s="330">
        <v>1.0538684963197411</v>
      </c>
      <c r="C32" s="330">
        <v>20.049945736740796</v>
      </c>
      <c r="D32" s="330">
        <f t="shared" si="0"/>
        <v>21.103814233060536</v>
      </c>
      <c r="E32" s="331"/>
      <c r="F32" s="330">
        <v>1.0473243439200661</v>
      </c>
      <c r="G32" s="330">
        <v>20.36301015732084</v>
      </c>
      <c r="H32" s="330">
        <f t="shared" si="1"/>
        <v>21.410334501240907</v>
      </c>
      <c r="I32" s="331"/>
      <c r="J32" s="330">
        <v>1.4041715459609718</v>
      </c>
      <c r="K32" s="330">
        <v>18.868271768730629</v>
      </c>
      <c r="L32" s="330">
        <f t="shared" si="2"/>
        <v>20.2724433146916</v>
      </c>
      <c r="M32" s="236"/>
      <c r="N32" s="328">
        <f t="shared" si="3"/>
        <v>-0.12450259215452952</v>
      </c>
      <c r="O32" s="328">
        <f t="shared" si="4"/>
        <v>1.9739552759340251</v>
      </c>
      <c r="P32" s="327"/>
      <c r="Q32" s="328">
        <f t="shared" si="5"/>
        <v>0.31035219890656052</v>
      </c>
      <c r="R32" s="328">
        <f t="shared" si="6"/>
        <v>-0.50696562529763955</v>
      </c>
      <c r="S32" s="327"/>
      <c r="T32" s="328">
        <f t="shared" si="7"/>
        <v>0.28881492085379712</v>
      </c>
      <c r="U32" s="328">
        <f t="shared" si="8"/>
        <v>-0.36341294700984461</v>
      </c>
    </row>
    <row r="33" spans="1:21" x14ac:dyDescent="0.2">
      <c r="A33" s="329" t="str">
        <f>name!D28</f>
        <v>91 Elementary trades and related occupations</v>
      </c>
      <c r="B33" s="330">
        <v>3.5849885049066348</v>
      </c>
      <c r="C33" s="330">
        <v>9.4527029206739357</v>
      </c>
      <c r="D33" s="330">
        <f t="shared" si="0"/>
        <v>13.03769142558057</v>
      </c>
      <c r="E33" s="331"/>
      <c r="F33" s="330">
        <v>2.5843866414394396</v>
      </c>
      <c r="G33" s="330">
        <v>8.0312358200201466</v>
      </c>
      <c r="H33" s="330">
        <f t="shared" si="1"/>
        <v>10.615622461459587</v>
      </c>
      <c r="I33" s="331"/>
      <c r="J33" s="330">
        <v>8.2609161580866992</v>
      </c>
      <c r="K33" s="330">
        <v>11.060397223068998</v>
      </c>
      <c r="L33" s="330">
        <f t="shared" si="2"/>
        <v>19.321313381155697</v>
      </c>
      <c r="M33" s="236"/>
      <c r="N33" s="328">
        <f t="shared" si="3"/>
        <v>-6.3357318666459994</v>
      </c>
      <c r="O33" s="328">
        <f t="shared" si="4"/>
        <v>8.0549620448545411</v>
      </c>
      <c r="P33" s="327"/>
      <c r="Q33" s="328">
        <f t="shared" si="5"/>
        <v>-3.2067050832338628</v>
      </c>
      <c r="R33" s="328">
        <f t="shared" si="6"/>
        <v>2.1564728724671633</v>
      </c>
      <c r="S33" s="327"/>
      <c r="T33" s="328">
        <f t="shared" si="7"/>
        <v>-4.0270258989486436</v>
      </c>
      <c r="U33" s="328">
        <f t="shared" si="8"/>
        <v>4.0733207095563051</v>
      </c>
    </row>
    <row r="34" spans="1:21" x14ac:dyDescent="0.2">
      <c r="A34" s="329" t="str">
        <f>name!D29</f>
        <v>92 Elementary administration and service occupations</v>
      </c>
      <c r="B34" s="330">
        <v>24.855252291053041</v>
      </c>
      <c r="C34" s="330">
        <v>26.656977716789939</v>
      </c>
      <c r="D34" s="330">
        <f t="shared" ref="D34" si="9">SUM(B34:C34)</f>
        <v>51.51223000784298</v>
      </c>
      <c r="E34" s="331"/>
      <c r="F34" s="330">
        <v>23.002987319970973</v>
      </c>
      <c r="G34" s="330">
        <v>23.239379638015816</v>
      </c>
      <c r="H34" s="330">
        <f t="shared" ref="H34" si="10">SUM(F34:G34)</f>
        <v>46.242366957986789</v>
      </c>
      <c r="I34" s="331"/>
      <c r="J34" s="330">
        <v>16.486394673113359</v>
      </c>
      <c r="K34" s="330">
        <v>20.469975902688379</v>
      </c>
      <c r="L34" s="330">
        <f t="shared" ref="L34" si="11">SUM(J34:K34)</f>
        <v>36.956370575801742</v>
      </c>
      <c r="M34" s="236"/>
      <c r="N34" s="328">
        <f t="shared" si="3"/>
        <v>-1.5369662184721355</v>
      </c>
      <c r="O34" s="328">
        <f t="shared" si="4"/>
        <v>-2.1961171407546831</v>
      </c>
      <c r="P34" s="327"/>
      <c r="Q34" s="328">
        <f t="shared" si="5"/>
        <v>-2.7067469853688131</v>
      </c>
      <c r="R34" s="328">
        <f t="shared" si="6"/>
        <v>-0.84235887677216459</v>
      </c>
      <c r="S34" s="327"/>
      <c r="T34" s="328">
        <f t="shared" si="7"/>
        <v>-2.1353288962586925</v>
      </c>
      <c r="U34" s="328">
        <f t="shared" si="8"/>
        <v>-1.4832785420225036</v>
      </c>
    </row>
    <row r="35" spans="1:21" x14ac:dyDescent="0.2">
      <c r="A35" s="329"/>
      <c r="B35" s="330"/>
      <c r="C35" s="330"/>
      <c r="D35" s="330"/>
      <c r="E35" s="331"/>
      <c r="F35" s="330"/>
      <c r="G35" s="330"/>
      <c r="H35" s="330"/>
      <c r="I35" s="331"/>
      <c r="J35" s="330"/>
      <c r="K35" s="330"/>
      <c r="L35" s="330"/>
      <c r="M35" s="236"/>
      <c r="N35" s="328"/>
      <c r="O35" s="328"/>
      <c r="P35" s="327"/>
      <c r="Q35" s="327"/>
      <c r="R35" s="327"/>
      <c r="S35" s="327"/>
      <c r="T35" s="327"/>
      <c r="U35" s="327"/>
    </row>
    <row r="36" spans="1:21" x14ac:dyDescent="0.2">
      <c r="A36" s="332" t="str">
        <f>name!D3</f>
        <v>All occupations</v>
      </c>
      <c r="B36" s="333">
        <f>SUM(B9:B34)</f>
        <v>234.12467763278963</v>
      </c>
      <c r="C36" s="333">
        <f t="shared" ref="C36:D36" si="12">SUM(C9:C34)</f>
        <v>267.48032236721031</v>
      </c>
      <c r="D36" s="333">
        <f t="shared" si="12"/>
        <v>501.6049999999999</v>
      </c>
      <c r="E36" s="333"/>
      <c r="F36" s="333">
        <f>SUM(F9:F34)</f>
        <v>245.36445191648173</v>
      </c>
      <c r="G36" s="333">
        <f t="shared" ref="G36:H36" si="13">SUM(G9:G34)</f>
        <v>269.48054808351867</v>
      </c>
      <c r="H36" s="333">
        <f t="shared" si="13"/>
        <v>514.84500000000037</v>
      </c>
      <c r="I36" s="333"/>
      <c r="J36" s="333">
        <f>SUM(J9:J34)</f>
        <v>258.03487424005647</v>
      </c>
      <c r="K36" s="333">
        <f t="shared" ref="K36:L36" si="14">SUM(K9:K34)</f>
        <v>274.87712575994351</v>
      </c>
      <c r="L36" s="333">
        <f t="shared" si="14"/>
        <v>532.91200000000003</v>
      </c>
      <c r="M36" s="258"/>
      <c r="N36" s="334">
        <f t="shared" si="3"/>
        <v>0.94222889258974707</v>
      </c>
      <c r="O36" s="334">
        <f>IF(F36&gt;0,(EXP(LN(J36/F36)/($J$6-$F$6))-1)*100,0)</f>
        <v>0.33623121456747285</v>
      </c>
      <c r="P36" s="335"/>
      <c r="Q36" s="334">
        <f t="shared" ref="Q36" si="15">IF(C36&gt;0,(EXP(LN(G36/C36)/($F$6-$B$6))-1)*100,0)</f>
        <v>0.14911521754659152</v>
      </c>
      <c r="R36" s="334">
        <f t="shared" ref="R36" si="16">IF(G36&gt;0,(EXP(LN(K36/G36)/($J$6-$F$6))-1)*100,0)</f>
        <v>0.13227388783982885</v>
      </c>
      <c r="S36" s="335"/>
      <c r="T36" s="334">
        <f t="shared" ref="T36" si="17">IF(D36&gt;0,(EXP(LN(H36/D36)/($F$6-$B$6))-1)*100,0)</f>
        <v>0.52241841326523542</v>
      </c>
      <c r="U36" s="334">
        <f t="shared" ref="U36" si="18">IF(H36&gt;0,(EXP(LN(L36/H36)/($J$6-$F$6))-1)*100,0)</f>
        <v>0.23020070827648453</v>
      </c>
    </row>
    <row r="37" spans="1:21" x14ac:dyDescent="0.2">
      <c r="A37" s="237"/>
      <c r="B37" s="238"/>
      <c r="C37" s="238"/>
      <c r="D37" s="238"/>
      <c r="E37" s="238"/>
      <c r="F37" s="238"/>
      <c r="G37" s="238"/>
      <c r="H37" s="238"/>
      <c r="I37" s="238"/>
      <c r="J37" s="238"/>
      <c r="K37" s="238"/>
      <c r="L37" s="239"/>
      <c r="M37" s="236"/>
    </row>
    <row r="38" spans="1:21" x14ac:dyDescent="0.2">
      <c r="A38" s="237"/>
      <c r="B38" s="237"/>
      <c r="C38" s="237"/>
      <c r="D38" s="237"/>
      <c r="E38" s="237"/>
      <c r="F38" s="237"/>
      <c r="G38" s="237"/>
      <c r="H38" s="237"/>
      <c r="I38" s="237"/>
      <c r="J38" s="237"/>
      <c r="K38" s="237"/>
      <c r="L38" s="284"/>
      <c r="M38" s="236"/>
    </row>
    <row r="39" spans="1:21" x14ac:dyDescent="0.2">
      <c r="A39" s="258"/>
      <c r="B39" s="241"/>
      <c r="C39" s="241"/>
      <c r="D39" s="241"/>
      <c r="E39" s="241"/>
      <c r="F39" s="241"/>
      <c r="G39" s="241"/>
      <c r="H39" s="241"/>
      <c r="I39" s="241"/>
      <c r="J39" s="241"/>
      <c r="K39" s="241"/>
      <c r="L39" s="236"/>
      <c r="M39" s="236"/>
    </row>
    <row r="40" spans="1:21" x14ac:dyDescent="0.2">
      <c r="A40" s="241"/>
      <c r="B40" s="375"/>
      <c r="C40" s="375"/>
      <c r="D40" s="375"/>
      <c r="E40" s="253"/>
      <c r="F40" s="375"/>
      <c r="G40" s="375"/>
      <c r="H40" s="375"/>
      <c r="I40" s="253"/>
      <c r="J40" s="375"/>
      <c r="K40" s="375"/>
      <c r="L40" s="375"/>
      <c r="M40" s="236"/>
    </row>
    <row r="41" spans="1:21" x14ac:dyDescent="0.2">
      <c r="A41" s="258"/>
      <c r="B41" s="259"/>
      <c r="C41" s="259"/>
      <c r="D41" s="259"/>
      <c r="E41" s="259"/>
      <c r="F41" s="259"/>
      <c r="G41" s="259"/>
      <c r="H41" s="259"/>
      <c r="I41" s="259"/>
      <c r="J41" s="259"/>
      <c r="K41" s="259"/>
      <c r="L41" s="259"/>
      <c r="M41" s="236"/>
    </row>
    <row r="42" spans="1:21" x14ac:dyDescent="0.2">
      <c r="A42" s="258"/>
      <c r="B42" s="259"/>
      <c r="C42" s="259"/>
      <c r="D42" s="259"/>
      <c r="E42" s="259"/>
      <c r="F42" s="259"/>
      <c r="G42" s="259"/>
      <c r="H42" s="259"/>
      <c r="I42" s="259"/>
      <c r="J42" s="259"/>
      <c r="K42" s="259"/>
      <c r="L42" s="259"/>
      <c r="M42" s="236"/>
    </row>
    <row r="43" spans="1:21" x14ac:dyDescent="0.2">
      <c r="A43" s="237"/>
      <c r="B43" s="322"/>
      <c r="C43" s="322"/>
      <c r="D43" s="322"/>
      <c r="E43" s="323"/>
      <c r="F43" s="322"/>
      <c r="G43" s="322"/>
      <c r="H43" s="322"/>
      <c r="I43" s="323"/>
      <c r="J43" s="322"/>
      <c r="K43" s="322"/>
      <c r="L43" s="322"/>
      <c r="M43" s="236"/>
    </row>
    <row r="44" spans="1:21" x14ac:dyDescent="0.2">
      <c r="A44" s="237"/>
      <c r="B44" s="322"/>
      <c r="C44" s="322"/>
      <c r="D44" s="322"/>
      <c r="E44" s="323"/>
      <c r="F44" s="322"/>
      <c r="G44" s="322"/>
      <c r="H44" s="322"/>
      <c r="I44" s="323"/>
      <c r="J44" s="322"/>
      <c r="K44" s="322"/>
      <c r="L44" s="322"/>
      <c r="M44" s="236"/>
    </row>
    <row r="45" spans="1:21" x14ac:dyDescent="0.2">
      <c r="A45" s="237"/>
      <c r="B45" s="322"/>
      <c r="C45" s="322"/>
      <c r="D45" s="322"/>
      <c r="E45" s="323"/>
      <c r="F45" s="322"/>
      <c r="G45" s="322"/>
      <c r="H45" s="322"/>
      <c r="I45" s="323"/>
      <c r="J45" s="322"/>
      <c r="K45" s="322"/>
      <c r="L45" s="322"/>
      <c r="M45" s="236"/>
    </row>
    <row r="46" spans="1:21" x14ac:dyDescent="0.2">
      <c r="A46" s="237"/>
      <c r="B46" s="322"/>
      <c r="C46" s="322"/>
      <c r="D46" s="322"/>
      <c r="E46" s="323"/>
      <c r="F46" s="322"/>
      <c r="G46" s="322"/>
      <c r="H46" s="322"/>
      <c r="I46" s="323"/>
      <c r="J46" s="322"/>
      <c r="K46" s="322"/>
      <c r="L46" s="322"/>
      <c r="M46" s="236"/>
    </row>
    <row r="47" spans="1:21" x14ac:dyDescent="0.2">
      <c r="A47" s="237"/>
      <c r="B47" s="322"/>
      <c r="C47" s="322"/>
      <c r="D47" s="322"/>
      <c r="E47" s="323"/>
      <c r="F47" s="322"/>
      <c r="G47" s="322"/>
      <c r="H47" s="322"/>
      <c r="I47" s="323"/>
      <c r="J47" s="322"/>
      <c r="K47" s="322"/>
      <c r="L47" s="322"/>
      <c r="M47" s="236"/>
    </row>
    <row r="48" spans="1:21" x14ac:dyDescent="0.2">
      <c r="A48" s="237"/>
      <c r="B48" s="322"/>
      <c r="C48" s="322"/>
      <c r="D48" s="322"/>
      <c r="E48" s="323"/>
      <c r="F48" s="322"/>
      <c r="G48" s="322"/>
      <c r="H48" s="322"/>
      <c r="I48" s="323"/>
      <c r="J48" s="322"/>
      <c r="K48" s="322"/>
      <c r="L48" s="322"/>
      <c r="M48" s="236"/>
    </row>
    <row r="49" spans="1:13" x14ac:dyDescent="0.2">
      <c r="A49" s="237"/>
      <c r="B49" s="322"/>
      <c r="C49" s="322"/>
      <c r="D49" s="322"/>
      <c r="E49" s="323"/>
      <c r="F49" s="322"/>
      <c r="G49" s="322"/>
      <c r="H49" s="322"/>
      <c r="I49" s="323"/>
      <c r="J49" s="322"/>
      <c r="K49" s="322"/>
      <c r="L49" s="322"/>
      <c r="M49" s="236"/>
    </row>
    <row r="50" spans="1:13" x14ac:dyDescent="0.2">
      <c r="A50" s="237"/>
      <c r="B50" s="322"/>
      <c r="C50" s="322"/>
      <c r="D50" s="322"/>
      <c r="E50" s="323"/>
      <c r="F50" s="322"/>
      <c r="G50" s="322"/>
      <c r="H50" s="322"/>
      <c r="I50" s="323"/>
      <c r="J50" s="322"/>
      <c r="K50" s="322"/>
      <c r="L50" s="322"/>
      <c r="M50" s="236"/>
    </row>
    <row r="51" spans="1:13" x14ac:dyDescent="0.2">
      <c r="A51" s="237"/>
      <c r="B51" s="322"/>
      <c r="C51" s="322"/>
      <c r="D51" s="322"/>
      <c r="E51" s="323"/>
      <c r="F51" s="322"/>
      <c r="G51" s="322"/>
      <c r="H51" s="322"/>
      <c r="I51" s="323"/>
      <c r="J51" s="322"/>
      <c r="K51" s="322"/>
      <c r="L51" s="322"/>
      <c r="M51" s="236"/>
    </row>
    <row r="52" spans="1:13" x14ac:dyDescent="0.2">
      <c r="A52" s="237"/>
      <c r="B52" s="322"/>
      <c r="C52" s="322"/>
      <c r="D52" s="322"/>
      <c r="E52" s="323"/>
      <c r="F52" s="322"/>
      <c r="G52" s="322"/>
      <c r="H52" s="322"/>
      <c r="I52" s="323"/>
      <c r="J52" s="322"/>
      <c r="K52" s="322"/>
      <c r="L52" s="322"/>
      <c r="M52" s="236"/>
    </row>
    <row r="53" spans="1:13" x14ac:dyDescent="0.2">
      <c r="A53" s="237"/>
      <c r="B53" s="323"/>
      <c r="C53" s="323"/>
      <c r="D53" s="323"/>
      <c r="E53" s="323"/>
      <c r="F53" s="323"/>
      <c r="G53" s="323"/>
      <c r="H53" s="323"/>
      <c r="I53" s="323"/>
      <c r="J53" s="323"/>
      <c r="K53" s="323"/>
      <c r="L53" s="323"/>
      <c r="M53" s="236"/>
    </row>
    <row r="54" spans="1:13" x14ac:dyDescent="0.2">
      <c r="A54" s="237"/>
      <c r="B54" s="237"/>
      <c r="C54" s="237"/>
      <c r="D54" s="237"/>
      <c r="E54" s="237"/>
      <c r="F54" s="237"/>
      <c r="G54" s="237"/>
      <c r="H54" s="237"/>
      <c r="I54" s="237"/>
      <c r="J54" s="237"/>
      <c r="K54" s="237"/>
      <c r="L54" s="240"/>
      <c r="M54" s="236"/>
    </row>
    <row r="55" spans="1:13" x14ac:dyDescent="0.2">
      <c r="A55" s="237"/>
      <c r="B55" s="237"/>
      <c r="C55" s="237"/>
      <c r="D55" s="237"/>
      <c r="E55" s="237"/>
      <c r="F55" s="237"/>
      <c r="G55" s="237"/>
      <c r="H55" s="237"/>
      <c r="I55" s="237"/>
      <c r="J55" s="237"/>
      <c r="K55" s="237"/>
      <c r="L55" s="284"/>
      <c r="M55" s="236"/>
    </row>
    <row r="56" spans="1:13" x14ac:dyDescent="0.2">
      <c r="A56" s="258"/>
      <c r="B56" s="241"/>
      <c r="C56" s="241"/>
      <c r="D56" s="241"/>
      <c r="E56" s="241"/>
      <c r="F56" s="241"/>
      <c r="G56" s="241"/>
      <c r="H56" s="241"/>
      <c r="I56" s="241"/>
      <c r="J56" s="241"/>
      <c r="K56" s="241"/>
      <c r="L56" s="236"/>
      <c r="M56" s="236"/>
    </row>
    <row r="57" spans="1:13" x14ac:dyDescent="0.2">
      <c r="A57" s="241"/>
      <c r="B57" s="375"/>
      <c r="C57" s="375"/>
      <c r="D57" s="375"/>
      <c r="E57" s="253"/>
      <c r="F57" s="375"/>
      <c r="G57" s="375"/>
      <c r="H57" s="375"/>
      <c r="I57" s="253"/>
      <c r="J57" s="375"/>
      <c r="K57" s="375"/>
      <c r="L57" s="375"/>
      <c r="M57" s="236"/>
    </row>
    <row r="58" spans="1:13" x14ac:dyDescent="0.2">
      <c r="A58" s="258"/>
      <c r="B58" s="259"/>
      <c r="C58" s="259"/>
      <c r="D58" s="259"/>
      <c r="E58" s="259"/>
      <c r="F58" s="259"/>
      <c r="G58" s="259"/>
      <c r="H58" s="259"/>
      <c r="I58" s="259"/>
      <c r="J58" s="259"/>
      <c r="K58" s="259"/>
      <c r="L58" s="259"/>
      <c r="M58" s="236"/>
    </row>
    <row r="59" spans="1:13" x14ac:dyDescent="0.2">
      <c r="A59" s="258"/>
      <c r="B59" s="259"/>
      <c r="C59" s="259"/>
      <c r="D59" s="259"/>
      <c r="E59" s="259"/>
      <c r="F59" s="259"/>
      <c r="G59" s="259"/>
      <c r="H59" s="259"/>
      <c r="I59" s="259"/>
      <c r="J59" s="259"/>
      <c r="K59" s="259"/>
      <c r="L59" s="259"/>
      <c r="M59" s="236"/>
    </row>
    <row r="60" spans="1:13" x14ac:dyDescent="0.2">
      <c r="A60" s="237"/>
      <c r="B60" s="302"/>
      <c r="C60" s="302"/>
      <c r="D60" s="302"/>
      <c r="E60" s="303"/>
      <c r="F60" s="302"/>
      <c r="G60" s="302"/>
      <c r="H60" s="302"/>
      <c r="I60" s="303"/>
      <c r="J60" s="302"/>
      <c r="K60" s="302"/>
      <c r="L60" s="302"/>
      <c r="M60" s="236"/>
    </row>
    <row r="61" spans="1:13" x14ac:dyDescent="0.2">
      <c r="A61" s="237"/>
      <c r="B61" s="302"/>
      <c r="C61" s="302"/>
      <c r="D61" s="302"/>
      <c r="E61" s="303"/>
      <c r="F61" s="302"/>
      <c r="G61" s="302"/>
      <c r="H61" s="302"/>
      <c r="I61" s="303"/>
      <c r="J61" s="302"/>
      <c r="K61" s="302"/>
      <c r="L61" s="302"/>
      <c r="M61" s="236"/>
    </row>
    <row r="62" spans="1:13" x14ac:dyDescent="0.2">
      <c r="A62" s="237"/>
      <c r="B62" s="302"/>
      <c r="C62" s="302"/>
      <c r="D62" s="302"/>
      <c r="E62" s="303"/>
      <c r="F62" s="302"/>
      <c r="G62" s="302"/>
      <c r="H62" s="302"/>
      <c r="I62" s="303"/>
      <c r="J62" s="302"/>
      <c r="K62" s="302"/>
      <c r="L62" s="302"/>
      <c r="M62" s="236"/>
    </row>
    <row r="63" spans="1:13" x14ac:dyDescent="0.2">
      <c r="A63" s="237"/>
      <c r="B63" s="302"/>
      <c r="C63" s="302"/>
      <c r="D63" s="302"/>
      <c r="E63" s="303"/>
      <c r="F63" s="302"/>
      <c r="G63" s="302"/>
      <c r="H63" s="302"/>
      <c r="I63" s="303"/>
      <c r="J63" s="302"/>
      <c r="K63" s="302"/>
      <c r="L63" s="302"/>
      <c r="M63" s="236"/>
    </row>
    <row r="64" spans="1:13" x14ac:dyDescent="0.2">
      <c r="A64" s="237"/>
      <c r="B64" s="302"/>
      <c r="C64" s="302"/>
      <c r="D64" s="302"/>
      <c r="E64" s="303"/>
      <c r="F64" s="302"/>
      <c r="G64" s="302"/>
      <c r="H64" s="302"/>
      <c r="I64" s="303"/>
      <c r="J64" s="302"/>
      <c r="K64" s="302"/>
      <c r="L64" s="302"/>
      <c r="M64" s="236"/>
    </row>
    <row r="65" spans="1:13" x14ac:dyDescent="0.2">
      <c r="A65" s="237"/>
      <c r="B65" s="302"/>
      <c r="C65" s="302"/>
      <c r="D65" s="302"/>
      <c r="E65" s="303"/>
      <c r="F65" s="302"/>
      <c r="G65" s="302"/>
      <c r="H65" s="302"/>
      <c r="I65" s="303"/>
      <c r="J65" s="302"/>
      <c r="K65" s="302"/>
      <c r="L65" s="302"/>
      <c r="M65" s="236"/>
    </row>
    <row r="66" spans="1:13" x14ac:dyDescent="0.2">
      <c r="A66" s="237"/>
      <c r="B66" s="302"/>
      <c r="C66" s="302"/>
      <c r="D66" s="302"/>
      <c r="E66" s="303"/>
      <c r="F66" s="302"/>
      <c r="G66" s="302"/>
      <c r="H66" s="302"/>
      <c r="I66" s="303"/>
      <c r="J66" s="302"/>
      <c r="K66" s="302"/>
      <c r="L66" s="302"/>
      <c r="M66" s="236"/>
    </row>
    <row r="67" spans="1:13" x14ac:dyDescent="0.2">
      <c r="A67" s="237"/>
      <c r="B67" s="302"/>
      <c r="C67" s="302"/>
      <c r="D67" s="302"/>
      <c r="E67" s="303"/>
      <c r="F67" s="302"/>
      <c r="G67" s="302"/>
      <c r="H67" s="302"/>
      <c r="I67" s="303"/>
      <c r="J67" s="302"/>
      <c r="K67" s="302"/>
      <c r="L67" s="302"/>
      <c r="M67" s="236"/>
    </row>
    <row r="68" spans="1:13" x14ac:dyDescent="0.2">
      <c r="A68" s="237"/>
      <c r="B68" s="302"/>
      <c r="C68" s="302"/>
      <c r="D68" s="302"/>
      <c r="E68" s="303"/>
      <c r="F68" s="302"/>
      <c r="G68" s="302"/>
      <c r="H68" s="302"/>
      <c r="I68" s="303"/>
      <c r="J68" s="302"/>
      <c r="K68" s="302"/>
      <c r="L68" s="302"/>
      <c r="M68" s="236"/>
    </row>
    <row r="69" spans="1:13" x14ac:dyDescent="0.2">
      <c r="A69" s="237"/>
      <c r="B69" s="302"/>
      <c r="C69" s="302"/>
      <c r="D69" s="302"/>
      <c r="E69" s="303"/>
      <c r="F69" s="302"/>
      <c r="G69" s="302"/>
      <c r="H69" s="302"/>
      <c r="I69" s="303"/>
      <c r="J69" s="302"/>
      <c r="K69" s="302"/>
      <c r="L69" s="302"/>
      <c r="M69" s="236"/>
    </row>
    <row r="70" spans="1:13" x14ac:dyDescent="0.2">
      <c r="A70" s="237"/>
      <c r="B70" s="303"/>
      <c r="C70" s="303"/>
      <c r="D70" s="303"/>
      <c r="E70" s="303"/>
      <c r="F70" s="303"/>
      <c r="G70" s="303"/>
      <c r="H70" s="303"/>
      <c r="I70" s="303"/>
      <c r="J70" s="303"/>
      <c r="K70" s="303"/>
      <c r="L70" s="303"/>
      <c r="M70" s="236"/>
    </row>
    <row r="71" spans="1:13" x14ac:dyDescent="0.2">
      <c r="A71" s="237"/>
      <c r="B71" s="237"/>
      <c r="C71" s="237"/>
      <c r="D71" s="237"/>
      <c r="E71" s="237"/>
      <c r="F71" s="237"/>
      <c r="G71" s="237"/>
      <c r="H71" s="237"/>
      <c r="I71" s="237"/>
      <c r="J71" s="237"/>
      <c r="K71" s="237"/>
      <c r="L71" s="240"/>
      <c r="M71" s="236"/>
    </row>
    <row r="72" spans="1:13" x14ac:dyDescent="0.2">
      <c r="A72" s="237"/>
      <c r="B72" s="237"/>
      <c r="C72" s="237"/>
      <c r="D72" s="237"/>
      <c r="E72" s="237"/>
      <c r="F72" s="237"/>
      <c r="G72" s="237"/>
      <c r="H72" s="237"/>
      <c r="I72" s="237"/>
      <c r="J72" s="237"/>
      <c r="K72" s="237"/>
      <c r="L72" s="284"/>
      <c r="M72" s="236"/>
    </row>
    <row r="73" spans="1:13" x14ac:dyDescent="0.2">
      <c r="A73" s="258"/>
      <c r="B73" s="241"/>
      <c r="C73" s="241"/>
      <c r="D73" s="241"/>
      <c r="E73" s="241"/>
      <c r="F73" s="241"/>
      <c r="G73" s="241"/>
      <c r="H73" s="241"/>
      <c r="I73" s="241"/>
      <c r="J73" s="241"/>
      <c r="K73" s="241"/>
      <c r="L73" s="236"/>
      <c r="M73" s="236"/>
    </row>
    <row r="74" spans="1:13" x14ac:dyDescent="0.2">
      <c r="A74" s="241"/>
      <c r="B74" s="375"/>
      <c r="C74" s="375"/>
      <c r="D74" s="375"/>
      <c r="E74" s="253"/>
      <c r="F74" s="375"/>
      <c r="G74" s="375"/>
      <c r="H74" s="375"/>
      <c r="I74" s="253"/>
      <c r="J74" s="375"/>
      <c r="K74" s="375"/>
      <c r="L74" s="375"/>
      <c r="M74" s="236"/>
    </row>
    <row r="75" spans="1:13" x14ac:dyDescent="0.2">
      <c r="A75" s="258"/>
      <c r="B75" s="259"/>
      <c r="C75" s="259"/>
      <c r="D75" s="259"/>
      <c r="E75" s="259"/>
      <c r="F75" s="259"/>
      <c r="G75" s="259"/>
      <c r="H75" s="259"/>
      <c r="I75" s="259"/>
      <c r="J75" s="259"/>
      <c r="K75" s="259"/>
      <c r="L75" s="259"/>
      <c r="M75" s="236"/>
    </row>
    <row r="76" spans="1:13" x14ac:dyDescent="0.2">
      <c r="A76" s="258"/>
      <c r="B76" s="259"/>
      <c r="C76" s="259"/>
      <c r="D76" s="259"/>
      <c r="E76" s="259"/>
      <c r="F76" s="259"/>
      <c r="G76" s="259"/>
      <c r="H76" s="259"/>
      <c r="I76" s="259"/>
      <c r="J76" s="259"/>
      <c r="K76" s="259"/>
      <c r="L76" s="259"/>
      <c r="M76" s="236"/>
    </row>
    <row r="77" spans="1:13" x14ac:dyDescent="0.2">
      <c r="A77" s="237"/>
      <c r="B77" s="302"/>
      <c r="C77" s="302"/>
      <c r="D77" s="302"/>
      <c r="E77" s="303"/>
      <c r="F77" s="302"/>
      <c r="G77" s="302"/>
      <c r="H77" s="302"/>
      <c r="I77" s="303"/>
      <c r="J77" s="302"/>
      <c r="K77" s="302"/>
      <c r="L77" s="302"/>
      <c r="M77" s="236"/>
    </row>
    <row r="78" spans="1:13" x14ac:dyDescent="0.2">
      <c r="A78" s="237"/>
      <c r="B78" s="302"/>
      <c r="C78" s="302"/>
      <c r="D78" s="302"/>
      <c r="E78" s="303"/>
      <c r="F78" s="302"/>
      <c r="G78" s="302"/>
      <c r="H78" s="302"/>
      <c r="I78" s="303"/>
      <c r="J78" s="302"/>
      <c r="K78" s="302"/>
      <c r="L78" s="302"/>
      <c r="M78" s="236"/>
    </row>
    <row r="79" spans="1:13" x14ac:dyDescent="0.2">
      <c r="A79" s="237"/>
      <c r="B79" s="302"/>
      <c r="C79" s="302"/>
      <c r="D79" s="302"/>
      <c r="E79" s="303"/>
      <c r="F79" s="302"/>
      <c r="G79" s="302"/>
      <c r="H79" s="302"/>
      <c r="I79" s="303"/>
      <c r="J79" s="302"/>
      <c r="K79" s="302"/>
      <c r="L79" s="302"/>
      <c r="M79" s="236"/>
    </row>
    <row r="80" spans="1:13" x14ac:dyDescent="0.2">
      <c r="A80" s="237"/>
      <c r="B80" s="302"/>
      <c r="C80" s="302"/>
      <c r="D80" s="302"/>
      <c r="E80" s="303"/>
      <c r="F80" s="302"/>
      <c r="G80" s="302"/>
      <c r="H80" s="302"/>
      <c r="I80" s="303"/>
      <c r="J80" s="302"/>
      <c r="K80" s="302"/>
      <c r="L80" s="302"/>
      <c r="M80" s="236"/>
    </row>
    <row r="81" spans="1:13" x14ac:dyDescent="0.2">
      <c r="A81" s="237"/>
      <c r="B81" s="302"/>
      <c r="C81" s="302"/>
      <c r="D81" s="302"/>
      <c r="E81" s="303"/>
      <c r="F81" s="302"/>
      <c r="G81" s="302"/>
      <c r="H81" s="302"/>
      <c r="I81" s="303"/>
      <c r="J81" s="302"/>
      <c r="K81" s="302"/>
      <c r="L81" s="302"/>
      <c r="M81" s="236"/>
    </row>
    <row r="82" spans="1:13" x14ac:dyDescent="0.2">
      <c r="A82" s="237"/>
      <c r="B82" s="302"/>
      <c r="C82" s="302"/>
      <c r="D82" s="302"/>
      <c r="E82" s="303"/>
      <c r="F82" s="302"/>
      <c r="G82" s="302"/>
      <c r="H82" s="302"/>
      <c r="I82" s="303"/>
      <c r="J82" s="302"/>
      <c r="K82" s="302"/>
      <c r="L82" s="302"/>
      <c r="M82" s="236"/>
    </row>
    <row r="83" spans="1:13" x14ac:dyDescent="0.2">
      <c r="A83" s="237"/>
      <c r="B83" s="302"/>
      <c r="C83" s="302"/>
      <c r="D83" s="302"/>
      <c r="E83" s="303"/>
      <c r="F83" s="302"/>
      <c r="G83" s="302"/>
      <c r="H83" s="302"/>
      <c r="I83" s="303"/>
      <c r="J83" s="302"/>
      <c r="K83" s="302"/>
      <c r="L83" s="302"/>
      <c r="M83" s="236"/>
    </row>
    <row r="84" spans="1:13" x14ac:dyDescent="0.2">
      <c r="A84" s="237"/>
      <c r="B84" s="302"/>
      <c r="C84" s="302"/>
      <c r="D84" s="302"/>
      <c r="E84" s="303"/>
      <c r="F84" s="302"/>
      <c r="G84" s="302"/>
      <c r="H84" s="302"/>
      <c r="I84" s="303"/>
      <c r="J84" s="302"/>
      <c r="K84" s="302"/>
      <c r="L84" s="302"/>
      <c r="M84" s="236"/>
    </row>
    <row r="85" spans="1:13" x14ac:dyDescent="0.2">
      <c r="A85" s="237"/>
      <c r="B85" s="302"/>
      <c r="C85" s="302"/>
      <c r="D85" s="302"/>
      <c r="E85" s="303"/>
      <c r="F85" s="302"/>
      <c r="G85" s="302"/>
      <c r="H85" s="302"/>
      <c r="I85" s="303"/>
      <c r="J85" s="302"/>
      <c r="K85" s="302"/>
      <c r="L85" s="302"/>
      <c r="M85" s="236"/>
    </row>
    <row r="86" spans="1:13" x14ac:dyDescent="0.2">
      <c r="A86" s="237"/>
      <c r="B86" s="302"/>
      <c r="C86" s="302"/>
      <c r="D86" s="302"/>
      <c r="E86" s="303"/>
      <c r="F86" s="302"/>
      <c r="G86" s="302"/>
      <c r="H86" s="302"/>
      <c r="I86" s="303"/>
      <c r="J86" s="302"/>
      <c r="K86" s="302"/>
      <c r="L86" s="302"/>
      <c r="M86" s="236"/>
    </row>
    <row r="87" spans="1:13" x14ac:dyDescent="0.2">
      <c r="A87" s="237"/>
      <c r="B87" s="303"/>
      <c r="C87" s="303"/>
      <c r="D87" s="303"/>
      <c r="E87" s="303"/>
      <c r="F87" s="303"/>
      <c r="G87" s="303"/>
      <c r="H87" s="303"/>
      <c r="I87" s="303"/>
      <c r="J87" s="303"/>
      <c r="K87" s="303"/>
      <c r="L87" s="303"/>
      <c r="M87" s="236"/>
    </row>
    <row r="88" spans="1:13" x14ac:dyDescent="0.2">
      <c r="A88" s="237"/>
      <c r="B88" s="237"/>
      <c r="C88" s="237"/>
      <c r="D88" s="237"/>
      <c r="E88" s="237"/>
      <c r="F88" s="237"/>
      <c r="G88" s="237"/>
      <c r="H88" s="237"/>
      <c r="I88" s="237"/>
      <c r="J88" s="237"/>
      <c r="K88" s="237"/>
      <c r="L88" s="240"/>
      <c r="M88" s="236"/>
    </row>
    <row r="89" spans="1:13" x14ac:dyDescent="0.2">
      <c r="A89" s="237"/>
      <c r="B89" s="237"/>
      <c r="C89" s="237"/>
      <c r="D89" s="237"/>
      <c r="E89" s="237"/>
      <c r="F89" s="237"/>
      <c r="G89" s="237"/>
      <c r="H89" s="237"/>
      <c r="I89" s="237"/>
      <c r="J89" s="237"/>
      <c r="K89" s="237"/>
      <c r="L89" s="284"/>
      <c r="M89" s="236"/>
    </row>
    <row r="90" spans="1:13" x14ac:dyDescent="0.2">
      <c r="A90" s="258"/>
      <c r="B90" s="241"/>
      <c r="C90" s="241"/>
      <c r="D90" s="241"/>
      <c r="E90" s="241"/>
      <c r="F90" s="241"/>
      <c r="G90" s="241"/>
      <c r="H90" s="241"/>
      <c r="I90" s="241"/>
      <c r="J90" s="241"/>
      <c r="K90" s="241"/>
      <c r="L90" s="236"/>
      <c r="M90" s="236"/>
    </row>
    <row r="91" spans="1:13" x14ac:dyDescent="0.2">
      <c r="A91" s="241"/>
      <c r="B91" s="375"/>
      <c r="C91" s="375"/>
      <c r="D91" s="375"/>
      <c r="E91" s="253"/>
      <c r="F91" s="375"/>
      <c r="G91" s="375"/>
      <c r="H91" s="375"/>
      <c r="I91" s="253"/>
      <c r="J91" s="375"/>
      <c r="K91" s="375"/>
      <c r="L91" s="375"/>
      <c r="M91" s="236"/>
    </row>
    <row r="92" spans="1:13" x14ac:dyDescent="0.2">
      <c r="A92" s="258"/>
      <c r="B92" s="259"/>
      <c r="C92" s="259"/>
      <c r="D92" s="259"/>
      <c r="E92" s="259"/>
      <c r="F92" s="259"/>
      <c r="G92" s="259"/>
      <c r="H92" s="259"/>
      <c r="I92" s="259"/>
      <c r="J92" s="259"/>
      <c r="K92" s="259"/>
      <c r="L92" s="259"/>
      <c r="M92" s="236"/>
    </row>
    <row r="93" spans="1:13" x14ac:dyDescent="0.2">
      <c r="A93" s="258"/>
      <c r="B93" s="259"/>
      <c r="C93" s="259"/>
      <c r="D93" s="259"/>
      <c r="E93" s="259"/>
      <c r="F93" s="259"/>
      <c r="G93" s="259"/>
      <c r="H93" s="259"/>
      <c r="I93" s="259"/>
      <c r="J93" s="259"/>
      <c r="K93" s="259"/>
      <c r="L93" s="259"/>
      <c r="M93" s="236"/>
    </row>
    <row r="94" spans="1:13" x14ac:dyDescent="0.2">
      <c r="A94" s="237"/>
      <c r="B94" s="302"/>
      <c r="C94" s="302"/>
      <c r="D94" s="302"/>
      <c r="E94" s="303"/>
      <c r="F94" s="302"/>
      <c r="G94" s="302"/>
      <c r="H94" s="302"/>
      <c r="I94" s="303"/>
      <c r="J94" s="302"/>
      <c r="K94" s="302"/>
      <c r="L94" s="302"/>
      <c r="M94" s="236"/>
    </row>
    <row r="95" spans="1:13" x14ac:dyDescent="0.2">
      <c r="A95" s="237"/>
      <c r="B95" s="302"/>
      <c r="C95" s="302"/>
      <c r="D95" s="302"/>
      <c r="E95" s="303"/>
      <c r="F95" s="302"/>
      <c r="G95" s="302"/>
      <c r="H95" s="302"/>
      <c r="I95" s="303"/>
      <c r="J95" s="302"/>
      <c r="K95" s="302"/>
      <c r="L95" s="302"/>
      <c r="M95" s="236"/>
    </row>
    <row r="96" spans="1:13" x14ac:dyDescent="0.2">
      <c r="A96" s="237"/>
      <c r="B96" s="302"/>
      <c r="C96" s="302"/>
      <c r="D96" s="302"/>
      <c r="E96" s="303"/>
      <c r="F96" s="302"/>
      <c r="G96" s="302"/>
      <c r="H96" s="302"/>
      <c r="I96" s="303"/>
      <c r="J96" s="302"/>
      <c r="K96" s="302"/>
      <c r="L96" s="302"/>
      <c r="M96" s="236"/>
    </row>
    <row r="97" spans="1:13" x14ac:dyDescent="0.2">
      <c r="A97" s="237"/>
      <c r="B97" s="302"/>
      <c r="C97" s="302"/>
      <c r="D97" s="302"/>
      <c r="E97" s="303"/>
      <c r="F97" s="302"/>
      <c r="G97" s="302"/>
      <c r="H97" s="302"/>
      <c r="I97" s="303"/>
      <c r="J97" s="302"/>
      <c r="K97" s="302"/>
      <c r="L97" s="302"/>
      <c r="M97" s="236"/>
    </row>
    <row r="98" spans="1:13" x14ac:dyDescent="0.2">
      <c r="A98" s="237"/>
      <c r="B98" s="302"/>
      <c r="C98" s="302"/>
      <c r="D98" s="302"/>
      <c r="E98" s="303"/>
      <c r="F98" s="302"/>
      <c r="G98" s="302"/>
      <c r="H98" s="302"/>
      <c r="I98" s="303"/>
      <c r="J98" s="302"/>
      <c r="K98" s="302"/>
      <c r="L98" s="302"/>
      <c r="M98" s="236"/>
    </row>
    <row r="99" spans="1:13" x14ac:dyDescent="0.2">
      <c r="A99" s="237"/>
      <c r="B99" s="302"/>
      <c r="C99" s="302"/>
      <c r="D99" s="302"/>
      <c r="E99" s="303"/>
      <c r="F99" s="302"/>
      <c r="G99" s="302"/>
      <c r="H99" s="302"/>
      <c r="I99" s="303"/>
      <c r="J99" s="302"/>
      <c r="K99" s="302"/>
      <c r="L99" s="302"/>
      <c r="M99" s="236"/>
    </row>
    <row r="100" spans="1:13" x14ac:dyDescent="0.2">
      <c r="A100" s="237"/>
      <c r="B100" s="302"/>
      <c r="C100" s="302"/>
      <c r="D100" s="302"/>
      <c r="E100" s="303"/>
      <c r="F100" s="302"/>
      <c r="G100" s="302"/>
      <c r="H100" s="302"/>
      <c r="I100" s="303"/>
      <c r="J100" s="302"/>
      <c r="K100" s="302"/>
      <c r="L100" s="302"/>
      <c r="M100" s="236"/>
    </row>
    <row r="101" spans="1:13" x14ac:dyDescent="0.2">
      <c r="A101" s="237"/>
      <c r="B101" s="302"/>
      <c r="C101" s="302"/>
      <c r="D101" s="302"/>
      <c r="E101" s="303"/>
      <c r="F101" s="302"/>
      <c r="G101" s="302"/>
      <c r="H101" s="302"/>
      <c r="I101" s="303"/>
      <c r="J101" s="302"/>
      <c r="K101" s="302"/>
      <c r="L101" s="302"/>
      <c r="M101" s="236"/>
    </row>
    <row r="102" spans="1:13" x14ac:dyDescent="0.2">
      <c r="A102" s="237"/>
      <c r="B102" s="302"/>
      <c r="C102" s="302"/>
      <c r="D102" s="302"/>
      <c r="E102" s="303"/>
      <c r="F102" s="302"/>
      <c r="G102" s="302"/>
      <c r="H102" s="302"/>
      <c r="I102" s="303"/>
      <c r="J102" s="302"/>
      <c r="K102" s="302"/>
      <c r="L102" s="302"/>
      <c r="M102" s="236"/>
    </row>
    <row r="103" spans="1:13" x14ac:dyDescent="0.2">
      <c r="A103" s="237"/>
      <c r="B103" s="302"/>
      <c r="C103" s="302"/>
      <c r="D103" s="302"/>
      <c r="E103" s="303"/>
      <c r="F103" s="302"/>
      <c r="G103" s="302"/>
      <c r="H103" s="302"/>
      <c r="I103" s="303"/>
      <c r="J103" s="302"/>
      <c r="K103" s="302"/>
      <c r="L103" s="302"/>
      <c r="M103" s="236"/>
    </row>
    <row r="104" spans="1:13" x14ac:dyDescent="0.2">
      <c r="A104" s="237"/>
      <c r="B104" s="303"/>
      <c r="C104" s="303"/>
      <c r="D104" s="303"/>
      <c r="E104" s="303"/>
      <c r="F104" s="303"/>
      <c r="G104" s="303"/>
      <c r="H104" s="303"/>
      <c r="I104" s="303"/>
      <c r="J104" s="303"/>
      <c r="K104" s="303"/>
      <c r="L104" s="303"/>
      <c r="M104" s="236"/>
    </row>
    <row r="105" spans="1:13" x14ac:dyDescent="0.2">
      <c r="A105" s="237"/>
      <c r="B105" s="237"/>
      <c r="C105" s="237"/>
      <c r="D105" s="237"/>
      <c r="E105" s="237"/>
      <c r="F105" s="237"/>
      <c r="G105" s="237"/>
      <c r="H105" s="237"/>
      <c r="I105" s="237"/>
      <c r="J105" s="237"/>
      <c r="K105" s="237"/>
      <c r="L105" s="240"/>
      <c r="M105" s="236"/>
    </row>
    <row r="106" spans="1:13" x14ac:dyDescent="0.2">
      <c r="A106" s="237"/>
      <c r="B106" s="237"/>
      <c r="C106" s="237"/>
      <c r="D106" s="237"/>
      <c r="E106" s="237"/>
      <c r="F106" s="237"/>
      <c r="G106" s="237"/>
      <c r="H106" s="237"/>
      <c r="I106" s="237"/>
      <c r="J106" s="237"/>
      <c r="K106" s="237"/>
      <c r="L106" s="284"/>
      <c r="M106" s="236"/>
    </row>
    <row r="107" spans="1:13" x14ac:dyDescent="0.2">
      <c r="A107" s="258"/>
      <c r="B107" s="241"/>
      <c r="C107" s="241"/>
      <c r="D107" s="241"/>
      <c r="E107" s="241"/>
      <c r="F107" s="241"/>
      <c r="G107" s="241"/>
      <c r="H107" s="241"/>
      <c r="I107" s="241"/>
      <c r="J107" s="241"/>
      <c r="K107" s="241"/>
      <c r="L107" s="236"/>
      <c r="M107" s="236"/>
    </row>
    <row r="108" spans="1:13" x14ac:dyDescent="0.2">
      <c r="A108" s="241"/>
      <c r="B108" s="375"/>
      <c r="C108" s="375"/>
      <c r="D108" s="375"/>
      <c r="E108" s="253"/>
      <c r="F108" s="375"/>
      <c r="G108" s="375"/>
      <c r="H108" s="375"/>
      <c r="I108" s="253"/>
      <c r="J108" s="375"/>
      <c r="K108" s="375"/>
      <c r="L108" s="375"/>
      <c r="M108" s="236"/>
    </row>
    <row r="109" spans="1:13" x14ac:dyDescent="0.2">
      <c r="A109" s="258"/>
      <c r="B109" s="259"/>
      <c r="C109" s="259"/>
      <c r="D109" s="259"/>
      <c r="E109" s="259"/>
      <c r="F109" s="259"/>
      <c r="G109" s="259"/>
      <c r="H109" s="259"/>
      <c r="I109" s="259"/>
      <c r="J109" s="259"/>
      <c r="K109" s="259"/>
      <c r="L109" s="259"/>
      <c r="M109" s="236"/>
    </row>
    <row r="110" spans="1:13" x14ac:dyDescent="0.2">
      <c r="A110" s="258"/>
      <c r="B110" s="259"/>
      <c r="C110" s="259"/>
      <c r="D110" s="259"/>
      <c r="E110" s="259"/>
      <c r="F110" s="259"/>
      <c r="G110" s="259"/>
      <c r="H110" s="259"/>
      <c r="I110" s="259"/>
      <c r="J110" s="259"/>
      <c r="K110" s="259"/>
      <c r="L110" s="259"/>
      <c r="M110" s="236"/>
    </row>
    <row r="111" spans="1:13" x14ac:dyDescent="0.2">
      <c r="A111" s="237"/>
      <c r="B111" s="302"/>
      <c r="C111" s="302"/>
      <c r="D111" s="302"/>
      <c r="E111" s="303"/>
      <c r="F111" s="302"/>
      <c r="G111" s="302"/>
      <c r="H111" s="302"/>
      <c r="I111" s="303"/>
      <c r="J111" s="302"/>
      <c r="K111" s="302"/>
      <c r="L111" s="302"/>
      <c r="M111" s="236"/>
    </row>
    <row r="112" spans="1:13" x14ac:dyDescent="0.2">
      <c r="A112" s="237"/>
      <c r="B112" s="302"/>
      <c r="C112" s="302"/>
      <c r="D112" s="302"/>
      <c r="E112" s="303"/>
      <c r="F112" s="302"/>
      <c r="G112" s="302"/>
      <c r="H112" s="302"/>
      <c r="I112" s="303"/>
      <c r="J112" s="302"/>
      <c r="K112" s="302"/>
      <c r="L112" s="302"/>
      <c r="M112" s="236"/>
    </row>
    <row r="113" spans="1:13" x14ac:dyDescent="0.2">
      <c r="A113" s="237"/>
      <c r="B113" s="302"/>
      <c r="C113" s="302"/>
      <c r="D113" s="302"/>
      <c r="E113" s="303"/>
      <c r="F113" s="302"/>
      <c r="G113" s="302"/>
      <c r="H113" s="302"/>
      <c r="I113" s="303"/>
      <c r="J113" s="302"/>
      <c r="K113" s="302"/>
      <c r="L113" s="302"/>
      <c r="M113" s="236"/>
    </row>
    <row r="114" spans="1:13" x14ac:dyDescent="0.2">
      <c r="A114" s="237"/>
      <c r="B114" s="302"/>
      <c r="C114" s="302"/>
      <c r="D114" s="302"/>
      <c r="E114" s="303"/>
      <c r="F114" s="302"/>
      <c r="G114" s="302"/>
      <c r="H114" s="302"/>
      <c r="I114" s="303"/>
      <c r="J114" s="302"/>
      <c r="K114" s="302"/>
      <c r="L114" s="302"/>
      <c r="M114" s="236"/>
    </row>
    <row r="115" spans="1:13" x14ac:dyDescent="0.2">
      <c r="A115" s="237"/>
      <c r="B115" s="302"/>
      <c r="C115" s="302"/>
      <c r="D115" s="302"/>
      <c r="E115" s="303"/>
      <c r="F115" s="302"/>
      <c r="G115" s="302"/>
      <c r="H115" s="302"/>
      <c r="I115" s="303"/>
      <c r="J115" s="302"/>
      <c r="K115" s="302"/>
      <c r="L115" s="302"/>
      <c r="M115" s="236"/>
    </row>
    <row r="116" spans="1:13" x14ac:dyDescent="0.2">
      <c r="A116" s="237"/>
      <c r="B116" s="302"/>
      <c r="C116" s="302"/>
      <c r="D116" s="302"/>
      <c r="E116" s="303"/>
      <c r="F116" s="302"/>
      <c r="G116" s="302"/>
      <c r="H116" s="302"/>
      <c r="I116" s="303"/>
      <c r="J116" s="302"/>
      <c r="K116" s="302"/>
      <c r="L116" s="302"/>
      <c r="M116" s="236"/>
    </row>
    <row r="117" spans="1:13" x14ac:dyDescent="0.2">
      <c r="A117" s="237"/>
      <c r="B117" s="302"/>
      <c r="C117" s="302"/>
      <c r="D117" s="302"/>
      <c r="E117" s="303"/>
      <c r="F117" s="302"/>
      <c r="G117" s="302"/>
      <c r="H117" s="302"/>
      <c r="I117" s="303"/>
      <c r="J117" s="302"/>
      <c r="K117" s="302"/>
      <c r="L117" s="302"/>
      <c r="M117" s="236"/>
    </row>
    <row r="118" spans="1:13" x14ac:dyDescent="0.2">
      <c r="A118" s="237"/>
      <c r="B118" s="302"/>
      <c r="C118" s="302"/>
      <c r="D118" s="302"/>
      <c r="E118" s="303"/>
      <c r="F118" s="302"/>
      <c r="G118" s="302"/>
      <c r="H118" s="302"/>
      <c r="I118" s="303"/>
      <c r="J118" s="302"/>
      <c r="K118" s="302"/>
      <c r="L118" s="302"/>
      <c r="M118" s="236"/>
    </row>
    <row r="119" spans="1:13" x14ac:dyDescent="0.2">
      <c r="A119" s="237"/>
      <c r="B119" s="302"/>
      <c r="C119" s="302"/>
      <c r="D119" s="302"/>
      <c r="E119" s="303"/>
      <c r="F119" s="302"/>
      <c r="G119" s="302"/>
      <c r="H119" s="302"/>
      <c r="I119" s="303"/>
      <c r="J119" s="302"/>
      <c r="K119" s="302"/>
      <c r="L119" s="302"/>
      <c r="M119" s="236"/>
    </row>
    <row r="120" spans="1:13" x14ac:dyDescent="0.2">
      <c r="A120" s="237"/>
      <c r="B120" s="302"/>
      <c r="C120" s="302"/>
      <c r="D120" s="302"/>
      <c r="E120" s="303"/>
      <c r="F120" s="302"/>
      <c r="G120" s="302"/>
      <c r="H120" s="302"/>
      <c r="I120" s="303"/>
      <c r="J120" s="302"/>
      <c r="K120" s="302"/>
      <c r="L120" s="302"/>
      <c r="M120" s="236"/>
    </row>
    <row r="121" spans="1:13" x14ac:dyDescent="0.2">
      <c r="A121" s="237"/>
      <c r="B121" s="303"/>
      <c r="C121" s="303"/>
      <c r="D121" s="303"/>
      <c r="E121" s="303"/>
      <c r="F121" s="303"/>
      <c r="G121" s="303"/>
      <c r="H121" s="303"/>
      <c r="I121" s="303"/>
      <c r="J121" s="303"/>
      <c r="K121" s="303"/>
      <c r="L121" s="303"/>
      <c r="M121" s="236"/>
    </row>
    <row r="122" spans="1:13" x14ac:dyDescent="0.2">
      <c r="A122" s="237"/>
      <c r="B122" s="237"/>
      <c r="C122" s="237"/>
      <c r="D122" s="237"/>
      <c r="E122" s="237"/>
      <c r="F122" s="237"/>
      <c r="G122" s="237"/>
      <c r="H122" s="237"/>
      <c r="I122" s="237"/>
      <c r="J122" s="237"/>
      <c r="K122" s="237"/>
      <c r="L122" s="240"/>
      <c r="M122" s="236"/>
    </row>
    <row r="123" spans="1:13" x14ac:dyDescent="0.2">
      <c r="A123" s="237"/>
      <c r="B123" s="237"/>
      <c r="C123" s="237"/>
      <c r="D123" s="237"/>
      <c r="E123" s="237"/>
      <c r="F123" s="237"/>
      <c r="G123" s="237"/>
      <c r="H123" s="237"/>
      <c r="I123" s="237"/>
      <c r="J123" s="237"/>
      <c r="K123" s="237"/>
      <c r="L123" s="284"/>
      <c r="M123" s="236"/>
    </row>
    <row r="124" spans="1:13" x14ac:dyDescent="0.2">
      <c r="A124" s="258"/>
      <c r="B124" s="241"/>
      <c r="C124" s="241"/>
      <c r="D124" s="241"/>
      <c r="E124" s="241"/>
      <c r="F124" s="241"/>
      <c r="G124" s="241"/>
      <c r="H124" s="241"/>
      <c r="I124" s="241"/>
      <c r="J124" s="241"/>
      <c r="K124" s="241"/>
      <c r="L124" s="236"/>
      <c r="M124" s="236"/>
    </row>
    <row r="125" spans="1:13" x14ac:dyDescent="0.2">
      <c r="A125" s="241"/>
      <c r="B125" s="375"/>
      <c r="C125" s="375"/>
      <c r="D125" s="375"/>
      <c r="E125" s="253"/>
      <c r="F125" s="375"/>
      <c r="G125" s="375"/>
      <c r="H125" s="375"/>
      <c r="I125" s="253"/>
      <c r="J125" s="375"/>
      <c r="K125" s="375"/>
      <c r="L125" s="375"/>
      <c r="M125" s="236"/>
    </row>
    <row r="126" spans="1:13" x14ac:dyDescent="0.2">
      <c r="A126" s="258"/>
      <c r="B126" s="259"/>
      <c r="C126" s="259"/>
      <c r="D126" s="259"/>
      <c r="E126" s="259"/>
      <c r="F126" s="259"/>
      <c r="G126" s="259"/>
      <c r="H126" s="259"/>
      <c r="I126" s="259"/>
      <c r="J126" s="259"/>
      <c r="K126" s="259"/>
      <c r="L126" s="259"/>
      <c r="M126" s="236"/>
    </row>
    <row r="127" spans="1:13" x14ac:dyDescent="0.2">
      <c r="A127" s="258"/>
      <c r="B127" s="259"/>
      <c r="C127" s="259"/>
      <c r="D127" s="259"/>
      <c r="E127" s="259"/>
      <c r="F127" s="259"/>
      <c r="G127" s="259"/>
      <c r="H127" s="259"/>
      <c r="I127" s="259"/>
      <c r="J127" s="259"/>
      <c r="K127" s="259"/>
      <c r="L127" s="259"/>
      <c r="M127" s="236"/>
    </row>
    <row r="128" spans="1:13" x14ac:dyDescent="0.2">
      <c r="A128" s="237"/>
      <c r="B128" s="302"/>
      <c r="C128" s="302"/>
      <c r="D128" s="302"/>
      <c r="E128" s="303"/>
      <c r="F128" s="302"/>
      <c r="G128" s="302"/>
      <c r="H128" s="302"/>
      <c r="I128" s="303"/>
      <c r="J128" s="302"/>
      <c r="K128" s="302"/>
      <c r="L128" s="302"/>
      <c r="M128" s="236"/>
    </row>
    <row r="129" spans="1:13" x14ac:dyDescent="0.2">
      <c r="A129" s="237"/>
      <c r="B129" s="302"/>
      <c r="C129" s="302"/>
      <c r="D129" s="302"/>
      <c r="E129" s="303"/>
      <c r="F129" s="302"/>
      <c r="G129" s="302"/>
      <c r="H129" s="302"/>
      <c r="I129" s="303"/>
      <c r="J129" s="302"/>
      <c r="K129" s="302"/>
      <c r="L129" s="302"/>
      <c r="M129" s="236"/>
    </row>
    <row r="130" spans="1:13" x14ac:dyDescent="0.2">
      <c r="A130" s="237"/>
      <c r="B130" s="302"/>
      <c r="C130" s="302"/>
      <c r="D130" s="302"/>
      <c r="E130" s="303"/>
      <c r="F130" s="302"/>
      <c r="G130" s="302"/>
      <c r="H130" s="302"/>
      <c r="I130" s="303"/>
      <c r="J130" s="302"/>
      <c r="K130" s="302"/>
      <c r="L130" s="302"/>
      <c r="M130" s="236"/>
    </row>
    <row r="131" spans="1:13" x14ac:dyDescent="0.2">
      <c r="A131" s="237"/>
      <c r="B131" s="302"/>
      <c r="C131" s="302"/>
      <c r="D131" s="302"/>
      <c r="E131" s="303"/>
      <c r="F131" s="302"/>
      <c r="G131" s="302"/>
      <c r="H131" s="302"/>
      <c r="I131" s="303"/>
      <c r="J131" s="302"/>
      <c r="K131" s="302"/>
      <c r="L131" s="302"/>
      <c r="M131" s="236"/>
    </row>
    <row r="132" spans="1:13" x14ac:dyDescent="0.2">
      <c r="A132" s="237"/>
      <c r="B132" s="302"/>
      <c r="C132" s="302"/>
      <c r="D132" s="302"/>
      <c r="E132" s="303"/>
      <c r="F132" s="302"/>
      <c r="G132" s="302"/>
      <c r="H132" s="302"/>
      <c r="I132" s="303"/>
      <c r="J132" s="302"/>
      <c r="K132" s="302"/>
      <c r="L132" s="302"/>
      <c r="M132" s="236"/>
    </row>
    <row r="133" spans="1:13" x14ac:dyDescent="0.2">
      <c r="A133" s="237"/>
      <c r="B133" s="302"/>
      <c r="C133" s="302"/>
      <c r="D133" s="302"/>
      <c r="E133" s="303"/>
      <c r="F133" s="302"/>
      <c r="G133" s="302"/>
      <c r="H133" s="302"/>
      <c r="I133" s="303"/>
      <c r="J133" s="302"/>
      <c r="K133" s="302"/>
      <c r="L133" s="302"/>
      <c r="M133" s="236"/>
    </row>
    <row r="134" spans="1:13" x14ac:dyDescent="0.2">
      <c r="A134" s="237"/>
      <c r="B134" s="302"/>
      <c r="C134" s="302"/>
      <c r="D134" s="302"/>
      <c r="E134" s="303"/>
      <c r="F134" s="302"/>
      <c r="G134" s="302"/>
      <c r="H134" s="302"/>
      <c r="I134" s="303"/>
      <c r="J134" s="302"/>
      <c r="K134" s="302"/>
      <c r="L134" s="302"/>
      <c r="M134" s="236"/>
    </row>
    <row r="135" spans="1:13" x14ac:dyDescent="0.2">
      <c r="A135" s="237"/>
      <c r="B135" s="302"/>
      <c r="C135" s="302"/>
      <c r="D135" s="302"/>
      <c r="E135" s="303"/>
      <c r="F135" s="302"/>
      <c r="G135" s="302"/>
      <c r="H135" s="302"/>
      <c r="I135" s="303"/>
      <c r="J135" s="302"/>
      <c r="K135" s="302"/>
      <c r="L135" s="302"/>
      <c r="M135" s="236"/>
    </row>
    <row r="136" spans="1:13" x14ac:dyDescent="0.2">
      <c r="A136" s="237"/>
      <c r="B136" s="302"/>
      <c r="C136" s="302"/>
      <c r="D136" s="302"/>
      <c r="E136" s="303"/>
      <c r="F136" s="302"/>
      <c r="G136" s="302"/>
      <c r="H136" s="302"/>
      <c r="I136" s="303"/>
      <c r="J136" s="302"/>
      <c r="K136" s="302"/>
      <c r="L136" s="302"/>
      <c r="M136" s="236"/>
    </row>
    <row r="137" spans="1:13" x14ac:dyDescent="0.2">
      <c r="A137" s="237"/>
      <c r="B137" s="302"/>
      <c r="C137" s="302"/>
      <c r="D137" s="302"/>
      <c r="E137" s="303"/>
      <c r="F137" s="302"/>
      <c r="G137" s="302"/>
      <c r="H137" s="302"/>
      <c r="I137" s="303"/>
      <c r="J137" s="302"/>
      <c r="K137" s="302"/>
      <c r="L137" s="302"/>
      <c r="M137" s="236"/>
    </row>
    <row r="138" spans="1:13" x14ac:dyDescent="0.2">
      <c r="A138" s="237"/>
      <c r="B138" s="303"/>
      <c r="C138" s="303"/>
      <c r="D138" s="303"/>
      <c r="E138" s="303"/>
      <c r="F138" s="303"/>
      <c r="G138" s="303"/>
      <c r="H138" s="303"/>
      <c r="I138" s="303"/>
      <c r="J138" s="303"/>
      <c r="K138" s="303"/>
      <c r="L138" s="303"/>
      <c r="M138" s="236"/>
    </row>
    <row r="139" spans="1:13" x14ac:dyDescent="0.2">
      <c r="A139" s="237"/>
      <c r="B139" s="237"/>
      <c r="C139" s="237"/>
      <c r="D139" s="237"/>
      <c r="E139" s="237"/>
      <c r="F139" s="237"/>
      <c r="G139" s="237"/>
      <c r="H139" s="237"/>
      <c r="I139" s="237"/>
      <c r="J139" s="237"/>
      <c r="K139" s="237"/>
      <c r="L139" s="240"/>
      <c r="M139" s="236"/>
    </row>
    <row r="140" spans="1:13" x14ac:dyDescent="0.2">
      <c r="A140" s="237"/>
      <c r="B140" s="237"/>
      <c r="C140" s="237"/>
      <c r="D140" s="237"/>
      <c r="E140" s="237"/>
      <c r="F140" s="237"/>
      <c r="G140" s="237"/>
      <c r="H140" s="237"/>
      <c r="I140" s="237"/>
      <c r="J140" s="237"/>
      <c r="K140" s="237"/>
      <c r="L140" s="284"/>
      <c r="M140" s="236"/>
    </row>
    <row r="141" spans="1:13" x14ac:dyDescent="0.2">
      <c r="A141" s="258"/>
      <c r="B141" s="241"/>
      <c r="C141" s="241"/>
      <c r="D141" s="241"/>
      <c r="E141" s="241"/>
      <c r="F141" s="241"/>
      <c r="G141" s="241"/>
      <c r="H141" s="241"/>
      <c r="I141" s="241"/>
      <c r="J141" s="241"/>
      <c r="K141" s="241"/>
      <c r="L141" s="236"/>
      <c r="M141" s="236"/>
    </row>
    <row r="142" spans="1:13" x14ac:dyDescent="0.2">
      <c r="A142" s="241"/>
      <c r="B142" s="375"/>
      <c r="C142" s="375"/>
      <c r="D142" s="375"/>
      <c r="E142" s="253"/>
      <c r="F142" s="375"/>
      <c r="G142" s="375"/>
      <c r="H142" s="375"/>
      <c r="I142" s="253"/>
      <c r="J142" s="375"/>
      <c r="K142" s="375"/>
      <c r="L142" s="375"/>
      <c r="M142" s="236"/>
    </row>
    <row r="143" spans="1:13" x14ac:dyDescent="0.2">
      <c r="A143" s="258"/>
      <c r="B143" s="259"/>
      <c r="C143" s="259"/>
      <c r="D143" s="259"/>
      <c r="E143" s="259"/>
      <c r="F143" s="259"/>
      <c r="G143" s="259"/>
      <c r="H143" s="259"/>
      <c r="I143" s="259"/>
      <c r="J143" s="259"/>
      <c r="K143" s="259"/>
      <c r="L143" s="259"/>
      <c r="M143" s="236"/>
    </row>
    <row r="144" spans="1:13" x14ac:dyDescent="0.2">
      <c r="A144" s="258"/>
      <c r="B144" s="259"/>
      <c r="C144" s="259"/>
      <c r="D144" s="259"/>
      <c r="E144" s="259"/>
      <c r="F144" s="259"/>
      <c r="G144" s="259"/>
      <c r="H144" s="259"/>
      <c r="I144" s="259"/>
      <c r="J144" s="259"/>
      <c r="K144" s="259"/>
      <c r="L144" s="259"/>
      <c r="M144" s="236"/>
    </row>
    <row r="145" spans="1:13" x14ac:dyDescent="0.2">
      <c r="A145" s="237"/>
      <c r="B145" s="302"/>
      <c r="C145" s="302"/>
      <c r="D145" s="302"/>
      <c r="E145" s="303"/>
      <c r="F145" s="302"/>
      <c r="G145" s="302"/>
      <c r="H145" s="302"/>
      <c r="I145" s="303"/>
      <c r="J145" s="302"/>
      <c r="K145" s="302"/>
      <c r="L145" s="302"/>
      <c r="M145" s="236"/>
    </row>
    <row r="146" spans="1:13" x14ac:dyDescent="0.2">
      <c r="A146" s="237"/>
      <c r="B146" s="302"/>
      <c r="C146" s="302"/>
      <c r="D146" s="302"/>
      <c r="E146" s="303"/>
      <c r="F146" s="302"/>
      <c r="G146" s="302"/>
      <c r="H146" s="302"/>
      <c r="I146" s="303"/>
      <c r="J146" s="302"/>
      <c r="K146" s="302"/>
      <c r="L146" s="302"/>
      <c r="M146" s="236"/>
    </row>
    <row r="147" spans="1:13" x14ac:dyDescent="0.2">
      <c r="A147" s="237"/>
      <c r="B147" s="302"/>
      <c r="C147" s="302"/>
      <c r="D147" s="302"/>
      <c r="E147" s="303"/>
      <c r="F147" s="302"/>
      <c r="G147" s="302"/>
      <c r="H147" s="302"/>
      <c r="I147" s="303"/>
      <c r="J147" s="302"/>
      <c r="K147" s="302"/>
      <c r="L147" s="302"/>
      <c r="M147" s="236"/>
    </row>
    <row r="148" spans="1:13" x14ac:dyDescent="0.2">
      <c r="A148" s="237"/>
      <c r="B148" s="302"/>
      <c r="C148" s="302"/>
      <c r="D148" s="302"/>
      <c r="E148" s="303"/>
      <c r="F148" s="302"/>
      <c r="G148" s="302"/>
      <c r="H148" s="302"/>
      <c r="I148" s="303"/>
      <c r="J148" s="302"/>
      <c r="K148" s="302"/>
      <c r="L148" s="302"/>
      <c r="M148" s="236"/>
    </row>
    <row r="149" spans="1:13" x14ac:dyDescent="0.2">
      <c r="A149" s="237"/>
      <c r="B149" s="302"/>
      <c r="C149" s="302"/>
      <c r="D149" s="302"/>
      <c r="E149" s="303"/>
      <c r="F149" s="302"/>
      <c r="G149" s="302"/>
      <c r="H149" s="302"/>
      <c r="I149" s="303"/>
      <c r="J149" s="302"/>
      <c r="K149" s="302"/>
      <c r="L149" s="302"/>
      <c r="M149" s="236"/>
    </row>
    <row r="150" spans="1:13" x14ac:dyDescent="0.2">
      <c r="A150" s="237"/>
      <c r="B150" s="302"/>
      <c r="C150" s="302"/>
      <c r="D150" s="302"/>
      <c r="E150" s="303"/>
      <c r="F150" s="302"/>
      <c r="G150" s="302"/>
      <c r="H150" s="302"/>
      <c r="I150" s="303"/>
      <c r="J150" s="302"/>
      <c r="K150" s="302"/>
      <c r="L150" s="302"/>
      <c r="M150" s="236"/>
    </row>
    <row r="151" spans="1:13" x14ac:dyDescent="0.2">
      <c r="A151" s="237"/>
      <c r="B151" s="302"/>
      <c r="C151" s="302"/>
      <c r="D151" s="302"/>
      <c r="E151" s="303"/>
      <c r="F151" s="302"/>
      <c r="G151" s="302"/>
      <c r="H151" s="302"/>
      <c r="I151" s="303"/>
      <c r="J151" s="302"/>
      <c r="K151" s="302"/>
      <c r="L151" s="302"/>
      <c r="M151" s="236"/>
    </row>
    <row r="152" spans="1:13" x14ac:dyDescent="0.2">
      <c r="A152" s="237"/>
      <c r="B152" s="302"/>
      <c r="C152" s="302"/>
      <c r="D152" s="302"/>
      <c r="E152" s="303"/>
      <c r="F152" s="302"/>
      <c r="G152" s="302"/>
      <c r="H152" s="302"/>
      <c r="I152" s="303"/>
      <c r="J152" s="302"/>
      <c r="K152" s="302"/>
      <c r="L152" s="302"/>
      <c r="M152" s="236"/>
    </row>
    <row r="153" spans="1:13" x14ac:dyDescent="0.2">
      <c r="A153" s="237"/>
      <c r="B153" s="302"/>
      <c r="C153" s="302"/>
      <c r="D153" s="302"/>
      <c r="E153" s="303"/>
      <c r="F153" s="302"/>
      <c r="G153" s="302"/>
      <c r="H153" s="302"/>
      <c r="I153" s="303"/>
      <c r="J153" s="302"/>
      <c r="K153" s="302"/>
      <c r="L153" s="302"/>
      <c r="M153" s="236"/>
    </row>
    <row r="154" spans="1:13" x14ac:dyDescent="0.2">
      <c r="A154" s="237"/>
      <c r="B154" s="302"/>
      <c r="C154" s="302"/>
      <c r="D154" s="302"/>
      <c r="E154" s="303"/>
      <c r="F154" s="302"/>
      <c r="G154" s="302"/>
      <c r="H154" s="302"/>
      <c r="I154" s="303"/>
      <c r="J154" s="302"/>
      <c r="K154" s="302"/>
      <c r="L154" s="302"/>
      <c r="M154" s="236"/>
    </row>
    <row r="155" spans="1:13" x14ac:dyDescent="0.2">
      <c r="A155" s="237"/>
      <c r="B155" s="303"/>
      <c r="C155" s="303"/>
      <c r="D155" s="303"/>
      <c r="E155" s="303"/>
      <c r="F155" s="303"/>
      <c r="G155" s="303"/>
      <c r="H155" s="303"/>
      <c r="I155" s="303"/>
      <c r="J155" s="303"/>
      <c r="K155" s="303"/>
      <c r="L155" s="303"/>
      <c r="M155" s="236"/>
    </row>
    <row r="156" spans="1:13" x14ac:dyDescent="0.2">
      <c r="A156" s="237"/>
      <c r="B156" s="237"/>
      <c r="C156" s="237"/>
      <c r="D156" s="237"/>
      <c r="E156" s="237"/>
      <c r="F156" s="237"/>
      <c r="G156" s="237"/>
      <c r="H156" s="237"/>
      <c r="I156" s="237"/>
      <c r="J156" s="237"/>
      <c r="K156" s="237"/>
      <c r="L156" s="240"/>
      <c r="M156" s="236"/>
    </row>
    <row r="157" spans="1:13" x14ac:dyDescent="0.2">
      <c r="A157" s="237"/>
      <c r="B157" s="237"/>
      <c r="C157" s="237"/>
      <c r="D157" s="237"/>
      <c r="E157" s="237"/>
      <c r="F157" s="237"/>
      <c r="G157" s="237"/>
      <c r="H157" s="237"/>
      <c r="I157" s="237"/>
      <c r="J157" s="237"/>
      <c r="K157" s="237"/>
      <c r="L157" s="284"/>
      <c r="M157" s="236"/>
    </row>
    <row r="158" spans="1:13" x14ac:dyDescent="0.2">
      <c r="A158" s="258"/>
      <c r="B158" s="241"/>
      <c r="C158" s="241"/>
      <c r="D158" s="241"/>
      <c r="E158" s="241"/>
      <c r="F158" s="241"/>
      <c r="G158" s="241"/>
      <c r="H158" s="241"/>
      <c r="I158" s="241"/>
      <c r="J158" s="241"/>
      <c r="K158" s="241"/>
      <c r="L158" s="236"/>
      <c r="M158" s="236"/>
    </row>
    <row r="159" spans="1:13" x14ac:dyDescent="0.2">
      <c r="A159" s="241"/>
      <c r="B159" s="375"/>
      <c r="C159" s="375"/>
      <c r="D159" s="375"/>
      <c r="E159" s="253"/>
      <c r="F159" s="375"/>
      <c r="G159" s="375"/>
      <c r="H159" s="375"/>
      <c r="I159" s="253"/>
      <c r="J159" s="375"/>
      <c r="K159" s="375"/>
      <c r="L159" s="375"/>
      <c r="M159" s="236"/>
    </row>
    <row r="160" spans="1:13" x14ac:dyDescent="0.2">
      <c r="A160" s="258"/>
      <c r="B160" s="259"/>
      <c r="C160" s="259"/>
      <c r="D160" s="259"/>
      <c r="E160" s="259"/>
      <c r="F160" s="259"/>
      <c r="G160" s="259"/>
      <c r="H160" s="259"/>
      <c r="I160" s="259"/>
      <c r="J160" s="259"/>
      <c r="K160" s="259"/>
      <c r="L160" s="259"/>
      <c r="M160" s="236"/>
    </row>
    <row r="161" spans="1:13" x14ac:dyDescent="0.2">
      <c r="A161" s="258"/>
      <c r="B161" s="259"/>
      <c r="C161" s="259"/>
      <c r="D161" s="259"/>
      <c r="E161" s="259"/>
      <c r="F161" s="259"/>
      <c r="G161" s="259"/>
      <c r="H161" s="259"/>
      <c r="I161" s="259"/>
      <c r="J161" s="259"/>
      <c r="K161" s="259"/>
      <c r="L161" s="259"/>
      <c r="M161" s="236"/>
    </row>
    <row r="162" spans="1:13" x14ac:dyDescent="0.2">
      <c r="A162" s="237"/>
      <c r="B162" s="302"/>
      <c r="C162" s="302"/>
      <c r="D162" s="302"/>
      <c r="E162" s="303"/>
      <c r="F162" s="302"/>
      <c r="G162" s="302"/>
      <c r="H162" s="302"/>
      <c r="I162" s="303"/>
      <c r="J162" s="302"/>
      <c r="K162" s="302"/>
      <c r="L162" s="302"/>
      <c r="M162" s="236"/>
    </row>
    <row r="163" spans="1:13" x14ac:dyDescent="0.2">
      <c r="A163" s="237"/>
      <c r="B163" s="302"/>
      <c r="C163" s="302"/>
      <c r="D163" s="302"/>
      <c r="E163" s="303"/>
      <c r="F163" s="302"/>
      <c r="G163" s="302"/>
      <c r="H163" s="302"/>
      <c r="I163" s="303"/>
      <c r="J163" s="302"/>
      <c r="K163" s="302"/>
      <c r="L163" s="302"/>
      <c r="M163" s="236"/>
    </row>
    <row r="164" spans="1:13" x14ac:dyDescent="0.2">
      <c r="A164" s="237"/>
      <c r="B164" s="302"/>
      <c r="C164" s="302"/>
      <c r="D164" s="302"/>
      <c r="E164" s="303"/>
      <c r="F164" s="302"/>
      <c r="G164" s="302"/>
      <c r="H164" s="302"/>
      <c r="I164" s="303"/>
      <c r="J164" s="302"/>
      <c r="K164" s="302"/>
      <c r="L164" s="302"/>
      <c r="M164" s="236"/>
    </row>
    <row r="165" spans="1:13" x14ac:dyDescent="0.2">
      <c r="A165" s="237"/>
      <c r="B165" s="302"/>
      <c r="C165" s="302"/>
      <c r="D165" s="302"/>
      <c r="E165" s="303"/>
      <c r="F165" s="302"/>
      <c r="G165" s="302"/>
      <c r="H165" s="302"/>
      <c r="I165" s="303"/>
      <c r="J165" s="302"/>
      <c r="K165" s="302"/>
      <c r="L165" s="302"/>
      <c r="M165" s="236"/>
    </row>
    <row r="166" spans="1:13" x14ac:dyDescent="0.2">
      <c r="A166" s="237"/>
      <c r="B166" s="302"/>
      <c r="C166" s="302"/>
      <c r="D166" s="302"/>
      <c r="E166" s="303"/>
      <c r="F166" s="302"/>
      <c r="G166" s="302"/>
      <c r="H166" s="302"/>
      <c r="I166" s="303"/>
      <c r="J166" s="302"/>
      <c r="K166" s="302"/>
      <c r="L166" s="302"/>
      <c r="M166" s="236"/>
    </row>
    <row r="167" spans="1:13" x14ac:dyDescent="0.2">
      <c r="A167" s="237"/>
      <c r="B167" s="302"/>
      <c r="C167" s="302"/>
      <c r="D167" s="302"/>
      <c r="E167" s="303"/>
      <c r="F167" s="302"/>
      <c r="G167" s="302"/>
      <c r="H167" s="302"/>
      <c r="I167" s="303"/>
      <c r="J167" s="302"/>
      <c r="K167" s="302"/>
      <c r="L167" s="302"/>
      <c r="M167" s="236"/>
    </row>
    <row r="168" spans="1:13" x14ac:dyDescent="0.2">
      <c r="A168" s="237"/>
      <c r="B168" s="302"/>
      <c r="C168" s="302"/>
      <c r="D168" s="302"/>
      <c r="E168" s="303"/>
      <c r="F168" s="302"/>
      <c r="G168" s="302"/>
      <c r="H168" s="302"/>
      <c r="I168" s="303"/>
      <c r="J168" s="302"/>
      <c r="K168" s="302"/>
      <c r="L168" s="302"/>
      <c r="M168" s="236"/>
    </row>
    <row r="169" spans="1:13" x14ac:dyDescent="0.2">
      <c r="A169" s="237"/>
      <c r="B169" s="302"/>
      <c r="C169" s="302"/>
      <c r="D169" s="302"/>
      <c r="E169" s="303"/>
      <c r="F169" s="302"/>
      <c r="G169" s="302"/>
      <c r="H169" s="302"/>
      <c r="I169" s="303"/>
      <c r="J169" s="302"/>
      <c r="K169" s="302"/>
      <c r="L169" s="302"/>
      <c r="M169" s="236"/>
    </row>
    <row r="170" spans="1:13" x14ac:dyDescent="0.2">
      <c r="A170" s="237"/>
      <c r="B170" s="302"/>
      <c r="C170" s="302"/>
      <c r="D170" s="302"/>
      <c r="E170" s="303"/>
      <c r="F170" s="302"/>
      <c r="G170" s="302"/>
      <c r="H170" s="302"/>
      <c r="I170" s="303"/>
      <c r="J170" s="302"/>
      <c r="K170" s="302"/>
      <c r="L170" s="302"/>
      <c r="M170" s="236"/>
    </row>
    <row r="171" spans="1:13" x14ac:dyDescent="0.2">
      <c r="A171" s="237"/>
      <c r="B171" s="302"/>
      <c r="C171" s="302"/>
      <c r="D171" s="302"/>
      <c r="E171" s="303"/>
      <c r="F171" s="302"/>
      <c r="G171" s="302"/>
      <c r="H171" s="302"/>
      <c r="I171" s="303"/>
      <c r="J171" s="302"/>
      <c r="K171" s="302"/>
      <c r="L171" s="302"/>
      <c r="M171" s="236"/>
    </row>
    <row r="172" spans="1:13" x14ac:dyDescent="0.2">
      <c r="A172" s="237"/>
      <c r="B172" s="303"/>
      <c r="C172" s="303"/>
      <c r="D172" s="303"/>
      <c r="E172" s="303"/>
      <c r="F172" s="303"/>
      <c r="G172" s="303"/>
      <c r="H172" s="303"/>
      <c r="I172" s="303"/>
      <c r="J172" s="303"/>
      <c r="K172" s="303"/>
      <c r="L172" s="303"/>
      <c r="M172" s="236"/>
    </row>
    <row r="173" spans="1:13" x14ac:dyDescent="0.2">
      <c r="A173" s="237"/>
      <c r="B173" s="237"/>
      <c r="C173" s="237"/>
      <c r="D173" s="237"/>
      <c r="E173" s="237"/>
      <c r="F173" s="237"/>
      <c r="G173" s="237"/>
      <c r="H173" s="237"/>
      <c r="I173" s="237"/>
      <c r="J173" s="237"/>
      <c r="K173" s="237"/>
      <c r="L173" s="240"/>
      <c r="M173" s="236"/>
    </row>
    <row r="174" spans="1:13" x14ac:dyDescent="0.2">
      <c r="A174" s="237"/>
      <c r="B174" s="237"/>
      <c r="C174" s="237"/>
      <c r="D174" s="237"/>
      <c r="E174" s="237"/>
      <c r="F174" s="237"/>
      <c r="G174" s="237"/>
      <c r="H174" s="237"/>
      <c r="I174" s="237"/>
      <c r="J174" s="237"/>
      <c r="K174" s="237"/>
      <c r="L174" s="284"/>
      <c r="M174" s="236"/>
    </row>
    <row r="175" spans="1:13" x14ac:dyDescent="0.2">
      <c r="A175" s="258"/>
      <c r="B175" s="241"/>
      <c r="C175" s="241"/>
      <c r="D175" s="241"/>
      <c r="E175" s="241"/>
      <c r="F175" s="241"/>
      <c r="G175" s="241"/>
      <c r="H175" s="241"/>
      <c r="I175" s="241"/>
      <c r="J175" s="241"/>
      <c r="K175" s="241"/>
      <c r="L175" s="236"/>
      <c r="M175" s="236"/>
    </row>
    <row r="176" spans="1:13" x14ac:dyDescent="0.2">
      <c r="A176" s="241"/>
      <c r="B176" s="375"/>
      <c r="C176" s="375"/>
      <c r="D176" s="375"/>
      <c r="E176" s="253"/>
      <c r="F176" s="375"/>
      <c r="G176" s="375"/>
      <c r="H176" s="375"/>
      <c r="I176" s="253"/>
      <c r="J176" s="375"/>
      <c r="K176" s="375"/>
      <c r="L176" s="375"/>
      <c r="M176" s="236"/>
    </row>
    <row r="177" spans="1:13" x14ac:dyDescent="0.2">
      <c r="A177" s="258"/>
      <c r="B177" s="259"/>
      <c r="C177" s="259"/>
      <c r="D177" s="259"/>
      <c r="E177" s="259"/>
      <c r="F177" s="259"/>
      <c r="G177" s="259"/>
      <c r="H177" s="259"/>
      <c r="I177" s="259"/>
      <c r="J177" s="259"/>
      <c r="K177" s="259"/>
      <c r="L177" s="259"/>
      <c r="M177" s="236"/>
    </row>
    <row r="178" spans="1:13" x14ac:dyDescent="0.2">
      <c r="A178" s="258"/>
      <c r="B178" s="259"/>
      <c r="C178" s="259"/>
      <c r="D178" s="259"/>
      <c r="E178" s="259"/>
      <c r="F178" s="259"/>
      <c r="G178" s="259"/>
      <c r="H178" s="259"/>
      <c r="I178" s="259"/>
      <c r="J178" s="259"/>
      <c r="K178" s="259"/>
      <c r="L178" s="259"/>
      <c r="M178" s="236"/>
    </row>
    <row r="179" spans="1:13" x14ac:dyDescent="0.2">
      <c r="A179" s="237"/>
      <c r="B179" s="302"/>
      <c r="C179" s="302"/>
      <c r="D179" s="302"/>
      <c r="E179" s="303"/>
      <c r="F179" s="302"/>
      <c r="G179" s="302"/>
      <c r="H179" s="302"/>
      <c r="I179" s="303"/>
      <c r="J179" s="302"/>
      <c r="K179" s="302"/>
      <c r="L179" s="302"/>
      <c r="M179" s="236"/>
    </row>
    <row r="180" spans="1:13" x14ac:dyDescent="0.2">
      <c r="A180" s="237"/>
      <c r="B180" s="302"/>
      <c r="C180" s="302"/>
      <c r="D180" s="302"/>
      <c r="E180" s="303"/>
      <c r="F180" s="302"/>
      <c r="G180" s="302"/>
      <c r="H180" s="302"/>
      <c r="I180" s="303"/>
      <c r="J180" s="302"/>
      <c r="K180" s="302"/>
      <c r="L180" s="302"/>
      <c r="M180" s="236"/>
    </row>
    <row r="181" spans="1:13" x14ac:dyDescent="0.2">
      <c r="A181" s="237"/>
      <c r="B181" s="302"/>
      <c r="C181" s="302"/>
      <c r="D181" s="302"/>
      <c r="E181" s="303"/>
      <c r="F181" s="302"/>
      <c r="G181" s="302"/>
      <c r="H181" s="302"/>
      <c r="I181" s="303"/>
      <c r="J181" s="302"/>
      <c r="K181" s="302"/>
      <c r="L181" s="302"/>
      <c r="M181" s="236"/>
    </row>
    <row r="182" spans="1:13" x14ac:dyDescent="0.2">
      <c r="A182" s="237"/>
      <c r="B182" s="302"/>
      <c r="C182" s="302"/>
      <c r="D182" s="302"/>
      <c r="E182" s="303"/>
      <c r="F182" s="302"/>
      <c r="G182" s="302"/>
      <c r="H182" s="302"/>
      <c r="I182" s="303"/>
      <c r="J182" s="302"/>
      <c r="K182" s="302"/>
      <c r="L182" s="302"/>
      <c r="M182" s="236"/>
    </row>
    <row r="183" spans="1:13" x14ac:dyDescent="0.2">
      <c r="A183" s="237"/>
      <c r="B183" s="302"/>
      <c r="C183" s="302"/>
      <c r="D183" s="302"/>
      <c r="E183" s="303"/>
      <c r="F183" s="302"/>
      <c r="G183" s="302"/>
      <c r="H183" s="302"/>
      <c r="I183" s="303"/>
      <c r="J183" s="302"/>
      <c r="K183" s="302"/>
      <c r="L183" s="302"/>
      <c r="M183" s="236"/>
    </row>
    <row r="184" spans="1:13" x14ac:dyDescent="0.2">
      <c r="A184" s="237"/>
      <c r="B184" s="302"/>
      <c r="C184" s="302"/>
      <c r="D184" s="302"/>
      <c r="E184" s="303"/>
      <c r="F184" s="302"/>
      <c r="G184" s="302"/>
      <c r="H184" s="302"/>
      <c r="I184" s="303"/>
      <c r="J184" s="302"/>
      <c r="K184" s="302"/>
      <c r="L184" s="302"/>
      <c r="M184" s="236"/>
    </row>
    <row r="185" spans="1:13" x14ac:dyDescent="0.2">
      <c r="A185" s="237"/>
      <c r="B185" s="302"/>
      <c r="C185" s="302"/>
      <c r="D185" s="302"/>
      <c r="E185" s="303"/>
      <c r="F185" s="302"/>
      <c r="G185" s="302"/>
      <c r="H185" s="302"/>
      <c r="I185" s="303"/>
      <c r="J185" s="302"/>
      <c r="K185" s="302"/>
      <c r="L185" s="302"/>
      <c r="M185" s="236"/>
    </row>
    <row r="186" spans="1:13" x14ac:dyDescent="0.2">
      <c r="A186" s="237"/>
      <c r="B186" s="302"/>
      <c r="C186" s="302"/>
      <c r="D186" s="302"/>
      <c r="E186" s="303"/>
      <c r="F186" s="302"/>
      <c r="G186" s="302"/>
      <c r="H186" s="302"/>
      <c r="I186" s="303"/>
      <c r="J186" s="302"/>
      <c r="K186" s="302"/>
      <c r="L186" s="302"/>
      <c r="M186" s="236"/>
    </row>
    <row r="187" spans="1:13" x14ac:dyDescent="0.2">
      <c r="A187" s="237"/>
      <c r="B187" s="302"/>
      <c r="C187" s="302"/>
      <c r="D187" s="302"/>
      <c r="E187" s="303"/>
      <c r="F187" s="302"/>
      <c r="G187" s="302"/>
      <c r="H187" s="302"/>
      <c r="I187" s="303"/>
      <c r="J187" s="302"/>
      <c r="K187" s="302"/>
      <c r="L187" s="302"/>
      <c r="M187" s="236"/>
    </row>
    <row r="188" spans="1:13" x14ac:dyDescent="0.2">
      <c r="A188" s="237"/>
      <c r="B188" s="302"/>
      <c r="C188" s="302"/>
      <c r="D188" s="302"/>
      <c r="E188" s="303"/>
      <c r="F188" s="302"/>
      <c r="G188" s="302"/>
      <c r="H188" s="302"/>
      <c r="I188" s="303"/>
      <c r="J188" s="302"/>
      <c r="K188" s="302"/>
      <c r="L188" s="302"/>
      <c r="M188" s="236"/>
    </row>
    <row r="189" spans="1:13" x14ac:dyDescent="0.2">
      <c r="A189" s="237"/>
      <c r="B189" s="303"/>
      <c r="C189" s="303"/>
      <c r="D189" s="303"/>
      <c r="E189" s="303"/>
      <c r="F189" s="303"/>
      <c r="G189" s="303"/>
      <c r="H189" s="303"/>
      <c r="I189" s="303"/>
      <c r="J189" s="303"/>
      <c r="K189" s="303"/>
      <c r="L189" s="303"/>
      <c r="M189" s="236"/>
    </row>
    <row r="190" spans="1:13" x14ac:dyDescent="0.2">
      <c r="A190" s="237"/>
      <c r="B190" s="237"/>
      <c r="C190" s="237"/>
      <c r="D190" s="237"/>
      <c r="E190" s="237"/>
      <c r="F190" s="237"/>
      <c r="G190" s="237"/>
      <c r="H190" s="237"/>
      <c r="I190" s="237"/>
      <c r="J190" s="237"/>
      <c r="K190" s="237"/>
      <c r="L190" s="240"/>
      <c r="M190" s="236"/>
    </row>
    <row r="191" spans="1:13" x14ac:dyDescent="0.2">
      <c r="A191" s="237"/>
      <c r="B191" s="237"/>
      <c r="C191" s="237"/>
      <c r="D191" s="237"/>
      <c r="E191" s="237"/>
      <c r="F191" s="237"/>
      <c r="G191" s="237"/>
      <c r="H191" s="237"/>
      <c r="I191" s="237"/>
      <c r="J191" s="237"/>
      <c r="K191" s="237"/>
      <c r="L191" s="284"/>
      <c r="M191" s="236"/>
    </row>
    <row r="192" spans="1:13" x14ac:dyDescent="0.2">
      <c r="A192" s="258"/>
      <c r="B192" s="241"/>
      <c r="C192" s="241"/>
      <c r="D192" s="241"/>
      <c r="E192" s="241"/>
      <c r="F192" s="241"/>
      <c r="G192" s="241"/>
      <c r="H192" s="241"/>
      <c r="I192" s="241"/>
      <c r="J192" s="241"/>
      <c r="K192" s="241"/>
      <c r="L192" s="236"/>
      <c r="M192" s="236"/>
    </row>
    <row r="193" spans="1:13" x14ac:dyDescent="0.2">
      <c r="A193" s="241"/>
      <c r="B193" s="375"/>
      <c r="C193" s="375"/>
      <c r="D193" s="375"/>
      <c r="E193" s="253"/>
      <c r="F193" s="375"/>
      <c r="G193" s="375"/>
      <c r="H193" s="375"/>
      <c r="I193" s="253"/>
      <c r="J193" s="375"/>
      <c r="K193" s="375"/>
      <c r="L193" s="375"/>
      <c r="M193" s="236"/>
    </row>
    <row r="194" spans="1:13" x14ac:dyDescent="0.2">
      <c r="A194" s="258"/>
      <c r="B194" s="259"/>
      <c r="C194" s="259"/>
      <c r="D194" s="259"/>
      <c r="E194" s="259"/>
      <c r="F194" s="259"/>
      <c r="G194" s="259"/>
      <c r="H194" s="259"/>
      <c r="I194" s="259"/>
      <c r="J194" s="259"/>
      <c r="K194" s="259"/>
      <c r="L194" s="259"/>
      <c r="M194" s="236"/>
    </row>
    <row r="195" spans="1:13" x14ac:dyDescent="0.2">
      <c r="A195" s="258"/>
      <c r="B195" s="259"/>
      <c r="C195" s="259"/>
      <c r="D195" s="259"/>
      <c r="E195" s="259"/>
      <c r="F195" s="259"/>
      <c r="G195" s="259"/>
      <c r="H195" s="259"/>
      <c r="I195" s="259"/>
      <c r="J195" s="259"/>
      <c r="K195" s="259"/>
      <c r="L195" s="259"/>
      <c r="M195" s="236"/>
    </row>
    <row r="196" spans="1:13" x14ac:dyDescent="0.2">
      <c r="A196" s="237"/>
      <c r="B196" s="302"/>
      <c r="C196" s="302"/>
      <c r="D196" s="302"/>
      <c r="E196" s="303"/>
      <c r="F196" s="302"/>
      <c r="G196" s="302"/>
      <c r="H196" s="302"/>
      <c r="I196" s="303"/>
      <c r="J196" s="302"/>
      <c r="K196" s="302"/>
      <c r="L196" s="302"/>
      <c r="M196" s="236"/>
    </row>
    <row r="197" spans="1:13" x14ac:dyDescent="0.2">
      <c r="A197" s="237"/>
      <c r="B197" s="302"/>
      <c r="C197" s="302"/>
      <c r="D197" s="302"/>
      <c r="E197" s="303"/>
      <c r="F197" s="302"/>
      <c r="G197" s="302"/>
      <c r="H197" s="302"/>
      <c r="I197" s="303"/>
      <c r="J197" s="302"/>
      <c r="K197" s="302"/>
      <c r="L197" s="302"/>
      <c r="M197" s="236"/>
    </row>
    <row r="198" spans="1:13" x14ac:dyDescent="0.2">
      <c r="A198" s="237"/>
      <c r="B198" s="302"/>
      <c r="C198" s="302"/>
      <c r="D198" s="302"/>
      <c r="E198" s="303"/>
      <c r="F198" s="302"/>
      <c r="G198" s="302"/>
      <c r="H198" s="302"/>
      <c r="I198" s="303"/>
      <c r="J198" s="302"/>
      <c r="K198" s="302"/>
      <c r="L198" s="302"/>
      <c r="M198" s="236"/>
    </row>
    <row r="199" spans="1:13" x14ac:dyDescent="0.2">
      <c r="A199" s="237"/>
      <c r="B199" s="302"/>
      <c r="C199" s="302"/>
      <c r="D199" s="302"/>
      <c r="E199" s="303"/>
      <c r="F199" s="302"/>
      <c r="G199" s="302"/>
      <c r="H199" s="302"/>
      <c r="I199" s="303"/>
      <c r="J199" s="302"/>
      <c r="K199" s="302"/>
      <c r="L199" s="302"/>
      <c r="M199" s="236"/>
    </row>
    <row r="200" spans="1:13" x14ac:dyDescent="0.2">
      <c r="A200" s="237"/>
      <c r="B200" s="302"/>
      <c r="C200" s="302"/>
      <c r="D200" s="302"/>
      <c r="E200" s="303"/>
      <c r="F200" s="302"/>
      <c r="G200" s="302"/>
      <c r="H200" s="302"/>
      <c r="I200" s="303"/>
      <c r="J200" s="302"/>
      <c r="K200" s="302"/>
      <c r="L200" s="302"/>
      <c r="M200" s="236"/>
    </row>
    <row r="201" spans="1:13" x14ac:dyDescent="0.2">
      <c r="A201" s="237"/>
      <c r="B201" s="302"/>
      <c r="C201" s="302"/>
      <c r="D201" s="302"/>
      <c r="E201" s="303"/>
      <c r="F201" s="302"/>
      <c r="G201" s="302"/>
      <c r="H201" s="302"/>
      <c r="I201" s="303"/>
      <c r="J201" s="302"/>
      <c r="K201" s="302"/>
      <c r="L201" s="302"/>
      <c r="M201" s="236"/>
    </row>
    <row r="202" spans="1:13" x14ac:dyDescent="0.2">
      <c r="A202" s="237"/>
      <c r="B202" s="302"/>
      <c r="C202" s="302"/>
      <c r="D202" s="302"/>
      <c r="E202" s="303"/>
      <c r="F202" s="302"/>
      <c r="G202" s="302"/>
      <c r="H202" s="302"/>
      <c r="I202" s="303"/>
      <c r="J202" s="302"/>
      <c r="K202" s="302"/>
      <c r="L202" s="302"/>
      <c r="M202" s="236"/>
    </row>
    <row r="203" spans="1:13" x14ac:dyDescent="0.2">
      <c r="A203" s="237"/>
      <c r="B203" s="302"/>
      <c r="C203" s="302"/>
      <c r="D203" s="302"/>
      <c r="E203" s="303"/>
      <c r="F203" s="302"/>
      <c r="G203" s="302"/>
      <c r="H203" s="302"/>
      <c r="I203" s="303"/>
      <c r="J203" s="302"/>
      <c r="K203" s="302"/>
      <c r="L203" s="302"/>
      <c r="M203" s="236"/>
    </row>
    <row r="204" spans="1:13" x14ac:dyDescent="0.2">
      <c r="A204" s="237"/>
      <c r="B204" s="302"/>
      <c r="C204" s="302"/>
      <c r="D204" s="302"/>
      <c r="E204" s="303"/>
      <c r="F204" s="302"/>
      <c r="G204" s="302"/>
      <c r="H204" s="302"/>
      <c r="I204" s="303"/>
      <c r="J204" s="302"/>
      <c r="K204" s="302"/>
      <c r="L204" s="302"/>
      <c r="M204" s="236"/>
    </row>
    <row r="205" spans="1:13" x14ac:dyDescent="0.2">
      <c r="A205" s="237"/>
      <c r="B205" s="302"/>
      <c r="C205" s="302"/>
      <c r="D205" s="302"/>
      <c r="E205" s="303"/>
      <c r="F205" s="302"/>
      <c r="G205" s="302"/>
      <c r="H205" s="302"/>
      <c r="I205" s="303"/>
      <c r="J205" s="302"/>
      <c r="K205" s="302"/>
      <c r="L205" s="302"/>
      <c r="M205" s="236"/>
    </row>
    <row r="206" spans="1:13" x14ac:dyDescent="0.2">
      <c r="A206" s="237"/>
      <c r="B206" s="303"/>
      <c r="C206" s="303"/>
      <c r="D206" s="303"/>
      <c r="E206" s="303"/>
      <c r="F206" s="303"/>
      <c r="G206" s="303"/>
      <c r="H206" s="303"/>
      <c r="I206" s="303"/>
      <c r="J206" s="303"/>
      <c r="K206" s="303"/>
      <c r="L206" s="303"/>
      <c r="M206" s="236"/>
    </row>
    <row r="207" spans="1:13" x14ac:dyDescent="0.2">
      <c r="A207" s="237"/>
      <c r="B207" s="237"/>
      <c r="C207" s="237"/>
      <c r="D207" s="237"/>
      <c r="E207" s="237"/>
      <c r="F207" s="237"/>
      <c r="G207" s="237"/>
      <c r="H207" s="237"/>
      <c r="I207" s="237"/>
      <c r="J207" s="237"/>
      <c r="K207" s="237"/>
      <c r="L207" s="240"/>
      <c r="M207" s="236"/>
    </row>
    <row r="208" spans="1:13" x14ac:dyDescent="0.2">
      <c r="A208" s="237"/>
      <c r="B208" s="237"/>
      <c r="C208" s="237"/>
      <c r="D208" s="237"/>
      <c r="E208" s="237"/>
      <c r="F208" s="237"/>
      <c r="G208" s="237"/>
      <c r="H208" s="237"/>
      <c r="I208" s="237"/>
      <c r="J208" s="237"/>
      <c r="K208" s="237"/>
      <c r="L208" s="284"/>
      <c r="M208" s="236"/>
    </row>
    <row r="209" spans="1:13" x14ac:dyDescent="0.2">
      <c r="A209" s="258"/>
      <c r="B209" s="241"/>
      <c r="C209" s="241"/>
      <c r="D209" s="241"/>
      <c r="E209" s="241"/>
      <c r="F209" s="241"/>
      <c r="G209" s="241"/>
      <c r="H209" s="241"/>
      <c r="I209" s="241"/>
      <c r="J209" s="241"/>
      <c r="K209" s="241"/>
      <c r="L209" s="236"/>
      <c r="M209" s="236"/>
    </row>
    <row r="210" spans="1:13" x14ac:dyDescent="0.2">
      <c r="A210" s="241"/>
      <c r="B210" s="375"/>
      <c r="C210" s="375"/>
      <c r="D210" s="375"/>
      <c r="E210" s="253"/>
      <c r="F210" s="375"/>
      <c r="G210" s="375"/>
      <c r="H210" s="375"/>
      <c r="I210" s="253"/>
      <c r="J210" s="375"/>
      <c r="K210" s="375"/>
      <c r="L210" s="375"/>
      <c r="M210" s="236"/>
    </row>
    <row r="211" spans="1:13" x14ac:dyDescent="0.2">
      <c r="A211" s="258"/>
      <c r="B211" s="259"/>
      <c r="C211" s="259"/>
      <c r="D211" s="259"/>
      <c r="E211" s="259"/>
      <c r="F211" s="259"/>
      <c r="G211" s="259"/>
      <c r="H211" s="259"/>
      <c r="I211" s="259"/>
      <c r="J211" s="259"/>
      <c r="K211" s="259"/>
      <c r="L211" s="259"/>
      <c r="M211" s="236"/>
    </row>
    <row r="212" spans="1:13" x14ac:dyDescent="0.2">
      <c r="A212" s="258"/>
      <c r="B212" s="259"/>
      <c r="C212" s="259"/>
      <c r="D212" s="259"/>
      <c r="E212" s="259"/>
      <c r="F212" s="259"/>
      <c r="G212" s="259"/>
      <c r="H212" s="259"/>
      <c r="I212" s="259"/>
      <c r="J212" s="259"/>
      <c r="K212" s="259"/>
      <c r="L212" s="259"/>
      <c r="M212" s="236"/>
    </row>
    <row r="213" spans="1:13" x14ac:dyDescent="0.2">
      <c r="A213" s="237"/>
      <c r="B213" s="302"/>
      <c r="C213" s="302"/>
      <c r="D213" s="302"/>
      <c r="E213" s="303"/>
      <c r="F213" s="302"/>
      <c r="G213" s="302"/>
      <c r="H213" s="302"/>
      <c r="I213" s="303"/>
      <c r="J213" s="302"/>
      <c r="K213" s="302"/>
      <c r="L213" s="302"/>
      <c r="M213" s="236"/>
    </row>
    <row r="214" spans="1:13" x14ac:dyDescent="0.2">
      <c r="A214" s="237"/>
      <c r="B214" s="302"/>
      <c r="C214" s="302"/>
      <c r="D214" s="302"/>
      <c r="E214" s="303"/>
      <c r="F214" s="302"/>
      <c r="G214" s="302"/>
      <c r="H214" s="302"/>
      <c r="I214" s="303"/>
      <c r="J214" s="302"/>
      <c r="K214" s="302"/>
      <c r="L214" s="302"/>
      <c r="M214" s="236"/>
    </row>
    <row r="215" spans="1:13" x14ac:dyDescent="0.2">
      <c r="A215" s="237"/>
      <c r="B215" s="302"/>
      <c r="C215" s="302"/>
      <c r="D215" s="302"/>
      <c r="E215" s="303"/>
      <c r="F215" s="302"/>
      <c r="G215" s="302"/>
      <c r="H215" s="302"/>
      <c r="I215" s="303"/>
      <c r="J215" s="302"/>
      <c r="K215" s="302"/>
      <c r="L215" s="302"/>
      <c r="M215" s="236"/>
    </row>
    <row r="216" spans="1:13" x14ac:dyDescent="0.2">
      <c r="A216" s="237"/>
      <c r="B216" s="302"/>
      <c r="C216" s="302"/>
      <c r="D216" s="302"/>
      <c r="E216" s="303"/>
      <c r="F216" s="302"/>
      <c r="G216" s="302"/>
      <c r="H216" s="302"/>
      <c r="I216" s="303"/>
      <c r="J216" s="302"/>
      <c r="K216" s="302"/>
      <c r="L216" s="302"/>
      <c r="M216" s="236"/>
    </row>
    <row r="217" spans="1:13" x14ac:dyDescent="0.2">
      <c r="A217" s="237"/>
      <c r="B217" s="302"/>
      <c r="C217" s="302"/>
      <c r="D217" s="302"/>
      <c r="E217" s="303"/>
      <c r="F217" s="302"/>
      <c r="G217" s="302"/>
      <c r="H217" s="302"/>
      <c r="I217" s="303"/>
      <c r="J217" s="302"/>
      <c r="K217" s="302"/>
      <c r="L217" s="302"/>
      <c r="M217" s="236"/>
    </row>
    <row r="218" spans="1:13" x14ac:dyDescent="0.2">
      <c r="A218" s="237"/>
      <c r="B218" s="302"/>
      <c r="C218" s="302"/>
      <c r="D218" s="302"/>
      <c r="E218" s="303"/>
      <c r="F218" s="302"/>
      <c r="G218" s="302"/>
      <c r="H218" s="302"/>
      <c r="I218" s="303"/>
      <c r="J218" s="302"/>
      <c r="K218" s="302"/>
      <c r="L218" s="302"/>
      <c r="M218" s="236"/>
    </row>
    <row r="219" spans="1:13" x14ac:dyDescent="0.2">
      <c r="A219" s="237"/>
      <c r="B219" s="302"/>
      <c r="C219" s="302"/>
      <c r="D219" s="302"/>
      <c r="E219" s="303"/>
      <c r="F219" s="302"/>
      <c r="G219" s="302"/>
      <c r="H219" s="302"/>
      <c r="I219" s="303"/>
      <c r="J219" s="302"/>
      <c r="K219" s="302"/>
      <c r="L219" s="302"/>
      <c r="M219" s="236"/>
    </row>
    <row r="220" spans="1:13" x14ac:dyDescent="0.2">
      <c r="A220" s="237"/>
      <c r="B220" s="302"/>
      <c r="C220" s="302"/>
      <c r="D220" s="302"/>
      <c r="E220" s="303"/>
      <c r="F220" s="302"/>
      <c r="G220" s="302"/>
      <c r="H220" s="302"/>
      <c r="I220" s="303"/>
      <c r="J220" s="302"/>
      <c r="K220" s="302"/>
      <c r="L220" s="302"/>
      <c r="M220" s="236"/>
    </row>
    <row r="221" spans="1:13" x14ac:dyDescent="0.2">
      <c r="A221" s="237"/>
      <c r="B221" s="302"/>
      <c r="C221" s="302"/>
      <c r="D221" s="302"/>
      <c r="E221" s="303"/>
      <c r="F221" s="302"/>
      <c r="G221" s="302"/>
      <c r="H221" s="302"/>
      <c r="I221" s="303"/>
      <c r="J221" s="302"/>
      <c r="K221" s="302"/>
      <c r="L221" s="302"/>
      <c r="M221" s="236"/>
    </row>
    <row r="222" spans="1:13" x14ac:dyDescent="0.2">
      <c r="A222" s="237"/>
      <c r="B222" s="302"/>
      <c r="C222" s="302"/>
      <c r="D222" s="302"/>
      <c r="E222" s="303"/>
      <c r="F222" s="302"/>
      <c r="G222" s="302"/>
      <c r="H222" s="302"/>
      <c r="I222" s="303"/>
      <c r="J222" s="302"/>
      <c r="K222" s="302"/>
      <c r="L222" s="302"/>
      <c r="M222" s="236"/>
    </row>
    <row r="223" spans="1:13" x14ac:dyDescent="0.2">
      <c r="A223" s="237"/>
      <c r="B223" s="303"/>
      <c r="C223" s="303"/>
      <c r="D223" s="303"/>
      <c r="E223" s="303"/>
      <c r="F223" s="303"/>
      <c r="G223" s="303"/>
      <c r="H223" s="303"/>
      <c r="I223" s="303"/>
      <c r="J223" s="303"/>
      <c r="K223" s="303"/>
      <c r="L223" s="303"/>
      <c r="M223" s="236"/>
    </row>
    <row r="224" spans="1:13" x14ac:dyDescent="0.2">
      <c r="A224" s="237"/>
      <c r="B224" s="237"/>
      <c r="C224" s="237"/>
      <c r="D224" s="237"/>
      <c r="E224" s="237"/>
      <c r="F224" s="237"/>
      <c r="G224" s="237"/>
      <c r="H224" s="237"/>
      <c r="I224" s="237"/>
      <c r="J224" s="237"/>
      <c r="K224" s="237"/>
      <c r="L224" s="240"/>
      <c r="M224" s="236"/>
    </row>
    <row r="225" spans="1:13" x14ac:dyDescent="0.2">
      <c r="A225" s="237"/>
      <c r="B225" s="237"/>
      <c r="C225" s="237"/>
      <c r="D225" s="237"/>
      <c r="E225" s="237"/>
      <c r="F225" s="237"/>
      <c r="G225" s="237"/>
      <c r="H225" s="237"/>
      <c r="I225" s="237"/>
      <c r="J225" s="237"/>
      <c r="K225" s="237"/>
      <c r="L225" s="284"/>
      <c r="M225" s="236"/>
    </row>
    <row r="226" spans="1:13" x14ac:dyDescent="0.2">
      <c r="A226" s="258"/>
      <c r="B226" s="241"/>
      <c r="C226" s="241"/>
      <c r="D226" s="241"/>
      <c r="E226" s="241"/>
      <c r="F226" s="241"/>
      <c r="G226" s="241"/>
      <c r="H226" s="241"/>
      <c r="I226" s="241"/>
      <c r="J226" s="241"/>
      <c r="K226" s="241"/>
      <c r="L226" s="236"/>
      <c r="M226" s="236"/>
    </row>
    <row r="227" spans="1:13" x14ac:dyDescent="0.2">
      <c r="A227" s="241"/>
      <c r="B227" s="375"/>
      <c r="C227" s="375"/>
      <c r="D227" s="375"/>
      <c r="E227" s="253"/>
      <c r="F227" s="375"/>
      <c r="G227" s="375"/>
      <c r="H227" s="375"/>
      <c r="I227" s="253"/>
      <c r="J227" s="375"/>
      <c r="K227" s="375"/>
      <c r="L227" s="375"/>
      <c r="M227" s="236"/>
    </row>
    <row r="228" spans="1:13" x14ac:dyDescent="0.2">
      <c r="A228" s="258"/>
      <c r="B228" s="259"/>
      <c r="C228" s="259"/>
      <c r="D228" s="259"/>
      <c r="E228" s="259"/>
      <c r="F228" s="259"/>
      <c r="G228" s="259"/>
      <c r="H228" s="259"/>
      <c r="I228" s="259"/>
      <c r="J228" s="259"/>
      <c r="K228" s="259"/>
      <c r="L228" s="259"/>
      <c r="M228" s="236"/>
    </row>
    <row r="229" spans="1:13" x14ac:dyDescent="0.2">
      <c r="A229" s="258"/>
      <c r="B229" s="259"/>
      <c r="C229" s="259"/>
      <c r="D229" s="259"/>
      <c r="E229" s="259"/>
      <c r="F229" s="259"/>
      <c r="G229" s="259"/>
      <c r="H229" s="259"/>
      <c r="I229" s="259"/>
      <c r="J229" s="259"/>
      <c r="K229" s="259"/>
      <c r="L229" s="259"/>
      <c r="M229" s="236"/>
    </row>
    <row r="230" spans="1:13" x14ac:dyDescent="0.2">
      <c r="A230" s="237"/>
      <c r="B230" s="302"/>
      <c r="C230" s="302"/>
      <c r="D230" s="302"/>
      <c r="E230" s="303"/>
      <c r="F230" s="302"/>
      <c r="G230" s="302"/>
      <c r="H230" s="302"/>
      <c r="I230" s="303"/>
      <c r="J230" s="302"/>
      <c r="K230" s="302"/>
      <c r="L230" s="302"/>
      <c r="M230" s="236"/>
    </row>
    <row r="231" spans="1:13" x14ac:dyDescent="0.2">
      <c r="A231" s="237"/>
      <c r="B231" s="302"/>
      <c r="C231" s="302"/>
      <c r="D231" s="302"/>
      <c r="E231" s="303"/>
      <c r="F231" s="302"/>
      <c r="G231" s="302"/>
      <c r="H231" s="302"/>
      <c r="I231" s="303"/>
      <c r="J231" s="302"/>
      <c r="K231" s="302"/>
      <c r="L231" s="302"/>
      <c r="M231" s="236"/>
    </row>
    <row r="232" spans="1:13" x14ac:dyDescent="0.2">
      <c r="A232" s="237"/>
      <c r="B232" s="302"/>
      <c r="C232" s="302"/>
      <c r="D232" s="302"/>
      <c r="E232" s="303"/>
      <c r="F232" s="302"/>
      <c r="G232" s="302"/>
      <c r="H232" s="302"/>
      <c r="I232" s="303"/>
      <c r="J232" s="302"/>
      <c r="K232" s="302"/>
      <c r="L232" s="302"/>
      <c r="M232" s="236"/>
    </row>
    <row r="233" spans="1:13" x14ac:dyDescent="0.2">
      <c r="A233" s="237"/>
      <c r="B233" s="302"/>
      <c r="C233" s="302"/>
      <c r="D233" s="302"/>
      <c r="E233" s="303"/>
      <c r="F233" s="302"/>
      <c r="G233" s="302"/>
      <c r="H233" s="302"/>
      <c r="I233" s="303"/>
      <c r="J233" s="302"/>
      <c r="K233" s="302"/>
      <c r="L233" s="302"/>
      <c r="M233" s="236"/>
    </row>
    <row r="234" spans="1:13" x14ac:dyDescent="0.2">
      <c r="A234" s="237"/>
      <c r="B234" s="302"/>
      <c r="C234" s="302"/>
      <c r="D234" s="302"/>
      <c r="E234" s="303"/>
      <c r="F234" s="302"/>
      <c r="G234" s="302"/>
      <c r="H234" s="302"/>
      <c r="I234" s="303"/>
      <c r="J234" s="302"/>
      <c r="K234" s="302"/>
      <c r="L234" s="302"/>
      <c r="M234" s="236"/>
    </row>
    <row r="235" spans="1:13" x14ac:dyDescent="0.2">
      <c r="A235" s="237"/>
      <c r="B235" s="302"/>
      <c r="C235" s="302"/>
      <c r="D235" s="302"/>
      <c r="E235" s="303"/>
      <c r="F235" s="302"/>
      <c r="G235" s="302"/>
      <c r="H235" s="302"/>
      <c r="I235" s="303"/>
      <c r="J235" s="302"/>
      <c r="K235" s="302"/>
      <c r="L235" s="302"/>
      <c r="M235" s="236"/>
    </row>
    <row r="236" spans="1:13" x14ac:dyDescent="0.2">
      <c r="A236" s="237"/>
      <c r="B236" s="302"/>
      <c r="C236" s="302"/>
      <c r="D236" s="302"/>
      <c r="E236" s="303"/>
      <c r="F236" s="302"/>
      <c r="G236" s="302"/>
      <c r="H236" s="302"/>
      <c r="I236" s="303"/>
      <c r="J236" s="302"/>
      <c r="K236" s="302"/>
      <c r="L236" s="302"/>
      <c r="M236" s="236"/>
    </row>
    <row r="237" spans="1:13" x14ac:dyDescent="0.2">
      <c r="A237" s="237"/>
      <c r="B237" s="302"/>
      <c r="C237" s="302"/>
      <c r="D237" s="302"/>
      <c r="E237" s="303"/>
      <c r="F237" s="302"/>
      <c r="G237" s="302"/>
      <c r="H237" s="302"/>
      <c r="I237" s="303"/>
      <c r="J237" s="302"/>
      <c r="K237" s="302"/>
      <c r="L237" s="302"/>
      <c r="M237" s="236"/>
    </row>
    <row r="238" spans="1:13" x14ac:dyDescent="0.2">
      <c r="A238" s="237"/>
      <c r="B238" s="302"/>
      <c r="C238" s="302"/>
      <c r="D238" s="302"/>
      <c r="E238" s="303"/>
      <c r="F238" s="302"/>
      <c r="G238" s="302"/>
      <c r="H238" s="302"/>
      <c r="I238" s="303"/>
      <c r="J238" s="302"/>
      <c r="K238" s="302"/>
      <c r="L238" s="302"/>
      <c r="M238" s="236"/>
    </row>
    <row r="239" spans="1:13" x14ac:dyDescent="0.2">
      <c r="A239" s="237"/>
      <c r="B239" s="302"/>
      <c r="C239" s="302"/>
      <c r="D239" s="302"/>
      <c r="E239" s="303"/>
      <c r="F239" s="302"/>
      <c r="G239" s="302"/>
      <c r="H239" s="302"/>
      <c r="I239" s="303"/>
      <c r="J239" s="302"/>
      <c r="K239" s="302"/>
      <c r="L239" s="302"/>
      <c r="M239" s="236"/>
    </row>
    <row r="240" spans="1:13" x14ac:dyDescent="0.2">
      <c r="A240" s="237"/>
      <c r="B240" s="303"/>
      <c r="C240" s="303"/>
      <c r="D240" s="303"/>
      <c r="E240" s="303"/>
      <c r="F240" s="303"/>
      <c r="G240" s="303"/>
      <c r="H240" s="303"/>
      <c r="I240" s="303"/>
      <c r="J240" s="303"/>
      <c r="K240" s="303"/>
      <c r="L240" s="303"/>
      <c r="M240" s="236"/>
    </row>
    <row r="241" spans="1:13" x14ac:dyDescent="0.2">
      <c r="A241" s="237"/>
      <c r="B241" s="237"/>
      <c r="C241" s="237"/>
      <c r="D241" s="237"/>
      <c r="E241" s="237"/>
      <c r="F241" s="237"/>
      <c r="G241" s="237"/>
      <c r="H241" s="237"/>
      <c r="I241" s="237"/>
      <c r="J241" s="237"/>
      <c r="K241" s="237"/>
      <c r="L241" s="240"/>
      <c r="M241" s="236"/>
    </row>
    <row r="242" spans="1:13" x14ac:dyDescent="0.2">
      <c r="A242" s="237"/>
      <c r="B242" s="237"/>
      <c r="C242" s="237"/>
      <c r="D242" s="237"/>
      <c r="E242" s="237"/>
      <c r="F242" s="237"/>
      <c r="G242" s="237"/>
      <c r="H242" s="237"/>
      <c r="I242" s="237"/>
      <c r="J242" s="237"/>
      <c r="K242" s="237"/>
      <c r="L242" s="284"/>
      <c r="M242" s="236"/>
    </row>
    <row r="243" spans="1:13" x14ac:dyDescent="0.2">
      <c r="A243" s="258"/>
      <c r="B243" s="241"/>
      <c r="C243" s="241"/>
      <c r="D243" s="241"/>
      <c r="E243" s="241"/>
      <c r="F243" s="241"/>
      <c r="G243" s="241"/>
      <c r="H243" s="241"/>
      <c r="I243" s="241"/>
      <c r="J243" s="241"/>
      <c r="K243" s="241"/>
      <c r="L243" s="236"/>
      <c r="M243" s="236"/>
    </row>
    <row r="244" spans="1:13" x14ac:dyDescent="0.2">
      <c r="A244" s="241"/>
      <c r="B244" s="375"/>
      <c r="C244" s="375"/>
      <c r="D244" s="375"/>
      <c r="E244" s="253"/>
      <c r="F244" s="375"/>
      <c r="G244" s="375"/>
      <c r="H244" s="375"/>
      <c r="I244" s="253"/>
      <c r="J244" s="375"/>
      <c r="K244" s="375"/>
      <c r="L244" s="375"/>
      <c r="M244" s="236"/>
    </row>
    <row r="245" spans="1:13" x14ac:dyDescent="0.2">
      <c r="A245" s="258"/>
      <c r="B245" s="259"/>
      <c r="C245" s="259"/>
      <c r="D245" s="259"/>
      <c r="E245" s="259"/>
      <c r="F245" s="259"/>
      <c r="G245" s="259"/>
      <c r="H245" s="259"/>
      <c r="I245" s="259"/>
      <c r="J245" s="259"/>
      <c r="K245" s="259"/>
      <c r="L245" s="259"/>
      <c r="M245" s="236"/>
    </row>
    <row r="246" spans="1:13" x14ac:dyDescent="0.2">
      <c r="A246" s="258"/>
      <c r="B246" s="259"/>
      <c r="C246" s="259"/>
      <c r="D246" s="259"/>
      <c r="E246" s="259"/>
      <c r="F246" s="259"/>
      <c r="G246" s="259"/>
      <c r="H246" s="259"/>
      <c r="I246" s="259"/>
      <c r="J246" s="259"/>
      <c r="K246" s="259"/>
      <c r="L246" s="259"/>
      <c r="M246" s="236"/>
    </row>
    <row r="247" spans="1:13" x14ac:dyDescent="0.2">
      <c r="A247" s="237"/>
      <c r="B247" s="302"/>
      <c r="C247" s="302"/>
      <c r="D247" s="302"/>
      <c r="E247" s="303"/>
      <c r="F247" s="302"/>
      <c r="G247" s="302"/>
      <c r="H247" s="302"/>
      <c r="I247" s="303"/>
      <c r="J247" s="302"/>
      <c r="K247" s="302"/>
      <c r="L247" s="302"/>
      <c r="M247" s="236"/>
    </row>
    <row r="248" spans="1:13" x14ac:dyDescent="0.2">
      <c r="A248" s="237"/>
      <c r="B248" s="302"/>
      <c r="C248" s="302"/>
      <c r="D248" s="302"/>
      <c r="E248" s="303"/>
      <c r="F248" s="302"/>
      <c r="G248" s="302"/>
      <c r="H248" s="302"/>
      <c r="I248" s="303"/>
      <c r="J248" s="302"/>
      <c r="K248" s="302"/>
      <c r="L248" s="302"/>
      <c r="M248" s="236"/>
    </row>
    <row r="249" spans="1:13" x14ac:dyDescent="0.2">
      <c r="A249" s="237"/>
      <c r="B249" s="302"/>
      <c r="C249" s="302"/>
      <c r="D249" s="302"/>
      <c r="E249" s="303"/>
      <c r="F249" s="302"/>
      <c r="G249" s="302"/>
      <c r="H249" s="302"/>
      <c r="I249" s="303"/>
      <c r="J249" s="302"/>
      <c r="K249" s="302"/>
      <c r="L249" s="302"/>
      <c r="M249" s="236"/>
    </row>
    <row r="250" spans="1:13" x14ac:dyDescent="0.2">
      <c r="A250" s="237"/>
      <c r="B250" s="302"/>
      <c r="C250" s="302"/>
      <c r="D250" s="302"/>
      <c r="E250" s="303"/>
      <c r="F250" s="302"/>
      <c r="G250" s="302"/>
      <c r="H250" s="302"/>
      <c r="I250" s="303"/>
      <c r="J250" s="302"/>
      <c r="K250" s="302"/>
      <c r="L250" s="302"/>
      <c r="M250" s="236"/>
    </row>
    <row r="251" spans="1:13" x14ac:dyDescent="0.2">
      <c r="A251" s="237"/>
      <c r="B251" s="302"/>
      <c r="C251" s="302"/>
      <c r="D251" s="302"/>
      <c r="E251" s="303"/>
      <c r="F251" s="302"/>
      <c r="G251" s="302"/>
      <c r="H251" s="302"/>
      <c r="I251" s="303"/>
      <c r="J251" s="302"/>
      <c r="K251" s="302"/>
      <c r="L251" s="302"/>
      <c r="M251" s="236"/>
    </row>
    <row r="252" spans="1:13" x14ac:dyDescent="0.2">
      <c r="A252" s="237"/>
      <c r="B252" s="302"/>
      <c r="C252" s="302"/>
      <c r="D252" s="302"/>
      <c r="E252" s="303"/>
      <c r="F252" s="302"/>
      <c r="G252" s="302"/>
      <c r="H252" s="302"/>
      <c r="I252" s="303"/>
      <c r="J252" s="302"/>
      <c r="K252" s="302"/>
      <c r="L252" s="302"/>
      <c r="M252" s="236"/>
    </row>
    <row r="253" spans="1:13" x14ac:dyDescent="0.2">
      <c r="A253" s="237"/>
      <c r="B253" s="302"/>
      <c r="C253" s="302"/>
      <c r="D253" s="302"/>
      <c r="E253" s="303"/>
      <c r="F253" s="302"/>
      <c r="G253" s="302"/>
      <c r="H253" s="302"/>
      <c r="I253" s="303"/>
      <c r="J253" s="302"/>
      <c r="K253" s="302"/>
      <c r="L253" s="302"/>
      <c r="M253" s="236"/>
    </row>
    <row r="254" spans="1:13" x14ac:dyDescent="0.2">
      <c r="A254" s="237"/>
      <c r="B254" s="302"/>
      <c r="C254" s="302"/>
      <c r="D254" s="302"/>
      <c r="E254" s="303"/>
      <c r="F254" s="302"/>
      <c r="G254" s="302"/>
      <c r="H254" s="302"/>
      <c r="I254" s="303"/>
      <c r="J254" s="302"/>
      <c r="K254" s="302"/>
      <c r="L254" s="302"/>
      <c r="M254" s="236"/>
    </row>
    <row r="255" spans="1:13" x14ac:dyDescent="0.2">
      <c r="A255" s="237"/>
      <c r="B255" s="302"/>
      <c r="C255" s="302"/>
      <c r="D255" s="302"/>
      <c r="E255" s="303"/>
      <c r="F255" s="302"/>
      <c r="G255" s="302"/>
      <c r="H255" s="302"/>
      <c r="I255" s="303"/>
      <c r="J255" s="302"/>
      <c r="K255" s="302"/>
      <c r="L255" s="302"/>
      <c r="M255" s="236"/>
    </row>
    <row r="256" spans="1:13" x14ac:dyDescent="0.2">
      <c r="A256" s="237"/>
      <c r="B256" s="302"/>
      <c r="C256" s="302"/>
      <c r="D256" s="302"/>
      <c r="E256" s="303"/>
      <c r="F256" s="302"/>
      <c r="G256" s="302"/>
      <c r="H256" s="302"/>
      <c r="I256" s="303"/>
      <c r="J256" s="302"/>
      <c r="K256" s="302"/>
      <c r="L256" s="302"/>
      <c r="M256" s="236"/>
    </row>
    <row r="257" spans="1:13" x14ac:dyDescent="0.2">
      <c r="A257" s="237"/>
      <c r="B257" s="303"/>
      <c r="C257" s="303"/>
      <c r="D257" s="303"/>
      <c r="E257" s="303"/>
      <c r="F257" s="303"/>
      <c r="G257" s="303"/>
      <c r="H257" s="303"/>
      <c r="I257" s="303"/>
      <c r="J257" s="303"/>
      <c r="K257" s="303"/>
      <c r="L257" s="303"/>
      <c r="M257" s="236"/>
    </row>
    <row r="258" spans="1:13" x14ac:dyDescent="0.2">
      <c r="A258" s="237"/>
      <c r="B258" s="237"/>
      <c r="C258" s="237"/>
      <c r="D258" s="237"/>
      <c r="E258" s="237"/>
      <c r="F258" s="237"/>
      <c r="G258" s="237"/>
      <c r="H258" s="237"/>
      <c r="I258" s="237"/>
      <c r="J258" s="237"/>
      <c r="K258" s="237"/>
      <c r="L258" s="240"/>
      <c r="M258" s="236"/>
    </row>
    <row r="259" spans="1:13" x14ac:dyDescent="0.2">
      <c r="A259" s="237"/>
      <c r="B259" s="237"/>
      <c r="C259" s="237"/>
      <c r="D259" s="237"/>
      <c r="E259" s="237"/>
      <c r="F259" s="237"/>
      <c r="G259" s="237"/>
      <c r="H259" s="237"/>
      <c r="I259" s="237"/>
      <c r="J259" s="237"/>
      <c r="K259" s="237"/>
      <c r="L259" s="284"/>
      <c r="M259" s="236"/>
    </row>
    <row r="260" spans="1:13" x14ac:dyDescent="0.2">
      <c r="A260" s="258"/>
      <c r="B260" s="241"/>
      <c r="C260" s="241"/>
      <c r="D260" s="241"/>
      <c r="E260" s="241"/>
      <c r="F260" s="241"/>
      <c r="G260" s="241"/>
      <c r="H260" s="241"/>
      <c r="I260" s="241"/>
      <c r="J260" s="241"/>
      <c r="K260" s="241"/>
      <c r="L260" s="236"/>
      <c r="M260" s="236"/>
    </row>
    <row r="261" spans="1:13" x14ac:dyDescent="0.2">
      <c r="A261" s="241"/>
      <c r="B261" s="375"/>
      <c r="C261" s="375"/>
      <c r="D261" s="375"/>
      <c r="E261" s="253"/>
      <c r="F261" s="375"/>
      <c r="G261" s="375"/>
      <c r="H261" s="375"/>
      <c r="I261" s="253"/>
      <c r="J261" s="375"/>
      <c r="K261" s="375"/>
      <c r="L261" s="375"/>
      <c r="M261" s="236"/>
    </row>
    <row r="262" spans="1:13" x14ac:dyDescent="0.2">
      <c r="A262" s="258"/>
      <c r="B262" s="259"/>
      <c r="C262" s="259"/>
      <c r="D262" s="259"/>
      <c r="E262" s="259"/>
      <c r="F262" s="259"/>
      <c r="G262" s="259"/>
      <c r="H262" s="259"/>
      <c r="I262" s="259"/>
      <c r="J262" s="259"/>
      <c r="K262" s="259"/>
      <c r="L262" s="259"/>
      <c r="M262" s="236"/>
    </row>
    <row r="263" spans="1:13" x14ac:dyDescent="0.2">
      <c r="A263" s="258"/>
      <c r="B263" s="259"/>
      <c r="C263" s="259"/>
      <c r="D263" s="259"/>
      <c r="E263" s="259"/>
      <c r="F263" s="259"/>
      <c r="G263" s="259"/>
      <c r="H263" s="259"/>
      <c r="I263" s="259"/>
      <c r="J263" s="259"/>
      <c r="K263" s="259"/>
      <c r="L263" s="259"/>
      <c r="M263" s="236"/>
    </row>
    <row r="264" spans="1:13" x14ac:dyDescent="0.2">
      <c r="A264" s="237"/>
      <c r="B264" s="302"/>
      <c r="C264" s="302"/>
      <c r="D264" s="302"/>
      <c r="E264" s="303"/>
      <c r="F264" s="302"/>
      <c r="G264" s="302"/>
      <c r="H264" s="302"/>
      <c r="I264" s="303"/>
      <c r="J264" s="302"/>
      <c r="K264" s="302"/>
      <c r="L264" s="302"/>
      <c r="M264" s="236"/>
    </row>
    <row r="265" spans="1:13" x14ac:dyDescent="0.2">
      <c r="A265" s="237"/>
      <c r="B265" s="302"/>
      <c r="C265" s="302"/>
      <c r="D265" s="302"/>
      <c r="E265" s="303"/>
      <c r="F265" s="302"/>
      <c r="G265" s="302"/>
      <c r="H265" s="302"/>
      <c r="I265" s="303"/>
      <c r="J265" s="302"/>
      <c r="K265" s="302"/>
      <c r="L265" s="302"/>
      <c r="M265" s="236"/>
    </row>
    <row r="266" spans="1:13" x14ac:dyDescent="0.2">
      <c r="A266" s="237"/>
      <c r="B266" s="302"/>
      <c r="C266" s="302"/>
      <c r="D266" s="302"/>
      <c r="E266" s="303"/>
      <c r="F266" s="302"/>
      <c r="G266" s="302"/>
      <c r="H266" s="302"/>
      <c r="I266" s="303"/>
      <c r="J266" s="302"/>
      <c r="K266" s="302"/>
      <c r="L266" s="302"/>
      <c r="M266" s="236"/>
    </row>
    <row r="267" spans="1:13" x14ac:dyDescent="0.2">
      <c r="A267" s="237"/>
      <c r="B267" s="302"/>
      <c r="C267" s="302"/>
      <c r="D267" s="302"/>
      <c r="E267" s="303"/>
      <c r="F267" s="302"/>
      <c r="G267" s="302"/>
      <c r="H267" s="302"/>
      <c r="I267" s="303"/>
      <c r="J267" s="302"/>
      <c r="K267" s="302"/>
      <c r="L267" s="302"/>
      <c r="M267" s="236"/>
    </row>
    <row r="268" spans="1:13" x14ac:dyDescent="0.2">
      <c r="A268" s="237"/>
      <c r="B268" s="302"/>
      <c r="C268" s="302"/>
      <c r="D268" s="302"/>
      <c r="E268" s="303"/>
      <c r="F268" s="302"/>
      <c r="G268" s="302"/>
      <c r="H268" s="302"/>
      <c r="I268" s="303"/>
      <c r="J268" s="302"/>
      <c r="K268" s="302"/>
      <c r="L268" s="302"/>
      <c r="M268" s="236"/>
    </row>
    <row r="269" spans="1:13" x14ac:dyDescent="0.2">
      <c r="A269" s="237"/>
      <c r="B269" s="302"/>
      <c r="C269" s="302"/>
      <c r="D269" s="302"/>
      <c r="E269" s="303"/>
      <c r="F269" s="302"/>
      <c r="G269" s="302"/>
      <c r="H269" s="302"/>
      <c r="I269" s="303"/>
      <c r="J269" s="302"/>
      <c r="K269" s="302"/>
      <c r="L269" s="302"/>
      <c r="M269" s="236"/>
    </row>
    <row r="270" spans="1:13" x14ac:dyDescent="0.2">
      <c r="A270" s="237"/>
      <c r="B270" s="302"/>
      <c r="C270" s="302"/>
      <c r="D270" s="302"/>
      <c r="E270" s="303"/>
      <c r="F270" s="302"/>
      <c r="G270" s="302"/>
      <c r="H270" s="302"/>
      <c r="I270" s="303"/>
      <c r="J270" s="302"/>
      <c r="K270" s="302"/>
      <c r="L270" s="302"/>
      <c r="M270" s="236"/>
    </row>
    <row r="271" spans="1:13" x14ac:dyDescent="0.2">
      <c r="A271" s="237"/>
      <c r="B271" s="302"/>
      <c r="C271" s="302"/>
      <c r="D271" s="302"/>
      <c r="E271" s="303"/>
      <c r="F271" s="302"/>
      <c r="G271" s="302"/>
      <c r="H271" s="302"/>
      <c r="I271" s="303"/>
      <c r="J271" s="302"/>
      <c r="K271" s="302"/>
      <c r="L271" s="302"/>
      <c r="M271" s="236"/>
    </row>
    <row r="272" spans="1:13" x14ac:dyDescent="0.2">
      <c r="A272" s="237"/>
      <c r="B272" s="302"/>
      <c r="C272" s="302"/>
      <c r="D272" s="302"/>
      <c r="E272" s="303"/>
      <c r="F272" s="302"/>
      <c r="G272" s="302"/>
      <c r="H272" s="302"/>
      <c r="I272" s="303"/>
      <c r="J272" s="302"/>
      <c r="K272" s="302"/>
      <c r="L272" s="302"/>
      <c r="M272" s="236"/>
    </row>
    <row r="273" spans="1:13" x14ac:dyDescent="0.2">
      <c r="A273" s="237"/>
      <c r="B273" s="302"/>
      <c r="C273" s="302"/>
      <c r="D273" s="302"/>
      <c r="E273" s="303"/>
      <c r="F273" s="302"/>
      <c r="G273" s="302"/>
      <c r="H273" s="302"/>
      <c r="I273" s="303"/>
      <c r="J273" s="302"/>
      <c r="K273" s="302"/>
      <c r="L273" s="302"/>
      <c r="M273" s="236"/>
    </row>
    <row r="274" spans="1:13" x14ac:dyDescent="0.2">
      <c r="A274" s="237"/>
      <c r="B274" s="303"/>
      <c r="C274" s="303"/>
      <c r="D274" s="303"/>
      <c r="E274" s="303"/>
      <c r="F274" s="303"/>
      <c r="G274" s="303"/>
      <c r="H274" s="303"/>
      <c r="I274" s="303"/>
      <c r="J274" s="303"/>
      <c r="K274" s="303"/>
      <c r="L274" s="303"/>
      <c r="M274" s="236"/>
    </row>
    <row r="275" spans="1:13" x14ac:dyDescent="0.2">
      <c r="A275" s="237"/>
      <c r="B275" s="237"/>
      <c r="C275" s="237"/>
      <c r="D275" s="237"/>
      <c r="E275" s="237"/>
      <c r="F275" s="237"/>
      <c r="G275" s="237"/>
      <c r="H275" s="237"/>
      <c r="I275" s="237"/>
      <c r="J275" s="237"/>
      <c r="K275" s="237"/>
      <c r="L275" s="240"/>
      <c r="M275" s="236"/>
    </row>
    <row r="276" spans="1:13" x14ac:dyDescent="0.2">
      <c r="A276" s="237"/>
      <c r="B276" s="237"/>
      <c r="C276" s="237"/>
      <c r="D276" s="237"/>
      <c r="E276" s="237"/>
      <c r="F276" s="237"/>
      <c r="G276" s="237"/>
      <c r="H276" s="237"/>
      <c r="I276" s="237"/>
      <c r="J276" s="237"/>
      <c r="K276" s="237"/>
      <c r="L276" s="284"/>
      <c r="M276" s="236"/>
    </row>
    <row r="277" spans="1:13" x14ac:dyDescent="0.2">
      <c r="A277" s="258"/>
      <c r="B277" s="241"/>
      <c r="C277" s="241"/>
      <c r="D277" s="241"/>
      <c r="E277" s="241"/>
      <c r="F277" s="241"/>
      <c r="G277" s="241"/>
      <c r="H277" s="241"/>
      <c r="I277" s="241"/>
      <c r="J277" s="241"/>
      <c r="K277" s="241"/>
      <c r="L277" s="236"/>
      <c r="M277" s="236"/>
    </row>
    <row r="278" spans="1:13" x14ac:dyDescent="0.2">
      <c r="A278" s="241"/>
      <c r="B278" s="375"/>
      <c r="C278" s="375"/>
      <c r="D278" s="375"/>
      <c r="E278" s="253"/>
      <c r="F278" s="375"/>
      <c r="G278" s="375"/>
      <c r="H278" s="375"/>
      <c r="I278" s="253"/>
      <c r="J278" s="375"/>
      <c r="K278" s="375"/>
      <c r="L278" s="375"/>
      <c r="M278" s="236"/>
    </row>
    <row r="279" spans="1:13" x14ac:dyDescent="0.2">
      <c r="A279" s="258"/>
      <c r="B279" s="259"/>
      <c r="C279" s="259"/>
      <c r="D279" s="259"/>
      <c r="E279" s="259"/>
      <c r="F279" s="259"/>
      <c r="G279" s="259"/>
      <c r="H279" s="259"/>
      <c r="I279" s="259"/>
      <c r="J279" s="259"/>
      <c r="K279" s="259"/>
      <c r="L279" s="259"/>
      <c r="M279" s="236"/>
    </row>
    <row r="280" spans="1:13" x14ac:dyDescent="0.2">
      <c r="A280" s="258"/>
      <c r="B280" s="259"/>
      <c r="C280" s="259"/>
      <c r="D280" s="259"/>
      <c r="E280" s="259"/>
      <c r="F280" s="259"/>
      <c r="G280" s="259"/>
      <c r="H280" s="259"/>
      <c r="I280" s="259"/>
      <c r="J280" s="259"/>
      <c r="K280" s="259"/>
      <c r="L280" s="259"/>
      <c r="M280" s="236"/>
    </row>
    <row r="281" spans="1:13" x14ac:dyDescent="0.2">
      <c r="A281" s="237"/>
      <c r="B281" s="302"/>
      <c r="C281" s="302"/>
      <c r="D281" s="302"/>
      <c r="E281" s="303"/>
      <c r="F281" s="302"/>
      <c r="G281" s="302"/>
      <c r="H281" s="302"/>
      <c r="I281" s="303"/>
      <c r="J281" s="302"/>
      <c r="K281" s="302"/>
      <c r="L281" s="302"/>
      <c r="M281" s="236"/>
    </row>
    <row r="282" spans="1:13" x14ac:dyDescent="0.2">
      <c r="A282" s="237"/>
      <c r="B282" s="302"/>
      <c r="C282" s="302"/>
      <c r="D282" s="302"/>
      <c r="E282" s="303"/>
      <c r="F282" s="302"/>
      <c r="G282" s="302"/>
      <c r="H282" s="302"/>
      <c r="I282" s="303"/>
      <c r="J282" s="302"/>
      <c r="K282" s="302"/>
      <c r="L282" s="302"/>
      <c r="M282" s="236"/>
    </row>
    <row r="283" spans="1:13" x14ac:dyDescent="0.2">
      <c r="A283" s="237"/>
      <c r="B283" s="302"/>
      <c r="C283" s="302"/>
      <c r="D283" s="302"/>
      <c r="E283" s="303"/>
      <c r="F283" s="302"/>
      <c r="G283" s="302"/>
      <c r="H283" s="302"/>
      <c r="I283" s="303"/>
      <c r="J283" s="302"/>
      <c r="K283" s="302"/>
      <c r="L283" s="302"/>
      <c r="M283" s="236"/>
    </row>
    <row r="284" spans="1:13" x14ac:dyDescent="0.2">
      <c r="A284" s="237"/>
      <c r="B284" s="302"/>
      <c r="C284" s="302"/>
      <c r="D284" s="302"/>
      <c r="E284" s="303"/>
      <c r="F284" s="302"/>
      <c r="G284" s="302"/>
      <c r="H284" s="302"/>
      <c r="I284" s="303"/>
      <c r="J284" s="302"/>
      <c r="K284" s="302"/>
      <c r="L284" s="302"/>
      <c r="M284" s="236"/>
    </row>
    <row r="285" spans="1:13" x14ac:dyDescent="0.2">
      <c r="A285" s="237"/>
      <c r="B285" s="302"/>
      <c r="C285" s="302"/>
      <c r="D285" s="302"/>
      <c r="E285" s="303"/>
      <c r="F285" s="302"/>
      <c r="G285" s="302"/>
      <c r="H285" s="302"/>
      <c r="I285" s="303"/>
      <c r="J285" s="302"/>
      <c r="K285" s="302"/>
      <c r="L285" s="302"/>
      <c r="M285" s="236"/>
    </row>
    <row r="286" spans="1:13" x14ac:dyDescent="0.2">
      <c r="A286" s="237"/>
      <c r="B286" s="302"/>
      <c r="C286" s="302"/>
      <c r="D286" s="302"/>
      <c r="E286" s="303"/>
      <c r="F286" s="302"/>
      <c r="G286" s="302"/>
      <c r="H286" s="302"/>
      <c r="I286" s="303"/>
      <c r="J286" s="302"/>
      <c r="K286" s="302"/>
      <c r="L286" s="302"/>
      <c r="M286" s="236"/>
    </row>
    <row r="287" spans="1:13" x14ac:dyDescent="0.2">
      <c r="A287" s="237"/>
      <c r="B287" s="302"/>
      <c r="C287" s="302"/>
      <c r="D287" s="302"/>
      <c r="E287" s="303"/>
      <c r="F287" s="302"/>
      <c r="G287" s="302"/>
      <c r="H287" s="302"/>
      <c r="I287" s="303"/>
      <c r="J287" s="302"/>
      <c r="K287" s="302"/>
      <c r="L287" s="302"/>
      <c r="M287" s="236"/>
    </row>
    <row r="288" spans="1:13" x14ac:dyDescent="0.2">
      <c r="A288" s="237"/>
      <c r="B288" s="302"/>
      <c r="C288" s="302"/>
      <c r="D288" s="302"/>
      <c r="E288" s="303"/>
      <c r="F288" s="302"/>
      <c r="G288" s="302"/>
      <c r="H288" s="302"/>
      <c r="I288" s="303"/>
      <c r="J288" s="302"/>
      <c r="K288" s="302"/>
      <c r="L288" s="302"/>
      <c r="M288" s="236"/>
    </row>
    <row r="289" spans="1:13" x14ac:dyDescent="0.2">
      <c r="A289" s="237"/>
      <c r="B289" s="302"/>
      <c r="C289" s="302"/>
      <c r="D289" s="302"/>
      <c r="E289" s="303"/>
      <c r="F289" s="302"/>
      <c r="G289" s="302"/>
      <c r="H289" s="302"/>
      <c r="I289" s="303"/>
      <c r="J289" s="302"/>
      <c r="K289" s="302"/>
      <c r="L289" s="302"/>
      <c r="M289" s="236"/>
    </row>
    <row r="290" spans="1:13" x14ac:dyDescent="0.2">
      <c r="A290" s="237"/>
      <c r="B290" s="302"/>
      <c r="C290" s="302"/>
      <c r="D290" s="302"/>
      <c r="E290" s="303"/>
      <c r="F290" s="302"/>
      <c r="G290" s="302"/>
      <c r="H290" s="302"/>
      <c r="I290" s="303"/>
      <c r="J290" s="302"/>
      <c r="K290" s="302"/>
      <c r="L290" s="302"/>
      <c r="M290" s="236"/>
    </row>
    <row r="291" spans="1:13" x14ac:dyDescent="0.2">
      <c r="A291" s="237"/>
      <c r="B291" s="303"/>
      <c r="C291" s="303"/>
      <c r="D291" s="303"/>
      <c r="E291" s="303"/>
      <c r="F291" s="303"/>
      <c r="G291" s="303"/>
      <c r="H291" s="303"/>
      <c r="I291" s="303"/>
      <c r="J291" s="303"/>
      <c r="K291" s="303"/>
      <c r="L291" s="303"/>
      <c r="M291" s="236"/>
    </row>
    <row r="292" spans="1:13" x14ac:dyDescent="0.2">
      <c r="A292" s="237"/>
      <c r="B292" s="237"/>
      <c r="C292" s="237"/>
      <c r="D292" s="237"/>
      <c r="E292" s="237"/>
      <c r="F292" s="237"/>
      <c r="G292" s="237"/>
      <c r="H292" s="237"/>
      <c r="I292" s="237"/>
      <c r="J292" s="237"/>
      <c r="K292" s="237"/>
      <c r="L292" s="240"/>
      <c r="M292" s="236"/>
    </row>
    <row r="293" spans="1:13" x14ac:dyDescent="0.2">
      <c r="A293" s="237"/>
      <c r="B293" s="237"/>
      <c r="C293" s="237"/>
      <c r="D293" s="237"/>
      <c r="E293" s="237"/>
      <c r="F293" s="237"/>
      <c r="G293" s="237"/>
      <c r="H293" s="237"/>
      <c r="I293" s="237"/>
      <c r="J293" s="237"/>
      <c r="K293" s="237"/>
      <c r="L293" s="284"/>
      <c r="M293" s="236"/>
    </row>
    <row r="294" spans="1:13" x14ac:dyDescent="0.2">
      <c r="A294" s="258"/>
      <c r="B294" s="241"/>
      <c r="C294" s="241"/>
      <c r="D294" s="241"/>
      <c r="E294" s="241"/>
      <c r="F294" s="241"/>
      <c r="G294" s="241"/>
      <c r="H294" s="241"/>
      <c r="I294" s="241"/>
      <c r="J294" s="241"/>
      <c r="K294" s="241"/>
      <c r="L294" s="236"/>
      <c r="M294" s="236"/>
    </row>
    <row r="295" spans="1:13" x14ac:dyDescent="0.2">
      <c r="A295" s="241"/>
      <c r="B295" s="375"/>
      <c r="C295" s="375"/>
      <c r="D295" s="375"/>
      <c r="E295" s="253"/>
      <c r="F295" s="375"/>
      <c r="G295" s="375"/>
      <c r="H295" s="375"/>
      <c r="I295" s="253"/>
      <c r="J295" s="375"/>
      <c r="K295" s="375"/>
      <c r="L295" s="375"/>
      <c r="M295" s="236"/>
    </row>
    <row r="296" spans="1:13" x14ac:dyDescent="0.2">
      <c r="A296" s="258"/>
      <c r="B296" s="259"/>
      <c r="C296" s="259"/>
      <c r="D296" s="259"/>
      <c r="E296" s="259"/>
      <c r="F296" s="259"/>
      <c r="G296" s="259"/>
      <c r="H296" s="259"/>
      <c r="I296" s="259"/>
      <c r="J296" s="259"/>
      <c r="K296" s="259"/>
      <c r="L296" s="259"/>
      <c r="M296" s="236"/>
    </row>
    <row r="297" spans="1:13" x14ac:dyDescent="0.2">
      <c r="A297" s="258"/>
      <c r="B297" s="259"/>
      <c r="C297" s="259"/>
      <c r="D297" s="259"/>
      <c r="E297" s="259"/>
      <c r="F297" s="259"/>
      <c r="G297" s="259"/>
      <c r="H297" s="259"/>
      <c r="I297" s="259"/>
      <c r="J297" s="259"/>
      <c r="K297" s="259"/>
      <c r="L297" s="259"/>
      <c r="M297" s="236"/>
    </row>
    <row r="298" spans="1:13" x14ac:dyDescent="0.2">
      <c r="A298" s="237"/>
      <c r="B298" s="302"/>
      <c r="C298" s="302"/>
      <c r="D298" s="302"/>
      <c r="E298" s="303"/>
      <c r="F298" s="302"/>
      <c r="G298" s="302"/>
      <c r="H298" s="302"/>
      <c r="I298" s="303"/>
      <c r="J298" s="302"/>
      <c r="K298" s="302"/>
      <c r="L298" s="302"/>
      <c r="M298" s="236"/>
    </row>
    <row r="299" spans="1:13" x14ac:dyDescent="0.2">
      <c r="A299" s="237"/>
      <c r="B299" s="302"/>
      <c r="C299" s="302"/>
      <c r="D299" s="302"/>
      <c r="E299" s="303"/>
      <c r="F299" s="302"/>
      <c r="G299" s="302"/>
      <c r="H299" s="302"/>
      <c r="I299" s="303"/>
      <c r="J299" s="302"/>
      <c r="K299" s="302"/>
      <c r="L299" s="302"/>
      <c r="M299" s="236"/>
    </row>
    <row r="300" spans="1:13" x14ac:dyDescent="0.2">
      <c r="A300" s="237"/>
      <c r="B300" s="302"/>
      <c r="C300" s="302"/>
      <c r="D300" s="302"/>
      <c r="E300" s="303"/>
      <c r="F300" s="302"/>
      <c r="G300" s="302"/>
      <c r="H300" s="302"/>
      <c r="I300" s="303"/>
      <c r="J300" s="302"/>
      <c r="K300" s="302"/>
      <c r="L300" s="302"/>
      <c r="M300" s="236"/>
    </row>
    <row r="301" spans="1:13" x14ac:dyDescent="0.2">
      <c r="A301" s="237"/>
      <c r="B301" s="302"/>
      <c r="C301" s="302"/>
      <c r="D301" s="302"/>
      <c r="E301" s="303"/>
      <c r="F301" s="302"/>
      <c r="G301" s="302"/>
      <c r="H301" s="302"/>
      <c r="I301" s="303"/>
      <c r="J301" s="302"/>
      <c r="K301" s="302"/>
      <c r="L301" s="302"/>
      <c r="M301" s="236"/>
    </row>
    <row r="302" spans="1:13" x14ac:dyDescent="0.2">
      <c r="A302" s="237"/>
      <c r="B302" s="302"/>
      <c r="C302" s="302"/>
      <c r="D302" s="302"/>
      <c r="E302" s="303"/>
      <c r="F302" s="302"/>
      <c r="G302" s="302"/>
      <c r="H302" s="302"/>
      <c r="I302" s="303"/>
      <c r="J302" s="302"/>
      <c r="K302" s="302"/>
      <c r="L302" s="302"/>
      <c r="M302" s="236"/>
    </row>
    <row r="303" spans="1:13" x14ac:dyDescent="0.2">
      <c r="A303" s="237"/>
      <c r="B303" s="302"/>
      <c r="C303" s="302"/>
      <c r="D303" s="302"/>
      <c r="E303" s="303"/>
      <c r="F303" s="302"/>
      <c r="G303" s="302"/>
      <c r="H303" s="302"/>
      <c r="I303" s="303"/>
      <c r="J303" s="302"/>
      <c r="K303" s="302"/>
      <c r="L303" s="302"/>
      <c r="M303" s="236"/>
    </row>
    <row r="304" spans="1:13" x14ac:dyDescent="0.2">
      <c r="A304" s="237"/>
      <c r="B304" s="302"/>
      <c r="C304" s="302"/>
      <c r="D304" s="302"/>
      <c r="E304" s="303"/>
      <c r="F304" s="302"/>
      <c r="G304" s="302"/>
      <c r="H304" s="302"/>
      <c r="I304" s="303"/>
      <c r="J304" s="302"/>
      <c r="K304" s="302"/>
      <c r="L304" s="302"/>
      <c r="M304" s="236"/>
    </row>
    <row r="305" spans="1:13" x14ac:dyDescent="0.2">
      <c r="A305" s="237"/>
      <c r="B305" s="302"/>
      <c r="C305" s="302"/>
      <c r="D305" s="302"/>
      <c r="E305" s="303"/>
      <c r="F305" s="302"/>
      <c r="G305" s="302"/>
      <c r="H305" s="302"/>
      <c r="I305" s="303"/>
      <c r="J305" s="302"/>
      <c r="K305" s="302"/>
      <c r="L305" s="302"/>
      <c r="M305" s="236"/>
    </row>
    <row r="306" spans="1:13" x14ac:dyDescent="0.2">
      <c r="A306" s="237"/>
      <c r="B306" s="302"/>
      <c r="C306" s="302"/>
      <c r="D306" s="302"/>
      <c r="E306" s="303"/>
      <c r="F306" s="302"/>
      <c r="G306" s="302"/>
      <c r="H306" s="302"/>
      <c r="I306" s="303"/>
      <c r="J306" s="302"/>
      <c r="K306" s="302"/>
      <c r="L306" s="302"/>
      <c r="M306" s="236"/>
    </row>
    <row r="307" spans="1:13" x14ac:dyDescent="0.2">
      <c r="A307" s="237"/>
      <c r="B307" s="302"/>
      <c r="C307" s="302"/>
      <c r="D307" s="302"/>
      <c r="E307" s="303"/>
      <c r="F307" s="302"/>
      <c r="G307" s="302"/>
      <c r="H307" s="302"/>
      <c r="I307" s="303"/>
      <c r="J307" s="302"/>
      <c r="K307" s="302"/>
      <c r="L307" s="302"/>
      <c r="M307" s="236"/>
    </row>
    <row r="308" spans="1:13" x14ac:dyDescent="0.2">
      <c r="A308" s="237"/>
      <c r="B308" s="303"/>
      <c r="C308" s="303"/>
      <c r="D308" s="303"/>
      <c r="E308" s="303"/>
      <c r="F308" s="303"/>
      <c r="G308" s="303"/>
      <c r="H308" s="303"/>
      <c r="I308" s="303"/>
      <c r="J308" s="303"/>
      <c r="K308" s="303"/>
      <c r="L308" s="303"/>
      <c r="M308" s="236"/>
    </row>
    <row r="309" spans="1:13" x14ac:dyDescent="0.2">
      <c r="A309" s="237"/>
      <c r="B309" s="237"/>
      <c r="C309" s="237"/>
      <c r="D309" s="237"/>
      <c r="E309" s="237"/>
      <c r="F309" s="237"/>
      <c r="G309" s="237"/>
      <c r="H309" s="237"/>
      <c r="I309" s="237"/>
      <c r="J309" s="237"/>
      <c r="K309" s="237"/>
      <c r="L309" s="240"/>
      <c r="M309" s="236"/>
    </row>
    <row r="310" spans="1:13" x14ac:dyDescent="0.2">
      <c r="A310" s="237"/>
      <c r="B310" s="237"/>
      <c r="C310" s="237"/>
      <c r="D310" s="237"/>
      <c r="E310" s="237"/>
      <c r="F310" s="237"/>
      <c r="G310" s="237"/>
      <c r="H310" s="237"/>
      <c r="I310" s="237"/>
      <c r="J310" s="237"/>
      <c r="K310" s="237"/>
      <c r="L310" s="284"/>
      <c r="M310" s="236"/>
    </row>
    <row r="311" spans="1:13" x14ac:dyDescent="0.2">
      <c r="A311" s="258"/>
      <c r="B311" s="241"/>
      <c r="C311" s="241"/>
      <c r="D311" s="241"/>
      <c r="E311" s="241"/>
      <c r="F311" s="241"/>
      <c r="G311" s="241"/>
      <c r="H311" s="241"/>
      <c r="I311" s="241"/>
      <c r="J311" s="241"/>
      <c r="K311" s="241"/>
      <c r="L311" s="236"/>
      <c r="M311" s="236"/>
    </row>
    <row r="312" spans="1:13" x14ac:dyDescent="0.2">
      <c r="A312" s="241"/>
      <c r="B312" s="375"/>
      <c r="C312" s="375"/>
      <c r="D312" s="375"/>
      <c r="E312" s="253"/>
      <c r="F312" s="375"/>
      <c r="G312" s="375"/>
      <c r="H312" s="375"/>
      <c r="I312" s="253"/>
      <c r="J312" s="375"/>
      <c r="K312" s="375"/>
      <c r="L312" s="375"/>
      <c r="M312" s="236"/>
    </row>
    <row r="313" spans="1:13" x14ac:dyDescent="0.2">
      <c r="A313" s="258"/>
      <c r="B313" s="259"/>
      <c r="C313" s="259"/>
      <c r="D313" s="259"/>
      <c r="E313" s="259"/>
      <c r="F313" s="259"/>
      <c r="G313" s="259"/>
      <c r="H313" s="259"/>
      <c r="I313" s="259"/>
      <c r="J313" s="259"/>
      <c r="K313" s="259"/>
      <c r="L313" s="259"/>
      <c r="M313" s="236"/>
    </row>
    <row r="314" spans="1:13" x14ac:dyDescent="0.2">
      <c r="A314" s="258"/>
      <c r="B314" s="259"/>
      <c r="C314" s="259"/>
      <c r="D314" s="259"/>
      <c r="E314" s="259"/>
      <c r="F314" s="259"/>
      <c r="G314" s="259"/>
      <c r="H314" s="259"/>
      <c r="I314" s="259"/>
      <c r="J314" s="259"/>
      <c r="K314" s="259"/>
      <c r="L314" s="259"/>
      <c r="M314" s="236"/>
    </row>
    <row r="315" spans="1:13" x14ac:dyDescent="0.2">
      <c r="A315" s="237"/>
      <c r="B315" s="302"/>
      <c r="C315" s="302"/>
      <c r="D315" s="302"/>
      <c r="E315" s="303"/>
      <c r="F315" s="302"/>
      <c r="G315" s="302"/>
      <c r="H315" s="302"/>
      <c r="I315" s="303"/>
      <c r="J315" s="302"/>
      <c r="K315" s="302"/>
      <c r="L315" s="302"/>
      <c r="M315" s="236"/>
    </row>
    <row r="316" spans="1:13" x14ac:dyDescent="0.2">
      <c r="A316" s="237"/>
      <c r="B316" s="302"/>
      <c r="C316" s="302"/>
      <c r="D316" s="302"/>
      <c r="E316" s="303"/>
      <c r="F316" s="302"/>
      <c r="G316" s="302"/>
      <c r="H316" s="302"/>
      <c r="I316" s="303"/>
      <c r="J316" s="302"/>
      <c r="K316" s="302"/>
      <c r="L316" s="302"/>
      <c r="M316" s="236"/>
    </row>
    <row r="317" spans="1:13" x14ac:dyDescent="0.2">
      <c r="A317" s="237"/>
      <c r="B317" s="302"/>
      <c r="C317" s="302"/>
      <c r="D317" s="302"/>
      <c r="E317" s="303"/>
      <c r="F317" s="302"/>
      <c r="G317" s="302"/>
      <c r="H317" s="302"/>
      <c r="I317" s="303"/>
      <c r="J317" s="302"/>
      <c r="K317" s="302"/>
      <c r="L317" s="302"/>
      <c r="M317" s="236"/>
    </row>
    <row r="318" spans="1:13" x14ac:dyDescent="0.2">
      <c r="A318" s="237"/>
      <c r="B318" s="302"/>
      <c r="C318" s="302"/>
      <c r="D318" s="302"/>
      <c r="E318" s="303"/>
      <c r="F318" s="302"/>
      <c r="G318" s="302"/>
      <c r="H318" s="302"/>
      <c r="I318" s="303"/>
      <c r="J318" s="302"/>
      <c r="K318" s="302"/>
      <c r="L318" s="302"/>
      <c r="M318" s="236"/>
    </row>
    <row r="319" spans="1:13" x14ac:dyDescent="0.2">
      <c r="A319" s="237"/>
      <c r="B319" s="302"/>
      <c r="C319" s="302"/>
      <c r="D319" s="302"/>
      <c r="E319" s="303"/>
      <c r="F319" s="302"/>
      <c r="G319" s="302"/>
      <c r="H319" s="302"/>
      <c r="I319" s="303"/>
      <c r="J319" s="302"/>
      <c r="K319" s="302"/>
      <c r="L319" s="302"/>
      <c r="M319" s="236"/>
    </row>
    <row r="320" spans="1:13" x14ac:dyDescent="0.2">
      <c r="A320" s="237"/>
      <c r="B320" s="302"/>
      <c r="C320" s="302"/>
      <c r="D320" s="302"/>
      <c r="E320" s="303"/>
      <c r="F320" s="302"/>
      <c r="G320" s="302"/>
      <c r="H320" s="302"/>
      <c r="I320" s="303"/>
      <c r="J320" s="302"/>
      <c r="K320" s="302"/>
      <c r="L320" s="302"/>
      <c r="M320" s="236"/>
    </row>
    <row r="321" spans="1:13" x14ac:dyDescent="0.2">
      <c r="A321" s="237"/>
      <c r="B321" s="302"/>
      <c r="C321" s="302"/>
      <c r="D321" s="302"/>
      <c r="E321" s="303"/>
      <c r="F321" s="302"/>
      <c r="G321" s="302"/>
      <c r="H321" s="302"/>
      <c r="I321" s="303"/>
      <c r="J321" s="302"/>
      <c r="K321" s="302"/>
      <c r="L321" s="302"/>
      <c r="M321" s="236"/>
    </row>
    <row r="322" spans="1:13" x14ac:dyDescent="0.2">
      <c r="A322" s="237"/>
      <c r="B322" s="302"/>
      <c r="C322" s="302"/>
      <c r="D322" s="302"/>
      <c r="E322" s="303"/>
      <c r="F322" s="302"/>
      <c r="G322" s="302"/>
      <c r="H322" s="302"/>
      <c r="I322" s="303"/>
      <c r="J322" s="302"/>
      <c r="K322" s="302"/>
      <c r="L322" s="302"/>
      <c r="M322" s="236"/>
    </row>
    <row r="323" spans="1:13" x14ac:dyDescent="0.2">
      <c r="A323" s="237"/>
      <c r="B323" s="302"/>
      <c r="C323" s="302"/>
      <c r="D323" s="302"/>
      <c r="E323" s="303"/>
      <c r="F323" s="302"/>
      <c r="G323" s="302"/>
      <c r="H323" s="302"/>
      <c r="I323" s="303"/>
      <c r="J323" s="302"/>
      <c r="K323" s="302"/>
      <c r="L323" s="302"/>
      <c r="M323" s="236"/>
    </row>
    <row r="324" spans="1:13" x14ac:dyDescent="0.2">
      <c r="A324" s="237"/>
      <c r="B324" s="302"/>
      <c r="C324" s="302"/>
      <c r="D324" s="302"/>
      <c r="E324" s="303"/>
      <c r="F324" s="302"/>
      <c r="G324" s="302"/>
      <c r="H324" s="302"/>
      <c r="I324" s="303"/>
      <c r="J324" s="302"/>
      <c r="K324" s="302"/>
      <c r="L324" s="302"/>
      <c r="M324" s="236"/>
    </row>
    <row r="325" spans="1:13" x14ac:dyDescent="0.2">
      <c r="A325" s="237"/>
      <c r="B325" s="303"/>
      <c r="C325" s="303"/>
      <c r="D325" s="303"/>
      <c r="E325" s="303"/>
      <c r="F325" s="303"/>
      <c r="G325" s="303"/>
      <c r="H325" s="303"/>
      <c r="I325" s="303"/>
      <c r="J325" s="303"/>
      <c r="K325" s="303"/>
      <c r="L325" s="303"/>
      <c r="M325" s="236"/>
    </row>
    <row r="326" spans="1:13" x14ac:dyDescent="0.2">
      <c r="A326" s="237"/>
      <c r="B326" s="237"/>
      <c r="C326" s="237"/>
      <c r="D326" s="237"/>
      <c r="E326" s="237"/>
      <c r="F326" s="237"/>
      <c r="G326" s="237"/>
      <c r="H326" s="237"/>
      <c r="I326" s="237"/>
      <c r="J326" s="237"/>
      <c r="K326" s="237"/>
      <c r="L326" s="240"/>
      <c r="M326" s="236"/>
    </row>
    <row r="327" spans="1:13" x14ac:dyDescent="0.2">
      <c r="A327" s="237"/>
      <c r="B327" s="237"/>
      <c r="C327" s="237"/>
      <c r="D327" s="237"/>
      <c r="E327" s="237"/>
      <c r="F327" s="237"/>
      <c r="G327" s="237"/>
      <c r="H327" s="237"/>
      <c r="I327" s="237"/>
      <c r="J327" s="237"/>
      <c r="K327" s="237"/>
      <c r="L327" s="284"/>
      <c r="M327" s="236"/>
    </row>
    <row r="328" spans="1:13" x14ac:dyDescent="0.2">
      <c r="A328" s="258"/>
      <c r="B328" s="241"/>
      <c r="C328" s="241"/>
      <c r="D328" s="241"/>
      <c r="E328" s="241"/>
      <c r="F328" s="241"/>
      <c r="G328" s="241"/>
      <c r="H328" s="241"/>
      <c r="I328" s="241"/>
      <c r="J328" s="241"/>
      <c r="K328" s="241"/>
      <c r="L328" s="236"/>
      <c r="M328" s="236"/>
    </row>
    <row r="329" spans="1:13" x14ac:dyDescent="0.2">
      <c r="A329" s="241"/>
      <c r="B329" s="375"/>
      <c r="C329" s="375"/>
      <c r="D329" s="375"/>
      <c r="E329" s="253"/>
      <c r="F329" s="375"/>
      <c r="G329" s="375"/>
      <c r="H329" s="375"/>
      <c r="I329" s="253"/>
      <c r="J329" s="375"/>
      <c r="K329" s="375"/>
      <c r="L329" s="375"/>
      <c r="M329" s="236"/>
    </row>
    <row r="330" spans="1:13" x14ac:dyDescent="0.2">
      <c r="A330" s="258"/>
      <c r="B330" s="259"/>
      <c r="C330" s="259"/>
      <c r="D330" s="259"/>
      <c r="E330" s="259"/>
      <c r="F330" s="259"/>
      <c r="G330" s="259"/>
      <c r="H330" s="259"/>
      <c r="I330" s="259"/>
      <c r="J330" s="259"/>
      <c r="K330" s="259"/>
      <c r="L330" s="259"/>
      <c r="M330" s="236"/>
    </row>
    <row r="331" spans="1:13" x14ac:dyDescent="0.2">
      <c r="A331" s="258"/>
      <c r="B331" s="259"/>
      <c r="C331" s="259"/>
      <c r="D331" s="259"/>
      <c r="E331" s="259"/>
      <c r="F331" s="259"/>
      <c r="G331" s="259"/>
      <c r="H331" s="259"/>
      <c r="I331" s="259"/>
      <c r="J331" s="259"/>
      <c r="K331" s="259"/>
      <c r="L331" s="259"/>
      <c r="M331" s="236"/>
    </row>
    <row r="332" spans="1:13" x14ac:dyDescent="0.2">
      <c r="A332" s="237"/>
      <c r="B332" s="302"/>
      <c r="C332" s="302"/>
      <c r="D332" s="302"/>
      <c r="E332" s="303"/>
      <c r="F332" s="302"/>
      <c r="G332" s="302"/>
      <c r="H332" s="302"/>
      <c r="I332" s="303"/>
      <c r="J332" s="302"/>
      <c r="K332" s="302"/>
      <c r="L332" s="302"/>
      <c r="M332" s="236"/>
    </row>
    <row r="333" spans="1:13" x14ac:dyDescent="0.2">
      <c r="A333" s="237"/>
      <c r="B333" s="302"/>
      <c r="C333" s="302"/>
      <c r="D333" s="302"/>
      <c r="E333" s="303"/>
      <c r="F333" s="302"/>
      <c r="G333" s="302"/>
      <c r="H333" s="302"/>
      <c r="I333" s="303"/>
      <c r="J333" s="302"/>
      <c r="K333" s="302"/>
      <c r="L333" s="302"/>
      <c r="M333" s="236"/>
    </row>
    <row r="334" spans="1:13" x14ac:dyDescent="0.2">
      <c r="A334" s="237"/>
      <c r="B334" s="302"/>
      <c r="C334" s="302"/>
      <c r="D334" s="302"/>
      <c r="E334" s="303"/>
      <c r="F334" s="302"/>
      <c r="G334" s="302"/>
      <c r="H334" s="302"/>
      <c r="I334" s="303"/>
      <c r="J334" s="302"/>
      <c r="K334" s="302"/>
      <c r="L334" s="302"/>
      <c r="M334" s="236"/>
    </row>
    <row r="335" spans="1:13" x14ac:dyDescent="0.2">
      <c r="A335" s="237"/>
      <c r="B335" s="302"/>
      <c r="C335" s="302"/>
      <c r="D335" s="302"/>
      <c r="E335" s="303"/>
      <c r="F335" s="302"/>
      <c r="G335" s="302"/>
      <c r="H335" s="302"/>
      <c r="I335" s="303"/>
      <c r="J335" s="302"/>
      <c r="K335" s="302"/>
      <c r="L335" s="302"/>
      <c r="M335" s="236"/>
    </row>
    <row r="336" spans="1:13" x14ac:dyDescent="0.2">
      <c r="A336" s="237"/>
      <c r="B336" s="302"/>
      <c r="C336" s="302"/>
      <c r="D336" s="302"/>
      <c r="E336" s="303"/>
      <c r="F336" s="302"/>
      <c r="G336" s="302"/>
      <c r="H336" s="302"/>
      <c r="I336" s="303"/>
      <c r="J336" s="302"/>
      <c r="K336" s="302"/>
      <c r="L336" s="302"/>
      <c r="M336" s="236"/>
    </row>
    <row r="337" spans="1:13" x14ac:dyDescent="0.2">
      <c r="A337" s="237"/>
      <c r="B337" s="302"/>
      <c r="C337" s="302"/>
      <c r="D337" s="302"/>
      <c r="E337" s="303"/>
      <c r="F337" s="302"/>
      <c r="G337" s="302"/>
      <c r="H337" s="302"/>
      <c r="I337" s="303"/>
      <c r="J337" s="302"/>
      <c r="K337" s="302"/>
      <c r="L337" s="302"/>
      <c r="M337" s="236"/>
    </row>
    <row r="338" spans="1:13" x14ac:dyDescent="0.2">
      <c r="A338" s="237"/>
      <c r="B338" s="302"/>
      <c r="C338" s="302"/>
      <c r="D338" s="302"/>
      <c r="E338" s="303"/>
      <c r="F338" s="302"/>
      <c r="G338" s="302"/>
      <c r="H338" s="302"/>
      <c r="I338" s="303"/>
      <c r="J338" s="302"/>
      <c r="K338" s="302"/>
      <c r="L338" s="302"/>
      <c r="M338" s="236"/>
    </row>
    <row r="339" spans="1:13" x14ac:dyDescent="0.2">
      <c r="A339" s="237"/>
      <c r="B339" s="302"/>
      <c r="C339" s="302"/>
      <c r="D339" s="302"/>
      <c r="E339" s="303"/>
      <c r="F339" s="302"/>
      <c r="G339" s="302"/>
      <c r="H339" s="302"/>
      <c r="I339" s="303"/>
      <c r="J339" s="302"/>
      <c r="K339" s="302"/>
      <c r="L339" s="302"/>
      <c r="M339" s="236"/>
    </row>
    <row r="340" spans="1:13" x14ac:dyDescent="0.2">
      <c r="A340" s="237"/>
      <c r="B340" s="302"/>
      <c r="C340" s="302"/>
      <c r="D340" s="302"/>
      <c r="E340" s="303"/>
      <c r="F340" s="302"/>
      <c r="G340" s="302"/>
      <c r="H340" s="302"/>
      <c r="I340" s="303"/>
      <c r="J340" s="302"/>
      <c r="K340" s="302"/>
      <c r="L340" s="302"/>
      <c r="M340" s="236"/>
    </row>
    <row r="341" spans="1:13" x14ac:dyDescent="0.2">
      <c r="A341" s="237"/>
      <c r="B341" s="302"/>
      <c r="C341" s="302"/>
      <c r="D341" s="302"/>
      <c r="E341" s="303"/>
      <c r="F341" s="302"/>
      <c r="G341" s="302"/>
      <c r="H341" s="302"/>
      <c r="I341" s="303"/>
      <c r="J341" s="302"/>
      <c r="K341" s="302"/>
      <c r="L341" s="302"/>
      <c r="M341" s="236"/>
    </row>
    <row r="342" spans="1:13" x14ac:dyDescent="0.2">
      <c r="A342" s="237"/>
      <c r="B342" s="303"/>
      <c r="C342" s="303"/>
      <c r="D342" s="303"/>
      <c r="E342" s="303"/>
      <c r="F342" s="303"/>
      <c r="G342" s="303"/>
      <c r="H342" s="303"/>
      <c r="I342" s="303"/>
      <c r="J342" s="303"/>
      <c r="K342" s="303"/>
      <c r="L342" s="303"/>
      <c r="M342" s="236"/>
    </row>
    <row r="343" spans="1:13" x14ac:dyDescent="0.2">
      <c r="A343" s="237"/>
      <c r="B343" s="237"/>
      <c r="C343" s="237"/>
      <c r="D343" s="237"/>
      <c r="E343" s="237"/>
      <c r="F343" s="237"/>
      <c r="G343" s="237"/>
      <c r="H343" s="237"/>
      <c r="I343" s="237"/>
      <c r="J343" s="237"/>
      <c r="K343" s="237"/>
      <c r="L343" s="240"/>
      <c r="M343" s="236"/>
    </row>
    <row r="344" spans="1:13" x14ac:dyDescent="0.2">
      <c r="A344" s="237"/>
      <c r="B344" s="237"/>
      <c r="C344" s="237"/>
      <c r="D344" s="237"/>
      <c r="E344" s="237"/>
      <c r="F344" s="237"/>
      <c r="G344" s="237"/>
      <c r="H344" s="237"/>
      <c r="I344" s="237"/>
      <c r="J344" s="237"/>
      <c r="K344" s="237"/>
      <c r="L344" s="284"/>
      <c r="M344" s="236"/>
    </row>
    <row r="345" spans="1:13" x14ac:dyDescent="0.2">
      <c r="A345" s="258"/>
      <c r="B345" s="241"/>
      <c r="C345" s="241"/>
      <c r="D345" s="241"/>
      <c r="E345" s="241"/>
      <c r="F345" s="241"/>
      <c r="G345" s="241"/>
      <c r="H345" s="241"/>
      <c r="I345" s="241"/>
      <c r="J345" s="241"/>
      <c r="K345" s="241"/>
      <c r="L345" s="236"/>
      <c r="M345" s="236"/>
    </row>
    <row r="346" spans="1:13" x14ac:dyDescent="0.2">
      <c r="A346" s="241"/>
      <c r="B346" s="375"/>
      <c r="C346" s="375"/>
      <c r="D346" s="375"/>
      <c r="E346" s="253"/>
      <c r="F346" s="375"/>
      <c r="G346" s="375"/>
      <c r="H346" s="375"/>
      <c r="I346" s="253"/>
      <c r="J346" s="375"/>
      <c r="K346" s="375"/>
      <c r="L346" s="375"/>
      <c r="M346" s="236"/>
    </row>
    <row r="347" spans="1:13" x14ac:dyDescent="0.2">
      <c r="A347" s="258"/>
      <c r="B347" s="259"/>
      <c r="C347" s="259"/>
      <c r="D347" s="259"/>
      <c r="E347" s="259"/>
      <c r="F347" s="259"/>
      <c r="G347" s="259"/>
      <c r="H347" s="259"/>
      <c r="I347" s="259"/>
      <c r="J347" s="259"/>
      <c r="K347" s="259"/>
      <c r="L347" s="259"/>
      <c r="M347" s="236"/>
    </row>
    <row r="348" spans="1:13" x14ac:dyDescent="0.2">
      <c r="A348" s="258"/>
      <c r="B348" s="259"/>
      <c r="C348" s="259"/>
      <c r="D348" s="259"/>
      <c r="E348" s="259"/>
      <c r="F348" s="259"/>
      <c r="G348" s="259"/>
      <c r="H348" s="259"/>
      <c r="I348" s="259"/>
      <c r="J348" s="259"/>
      <c r="K348" s="259"/>
      <c r="L348" s="259"/>
      <c r="M348" s="236"/>
    </row>
    <row r="349" spans="1:13" x14ac:dyDescent="0.2">
      <c r="A349" s="237"/>
      <c r="B349" s="302"/>
      <c r="C349" s="302"/>
      <c r="D349" s="302"/>
      <c r="E349" s="303"/>
      <c r="F349" s="302"/>
      <c r="G349" s="302"/>
      <c r="H349" s="302"/>
      <c r="I349" s="303"/>
      <c r="J349" s="302"/>
      <c r="K349" s="302"/>
      <c r="L349" s="302"/>
      <c r="M349" s="236"/>
    </row>
    <row r="350" spans="1:13" x14ac:dyDescent="0.2">
      <c r="A350" s="237"/>
      <c r="B350" s="302"/>
      <c r="C350" s="302"/>
      <c r="D350" s="302"/>
      <c r="E350" s="303"/>
      <c r="F350" s="302"/>
      <c r="G350" s="302"/>
      <c r="H350" s="302"/>
      <c r="I350" s="303"/>
      <c r="J350" s="302"/>
      <c r="K350" s="302"/>
      <c r="L350" s="302"/>
      <c r="M350" s="236"/>
    </row>
    <row r="351" spans="1:13" x14ac:dyDescent="0.2">
      <c r="A351" s="237"/>
      <c r="B351" s="302"/>
      <c r="C351" s="302"/>
      <c r="D351" s="302"/>
      <c r="E351" s="303"/>
      <c r="F351" s="302"/>
      <c r="G351" s="302"/>
      <c r="H351" s="302"/>
      <c r="I351" s="303"/>
      <c r="J351" s="302"/>
      <c r="K351" s="302"/>
      <c r="L351" s="302"/>
      <c r="M351" s="236"/>
    </row>
    <row r="352" spans="1:13" x14ac:dyDescent="0.2">
      <c r="A352" s="237"/>
      <c r="B352" s="302"/>
      <c r="C352" s="302"/>
      <c r="D352" s="302"/>
      <c r="E352" s="303"/>
      <c r="F352" s="302"/>
      <c r="G352" s="302"/>
      <c r="H352" s="302"/>
      <c r="I352" s="303"/>
      <c r="J352" s="302"/>
      <c r="K352" s="302"/>
      <c r="L352" s="302"/>
      <c r="M352" s="236"/>
    </row>
    <row r="353" spans="1:13" x14ac:dyDescent="0.2">
      <c r="A353" s="237"/>
      <c r="B353" s="302"/>
      <c r="C353" s="302"/>
      <c r="D353" s="302"/>
      <c r="E353" s="303"/>
      <c r="F353" s="302"/>
      <c r="G353" s="302"/>
      <c r="H353" s="302"/>
      <c r="I353" s="303"/>
      <c r="J353" s="302"/>
      <c r="K353" s="302"/>
      <c r="L353" s="302"/>
      <c r="M353" s="236"/>
    </row>
    <row r="354" spans="1:13" x14ac:dyDescent="0.2">
      <c r="A354" s="237"/>
      <c r="B354" s="302"/>
      <c r="C354" s="302"/>
      <c r="D354" s="302"/>
      <c r="E354" s="303"/>
      <c r="F354" s="302"/>
      <c r="G354" s="302"/>
      <c r="H354" s="302"/>
      <c r="I354" s="303"/>
      <c r="J354" s="302"/>
      <c r="K354" s="302"/>
      <c r="L354" s="302"/>
      <c r="M354" s="236"/>
    </row>
    <row r="355" spans="1:13" x14ac:dyDescent="0.2">
      <c r="A355" s="237"/>
      <c r="B355" s="302"/>
      <c r="C355" s="302"/>
      <c r="D355" s="302"/>
      <c r="E355" s="303"/>
      <c r="F355" s="302"/>
      <c r="G355" s="302"/>
      <c r="H355" s="302"/>
      <c r="I355" s="303"/>
      <c r="J355" s="302"/>
      <c r="K355" s="302"/>
      <c r="L355" s="302"/>
      <c r="M355" s="236"/>
    </row>
    <row r="356" spans="1:13" x14ac:dyDescent="0.2">
      <c r="A356" s="237"/>
      <c r="B356" s="302"/>
      <c r="C356" s="302"/>
      <c r="D356" s="302"/>
      <c r="E356" s="303"/>
      <c r="F356" s="302"/>
      <c r="G356" s="302"/>
      <c r="H356" s="302"/>
      <c r="I356" s="303"/>
      <c r="J356" s="302"/>
      <c r="K356" s="302"/>
      <c r="L356" s="302"/>
      <c r="M356" s="236"/>
    </row>
    <row r="357" spans="1:13" x14ac:dyDescent="0.2">
      <c r="A357" s="237"/>
      <c r="B357" s="302"/>
      <c r="C357" s="302"/>
      <c r="D357" s="302"/>
      <c r="E357" s="303"/>
      <c r="F357" s="302"/>
      <c r="G357" s="302"/>
      <c r="H357" s="302"/>
      <c r="I357" s="303"/>
      <c r="J357" s="302"/>
      <c r="K357" s="302"/>
      <c r="L357" s="302"/>
      <c r="M357" s="236"/>
    </row>
    <row r="358" spans="1:13" x14ac:dyDescent="0.2">
      <c r="A358" s="237"/>
      <c r="B358" s="302"/>
      <c r="C358" s="302"/>
      <c r="D358" s="302"/>
      <c r="E358" s="303"/>
      <c r="F358" s="302"/>
      <c r="G358" s="302"/>
      <c r="H358" s="302"/>
      <c r="I358" s="303"/>
      <c r="J358" s="302"/>
      <c r="K358" s="302"/>
      <c r="L358" s="302"/>
      <c r="M358" s="236"/>
    </row>
    <row r="359" spans="1:13" x14ac:dyDescent="0.2">
      <c r="A359" s="237"/>
      <c r="B359" s="303"/>
      <c r="C359" s="303"/>
      <c r="D359" s="303"/>
      <c r="E359" s="303"/>
      <c r="F359" s="303"/>
      <c r="G359" s="303"/>
      <c r="H359" s="303"/>
      <c r="I359" s="303"/>
      <c r="J359" s="303"/>
      <c r="K359" s="303"/>
      <c r="L359" s="303"/>
      <c r="M359" s="236"/>
    </row>
    <row r="360" spans="1:13" x14ac:dyDescent="0.2">
      <c r="A360" s="237"/>
      <c r="B360" s="237"/>
      <c r="C360" s="237"/>
      <c r="D360" s="237"/>
      <c r="E360" s="237"/>
      <c r="F360" s="237"/>
      <c r="G360" s="237"/>
      <c r="H360" s="237"/>
      <c r="I360" s="237"/>
      <c r="J360" s="237"/>
      <c r="K360" s="237"/>
      <c r="L360" s="240"/>
      <c r="M360" s="236"/>
    </row>
    <row r="361" spans="1:13" x14ac:dyDescent="0.2">
      <c r="A361" s="237"/>
      <c r="B361" s="237"/>
      <c r="C361" s="237"/>
      <c r="D361" s="237"/>
      <c r="E361" s="237"/>
      <c r="F361" s="237"/>
      <c r="G361" s="237"/>
      <c r="H361" s="237"/>
      <c r="I361" s="237"/>
      <c r="J361" s="237"/>
      <c r="K361" s="237"/>
      <c r="L361" s="284"/>
      <c r="M361" s="236"/>
    </row>
    <row r="362" spans="1:13" x14ac:dyDescent="0.2">
      <c r="A362" s="258"/>
      <c r="B362" s="241"/>
      <c r="C362" s="241"/>
      <c r="D362" s="241"/>
      <c r="E362" s="241"/>
      <c r="F362" s="241"/>
      <c r="G362" s="241"/>
      <c r="H362" s="241"/>
      <c r="I362" s="241"/>
      <c r="J362" s="241"/>
      <c r="K362" s="241"/>
      <c r="L362" s="236"/>
      <c r="M362" s="236"/>
    </row>
    <row r="363" spans="1:13" x14ac:dyDescent="0.2">
      <c r="A363" s="241"/>
      <c r="B363" s="375"/>
      <c r="C363" s="375"/>
      <c r="D363" s="375"/>
      <c r="E363" s="253"/>
      <c r="F363" s="375"/>
      <c r="G363" s="375"/>
      <c r="H363" s="375"/>
      <c r="I363" s="253"/>
      <c r="J363" s="375"/>
      <c r="K363" s="375"/>
      <c r="L363" s="375"/>
      <c r="M363" s="236"/>
    </row>
    <row r="364" spans="1:13" x14ac:dyDescent="0.2">
      <c r="A364" s="258"/>
      <c r="B364" s="259"/>
      <c r="C364" s="259"/>
      <c r="D364" s="259"/>
      <c r="E364" s="259"/>
      <c r="F364" s="259"/>
      <c r="G364" s="259"/>
      <c r="H364" s="259"/>
      <c r="I364" s="259"/>
      <c r="J364" s="259"/>
      <c r="K364" s="259"/>
      <c r="L364" s="259"/>
      <c r="M364" s="236"/>
    </row>
    <row r="365" spans="1:13" x14ac:dyDescent="0.2">
      <c r="A365" s="258"/>
      <c r="B365" s="259"/>
      <c r="C365" s="259"/>
      <c r="D365" s="259"/>
      <c r="E365" s="259"/>
      <c r="F365" s="259"/>
      <c r="G365" s="259"/>
      <c r="H365" s="259"/>
      <c r="I365" s="259"/>
      <c r="J365" s="259"/>
      <c r="K365" s="259"/>
      <c r="L365" s="259"/>
      <c r="M365" s="236"/>
    </row>
    <row r="366" spans="1:13" x14ac:dyDescent="0.2">
      <c r="A366" s="237"/>
      <c r="B366" s="302"/>
      <c r="C366" s="302"/>
      <c r="D366" s="302"/>
      <c r="E366" s="303"/>
      <c r="F366" s="302"/>
      <c r="G366" s="302"/>
      <c r="H366" s="302"/>
      <c r="I366" s="303"/>
      <c r="J366" s="302"/>
      <c r="K366" s="302"/>
      <c r="L366" s="302"/>
      <c r="M366" s="236"/>
    </row>
    <row r="367" spans="1:13" x14ac:dyDescent="0.2">
      <c r="A367" s="237"/>
      <c r="B367" s="302"/>
      <c r="C367" s="302"/>
      <c r="D367" s="302"/>
      <c r="E367" s="303"/>
      <c r="F367" s="302"/>
      <c r="G367" s="302"/>
      <c r="H367" s="302"/>
      <c r="I367" s="303"/>
      <c r="J367" s="302"/>
      <c r="K367" s="302"/>
      <c r="L367" s="302"/>
      <c r="M367" s="236"/>
    </row>
    <row r="368" spans="1:13" x14ac:dyDescent="0.2">
      <c r="A368" s="237"/>
      <c r="B368" s="302"/>
      <c r="C368" s="302"/>
      <c r="D368" s="302"/>
      <c r="E368" s="303"/>
      <c r="F368" s="302"/>
      <c r="G368" s="302"/>
      <c r="H368" s="302"/>
      <c r="I368" s="303"/>
      <c r="J368" s="302"/>
      <c r="K368" s="302"/>
      <c r="L368" s="302"/>
      <c r="M368" s="236"/>
    </row>
    <row r="369" spans="1:13" x14ac:dyDescent="0.2">
      <c r="A369" s="237"/>
      <c r="B369" s="302"/>
      <c r="C369" s="302"/>
      <c r="D369" s="302"/>
      <c r="E369" s="303"/>
      <c r="F369" s="302"/>
      <c r="G369" s="302"/>
      <c r="H369" s="302"/>
      <c r="I369" s="303"/>
      <c r="J369" s="302"/>
      <c r="K369" s="302"/>
      <c r="L369" s="302"/>
      <c r="M369" s="236"/>
    </row>
    <row r="370" spans="1:13" x14ac:dyDescent="0.2">
      <c r="A370" s="237"/>
      <c r="B370" s="302"/>
      <c r="C370" s="302"/>
      <c r="D370" s="302"/>
      <c r="E370" s="303"/>
      <c r="F370" s="302"/>
      <c r="G370" s="302"/>
      <c r="H370" s="302"/>
      <c r="I370" s="303"/>
      <c r="J370" s="302"/>
      <c r="K370" s="302"/>
      <c r="L370" s="302"/>
      <c r="M370" s="236"/>
    </row>
    <row r="371" spans="1:13" x14ac:dyDescent="0.2">
      <c r="A371" s="237"/>
      <c r="B371" s="302"/>
      <c r="C371" s="302"/>
      <c r="D371" s="302"/>
      <c r="E371" s="303"/>
      <c r="F371" s="302"/>
      <c r="G371" s="302"/>
      <c r="H371" s="302"/>
      <c r="I371" s="303"/>
      <c r="J371" s="302"/>
      <c r="K371" s="302"/>
      <c r="L371" s="302"/>
      <c r="M371" s="236"/>
    </row>
    <row r="372" spans="1:13" x14ac:dyDescent="0.2">
      <c r="A372" s="237"/>
      <c r="B372" s="302"/>
      <c r="C372" s="302"/>
      <c r="D372" s="302"/>
      <c r="E372" s="303"/>
      <c r="F372" s="302"/>
      <c r="G372" s="302"/>
      <c r="H372" s="302"/>
      <c r="I372" s="303"/>
      <c r="J372" s="302"/>
      <c r="K372" s="302"/>
      <c r="L372" s="302"/>
      <c r="M372" s="236"/>
    </row>
    <row r="373" spans="1:13" x14ac:dyDescent="0.2">
      <c r="A373" s="237"/>
      <c r="B373" s="302"/>
      <c r="C373" s="302"/>
      <c r="D373" s="302"/>
      <c r="E373" s="303"/>
      <c r="F373" s="302"/>
      <c r="G373" s="302"/>
      <c r="H373" s="302"/>
      <c r="I373" s="303"/>
      <c r="J373" s="302"/>
      <c r="K373" s="302"/>
      <c r="L373" s="302"/>
      <c r="M373" s="236"/>
    </row>
    <row r="374" spans="1:13" x14ac:dyDescent="0.2">
      <c r="A374" s="237"/>
      <c r="B374" s="302"/>
      <c r="C374" s="302"/>
      <c r="D374" s="302"/>
      <c r="E374" s="303"/>
      <c r="F374" s="302"/>
      <c r="G374" s="302"/>
      <c r="H374" s="302"/>
      <c r="I374" s="303"/>
      <c r="J374" s="302"/>
      <c r="K374" s="302"/>
      <c r="L374" s="302"/>
      <c r="M374" s="236"/>
    </row>
    <row r="375" spans="1:13" x14ac:dyDescent="0.2">
      <c r="A375" s="237"/>
      <c r="B375" s="302"/>
      <c r="C375" s="302"/>
      <c r="D375" s="302"/>
      <c r="E375" s="303"/>
      <c r="F375" s="302"/>
      <c r="G375" s="302"/>
      <c r="H375" s="302"/>
      <c r="I375" s="303"/>
      <c r="J375" s="302"/>
      <c r="K375" s="302"/>
      <c r="L375" s="302"/>
      <c r="M375" s="236"/>
    </row>
    <row r="376" spans="1:13" x14ac:dyDescent="0.2">
      <c r="A376" s="237"/>
      <c r="B376" s="303"/>
      <c r="C376" s="303"/>
      <c r="D376" s="303"/>
      <c r="E376" s="303"/>
      <c r="F376" s="303"/>
      <c r="G376" s="303"/>
      <c r="H376" s="303"/>
      <c r="I376" s="303"/>
      <c r="J376" s="303"/>
      <c r="K376" s="303"/>
      <c r="L376" s="303"/>
      <c r="M376" s="236"/>
    </row>
    <row r="377" spans="1:13" x14ac:dyDescent="0.2">
      <c r="A377" s="237"/>
      <c r="B377" s="237"/>
      <c r="C377" s="237"/>
      <c r="D377" s="237"/>
      <c r="E377" s="237"/>
      <c r="F377" s="237"/>
      <c r="G377" s="237"/>
      <c r="H377" s="237"/>
      <c r="I377" s="237"/>
      <c r="J377" s="237"/>
      <c r="K377" s="237"/>
      <c r="L377" s="240"/>
      <c r="M377" s="236"/>
    </row>
    <row r="378" spans="1:13" x14ac:dyDescent="0.2">
      <c r="A378" s="237"/>
      <c r="B378" s="237"/>
      <c r="C378" s="237"/>
      <c r="D378" s="237"/>
      <c r="E378" s="237"/>
      <c r="F378" s="237"/>
      <c r="G378" s="237"/>
      <c r="H378" s="237"/>
      <c r="I378" s="237"/>
      <c r="J378" s="237"/>
      <c r="K378" s="237"/>
      <c r="L378" s="284"/>
      <c r="M378" s="236"/>
    </row>
    <row r="379" spans="1:13" x14ac:dyDescent="0.2">
      <c r="A379" s="258"/>
      <c r="B379" s="241"/>
      <c r="C379" s="241"/>
      <c r="D379" s="241"/>
      <c r="E379" s="241"/>
      <c r="F379" s="241"/>
      <c r="G379" s="241"/>
      <c r="H379" s="241"/>
      <c r="I379" s="241"/>
      <c r="J379" s="241"/>
      <c r="K379" s="241"/>
      <c r="L379" s="236"/>
      <c r="M379" s="236"/>
    </row>
    <row r="380" spans="1:13" x14ac:dyDescent="0.2">
      <c r="A380" s="241"/>
      <c r="B380" s="375"/>
      <c r="C380" s="375"/>
      <c r="D380" s="375"/>
      <c r="E380" s="253"/>
      <c r="F380" s="375"/>
      <c r="G380" s="375"/>
      <c r="H380" s="375"/>
      <c r="I380" s="253"/>
      <c r="J380" s="375"/>
      <c r="K380" s="375"/>
      <c r="L380" s="375"/>
      <c r="M380" s="236"/>
    </row>
    <row r="381" spans="1:13" x14ac:dyDescent="0.2">
      <c r="A381" s="258"/>
      <c r="B381" s="259"/>
      <c r="C381" s="259"/>
      <c r="D381" s="259"/>
      <c r="E381" s="259"/>
      <c r="F381" s="259"/>
      <c r="G381" s="259"/>
      <c r="H381" s="259"/>
      <c r="I381" s="259"/>
      <c r="J381" s="259"/>
      <c r="K381" s="259"/>
      <c r="L381" s="259"/>
      <c r="M381" s="236"/>
    </row>
    <row r="382" spans="1:13" x14ac:dyDescent="0.2">
      <c r="A382" s="258"/>
      <c r="B382" s="259"/>
      <c r="C382" s="259"/>
      <c r="D382" s="259"/>
      <c r="E382" s="259"/>
      <c r="F382" s="259"/>
      <c r="G382" s="259"/>
      <c r="H382" s="259"/>
      <c r="I382" s="259"/>
      <c r="J382" s="259"/>
      <c r="K382" s="259"/>
      <c r="L382" s="259"/>
      <c r="M382" s="236"/>
    </row>
    <row r="383" spans="1:13" x14ac:dyDescent="0.2">
      <c r="A383" s="237"/>
      <c r="B383" s="302"/>
      <c r="C383" s="302"/>
      <c r="D383" s="302"/>
      <c r="E383" s="303"/>
      <c r="F383" s="302"/>
      <c r="G383" s="302"/>
      <c r="H383" s="302"/>
      <c r="I383" s="303"/>
      <c r="J383" s="302"/>
      <c r="K383" s="302"/>
      <c r="L383" s="302"/>
      <c r="M383" s="236"/>
    </row>
    <row r="384" spans="1:13" x14ac:dyDescent="0.2">
      <c r="A384" s="237"/>
      <c r="B384" s="302"/>
      <c r="C384" s="302"/>
      <c r="D384" s="302"/>
      <c r="E384" s="303"/>
      <c r="F384" s="302"/>
      <c r="G384" s="302"/>
      <c r="H384" s="302"/>
      <c r="I384" s="303"/>
      <c r="J384" s="302"/>
      <c r="K384" s="302"/>
      <c r="L384" s="302"/>
      <c r="M384" s="236"/>
    </row>
    <row r="385" spans="1:13" x14ac:dyDescent="0.2">
      <c r="A385" s="237"/>
      <c r="B385" s="302"/>
      <c r="C385" s="302"/>
      <c r="D385" s="302"/>
      <c r="E385" s="303"/>
      <c r="F385" s="302"/>
      <c r="G385" s="302"/>
      <c r="H385" s="302"/>
      <c r="I385" s="303"/>
      <c r="J385" s="302"/>
      <c r="K385" s="302"/>
      <c r="L385" s="302"/>
      <c r="M385" s="236"/>
    </row>
    <row r="386" spans="1:13" x14ac:dyDescent="0.2">
      <c r="A386" s="237"/>
      <c r="B386" s="302"/>
      <c r="C386" s="302"/>
      <c r="D386" s="302"/>
      <c r="E386" s="303"/>
      <c r="F386" s="302"/>
      <c r="G386" s="302"/>
      <c r="H386" s="302"/>
      <c r="I386" s="303"/>
      <c r="J386" s="302"/>
      <c r="K386" s="302"/>
      <c r="L386" s="302"/>
      <c r="M386" s="236"/>
    </row>
    <row r="387" spans="1:13" x14ac:dyDescent="0.2">
      <c r="A387" s="237"/>
      <c r="B387" s="302"/>
      <c r="C387" s="302"/>
      <c r="D387" s="302"/>
      <c r="E387" s="303"/>
      <c r="F387" s="302"/>
      <c r="G387" s="302"/>
      <c r="H387" s="302"/>
      <c r="I387" s="303"/>
      <c r="J387" s="302"/>
      <c r="K387" s="302"/>
      <c r="L387" s="302"/>
      <c r="M387" s="236"/>
    </row>
    <row r="388" spans="1:13" x14ac:dyDescent="0.2">
      <c r="A388" s="237"/>
      <c r="B388" s="302"/>
      <c r="C388" s="302"/>
      <c r="D388" s="302"/>
      <c r="E388" s="303"/>
      <c r="F388" s="302"/>
      <c r="G388" s="302"/>
      <c r="H388" s="302"/>
      <c r="I388" s="303"/>
      <c r="J388" s="302"/>
      <c r="K388" s="302"/>
      <c r="L388" s="302"/>
      <c r="M388" s="236"/>
    </row>
    <row r="389" spans="1:13" x14ac:dyDescent="0.2">
      <c r="A389" s="237"/>
      <c r="B389" s="302"/>
      <c r="C389" s="302"/>
      <c r="D389" s="302"/>
      <c r="E389" s="303"/>
      <c r="F389" s="302"/>
      <c r="G389" s="302"/>
      <c r="H389" s="302"/>
      <c r="I389" s="303"/>
      <c r="J389" s="302"/>
      <c r="K389" s="302"/>
      <c r="L389" s="302"/>
      <c r="M389" s="236"/>
    </row>
    <row r="390" spans="1:13" x14ac:dyDescent="0.2">
      <c r="A390" s="237"/>
      <c r="B390" s="302"/>
      <c r="C390" s="302"/>
      <c r="D390" s="302"/>
      <c r="E390" s="303"/>
      <c r="F390" s="302"/>
      <c r="G390" s="302"/>
      <c r="H390" s="302"/>
      <c r="I390" s="303"/>
      <c r="J390" s="302"/>
      <c r="K390" s="302"/>
      <c r="L390" s="302"/>
      <c r="M390" s="236"/>
    </row>
    <row r="391" spans="1:13" x14ac:dyDescent="0.2">
      <c r="A391" s="237"/>
      <c r="B391" s="302"/>
      <c r="C391" s="302"/>
      <c r="D391" s="302"/>
      <c r="E391" s="303"/>
      <c r="F391" s="302"/>
      <c r="G391" s="302"/>
      <c r="H391" s="302"/>
      <c r="I391" s="303"/>
      <c r="J391" s="302"/>
      <c r="K391" s="302"/>
      <c r="L391" s="302"/>
      <c r="M391" s="236"/>
    </row>
    <row r="392" spans="1:13" x14ac:dyDescent="0.2">
      <c r="A392" s="237"/>
      <c r="B392" s="302"/>
      <c r="C392" s="302"/>
      <c r="D392" s="302"/>
      <c r="E392" s="303"/>
      <c r="F392" s="302"/>
      <c r="G392" s="302"/>
      <c r="H392" s="302"/>
      <c r="I392" s="303"/>
      <c r="J392" s="302"/>
      <c r="K392" s="302"/>
      <c r="L392" s="302"/>
      <c r="M392" s="236"/>
    </row>
    <row r="393" spans="1:13" x14ac:dyDescent="0.2">
      <c r="A393" s="237"/>
      <c r="B393" s="303"/>
      <c r="C393" s="303"/>
      <c r="D393" s="303"/>
      <c r="E393" s="303"/>
      <c r="F393" s="303"/>
      <c r="G393" s="303"/>
      <c r="H393" s="303"/>
      <c r="I393" s="303"/>
      <c r="J393" s="303"/>
      <c r="K393" s="303"/>
      <c r="L393" s="303"/>
      <c r="M393" s="236"/>
    </row>
    <row r="394" spans="1:13" x14ac:dyDescent="0.2">
      <c r="A394" s="237"/>
      <c r="B394" s="237"/>
      <c r="C394" s="237"/>
      <c r="D394" s="237"/>
      <c r="E394" s="237"/>
      <c r="F394" s="237"/>
      <c r="G394" s="237"/>
      <c r="H394" s="237"/>
      <c r="I394" s="237"/>
      <c r="J394" s="237"/>
      <c r="K394" s="237"/>
      <c r="L394" s="240"/>
      <c r="M394" s="236"/>
    </row>
    <row r="395" spans="1:13" x14ac:dyDescent="0.2">
      <c r="A395" s="237"/>
      <c r="B395" s="237"/>
      <c r="C395" s="237"/>
      <c r="D395" s="237"/>
      <c r="E395" s="237"/>
      <c r="F395" s="237"/>
      <c r="G395" s="237"/>
      <c r="H395" s="237"/>
      <c r="I395" s="237"/>
      <c r="J395" s="237"/>
      <c r="K395" s="237"/>
      <c r="L395" s="284"/>
      <c r="M395" s="236"/>
    </row>
    <row r="396" spans="1:13" x14ac:dyDescent="0.2">
      <c r="A396" s="258"/>
      <c r="B396" s="241"/>
      <c r="C396" s="241"/>
      <c r="D396" s="241"/>
      <c r="E396" s="241"/>
      <c r="F396" s="241"/>
      <c r="G396" s="241"/>
      <c r="H396" s="241"/>
      <c r="I396" s="241"/>
      <c r="J396" s="241"/>
      <c r="K396" s="241"/>
      <c r="L396" s="236"/>
      <c r="M396" s="236"/>
    </row>
    <row r="397" spans="1:13" x14ac:dyDescent="0.2">
      <c r="A397" s="241"/>
      <c r="B397" s="375"/>
      <c r="C397" s="375"/>
      <c r="D397" s="375"/>
      <c r="E397" s="253"/>
      <c r="F397" s="375"/>
      <c r="G397" s="375"/>
      <c r="H397" s="375"/>
      <c r="I397" s="253"/>
      <c r="J397" s="375"/>
      <c r="K397" s="375"/>
      <c r="L397" s="375"/>
      <c r="M397" s="236"/>
    </row>
    <row r="398" spans="1:13" x14ac:dyDescent="0.2">
      <c r="A398" s="258"/>
      <c r="B398" s="259"/>
      <c r="C398" s="259"/>
      <c r="D398" s="259"/>
      <c r="E398" s="259"/>
      <c r="F398" s="259"/>
      <c r="G398" s="259"/>
      <c r="H398" s="259"/>
      <c r="I398" s="259"/>
      <c r="J398" s="259"/>
      <c r="K398" s="259"/>
      <c r="L398" s="259"/>
      <c r="M398" s="236"/>
    </row>
    <row r="399" spans="1:13" x14ac:dyDescent="0.2">
      <c r="A399" s="258"/>
      <c r="B399" s="259"/>
      <c r="C399" s="259"/>
      <c r="D399" s="259"/>
      <c r="E399" s="259"/>
      <c r="F399" s="259"/>
      <c r="G399" s="259"/>
      <c r="H399" s="259"/>
      <c r="I399" s="259"/>
      <c r="J399" s="259"/>
      <c r="K399" s="259"/>
      <c r="L399" s="259"/>
      <c r="M399" s="236"/>
    </row>
    <row r="400" spans="1:13" x14ac:dyDescent="0.2">
      <c r="A400" s="237"/>
      <c r="B400" s="302"/>
      <c r="C400" s="302"/>
      <c r="D400" s="302"/>
      <c r="E400" s="303"/>
      <c r="F400" s="302"/>
      <c r="G400" s="302"/>
      <c r="H400" s="302"/>
      <c r="I400" s="303"/>
      <c r="J400" s="302"/>
      <c r="K400" s="302"/>
      <c r="L400" s="302"/>
      <c r="M400" s="236"/>
    </row>
    <row r="401" spans="1:13" x14ac:dyDescent="0.2">
      <c r="A401" s="237"/>
      <c r="B401" s="302"/>
      <c r="C401" s="302"/>
      <c r="D401" s="302"/>
      <c r="E401" s="303"/>
      <c r="F401" s="302"/>
      <c r="G401" s="302"/>
      <c r="H401" s="302"/>
      <c r="I401" s="303"/>
      <c r="J401" s="302"/>
      <c r="K401" s="302"/>
      <c r="L401" s="302"/>
      <c r="M401" s="236"/>
    </row>
    <row r="402" spans="1:13" x14ac:dyDescent="0.2">
      <c r="A402" s="237"/>
      <c r="B402" s="302"/>
      <c r="C402" s="302"/>
      <c r="D402" s="302"/>
      <c r="E402" s="303"/>
      <c r="F402" s="302"/>
      <c r="G402" s="302"/>
      <c r="H402" s="302"/>
      <c r="I402" s="303"/>
      <c r="J402" s="302"/>
      <c r="K402" s="302"/>
      <c r="L402" s="302"/>
      <c r="M402" s="236"/>
    </row>
    <row r="403" spans="1:13" x14ac:dyDescent="0.2">
      <c r="A403" s="237"/>
      <c r="B403" s="302"/>
      <c r="C403" s="302"/>
      <c r="D403" s="302"/>
      <c r="E403" s="303"/>
      <c r="F403" s="302"/>
      <c r="G403" s="302"/>
      <c r="H403" s="302"/>
      <c r="I403" s="303"/>
      <c r="J403" s="302"/>
      <c r="K403" s="302"/>
      <c r="L403" s="302"/>
      <c r="M403" s="236"/>
    </row>
    <row r="404" spans="1:13" x14ac:dyDescent="0.2">
      <c r="A404" s="237"/>
      <c r="B404" s="302"/>
      <c r="C404" s="302"/>
      <c r="D404" s="302"/>
      <c r="E404" s="303"/>
      <c r="F404" s="302"/>
      <c r="G404" s="302"/>
      <c r="H404" s="302"/>
      <c r="I404" s="303"/>
      <c r="J404" s="302"/>
      <c r="K404" s="302"/>
      <c r="L404" s="302"/>
      <c r="M404" s="236"/>
    </row>
    <row r="405" spans="1:13" x14ac:dyDescent="0.2">
      <c r="A405" s="237"/>
      <c r="B405" s="302"/>
      <c r="C405" s="302"/>
      <c r="D405" s="302"/>
      <c r="E405" s="303"/>
      <c r="F405" s="302"/>
      <c r="G405" s="302"/>
      <c r="H405" s="302"/>
      <c r="I405" s="303"/>
      <c r="J405" s="302"/>
      <c r="K405" s="302"/>
      <c r="L405" s="302"/>
      <c r="M405" s="236"/>
    </row>
    <row r="406" spans="1:13" x14ac:dyDescent="0.2">
      <c r="A406" s="237"/>
      <c r="B406" s="302"/>
      <c r="C406" s="302"/>
      <c r="D406" s="302"/>
      <c r="E406" s="303"/>
      <c r="F406" s="302"/>
      <c r="G406" s="302"/>
      <c r="H406" s="302"/>
      <c r="I406" s="303"/>
      <c r="J406" s="302"/>
      <c r="K406" s="302"/>
      <c r="L406" s="302"/>
      <c r="M406" s="236"/>
    </row>
    <row r="407" spans="1:13" x14ac:dyDescent="0.2">
      <c r="A407" s="237"/>
      <c r="B407" s="302"/>
      <c r="C407" s="302"/>
      <c r="D407" s="302"/>
      <c r="E407" s="303"/>
      <c r="F407" s="302"/>
      <c r="G407" s="302"/>
      <c r="H407" s="302"/>
      <c r="I407" s="303"/>
      <c r="J407" s="302"/>
      <c r="K407" s="302"/>
      <c r="L407" s="302"/>
      <c r="M407" s="236"/>
    </row>
    <row r="408" spans="1:13" x14ac:dyDescent="0.2">
      <c r="A408" s="237"/>
      <c r="B408" s="302"/>
      <c r="C408" s="302"/>
      <c r="D408" s="302"/>
      <c r="E408" s="303"/>
      <c r="F408" s="302"/>
      <c r="G408" s="302"/>
      <c r="H408" s="302"/>
      <c r="I408" s="303"/>
      <c r="J408" s="302"/>
      <c r="K408" s="302"/>
      <c r="L408" s="302"/>
      <c r="M408" s="236"/>
    </row>
    <row r="409" spans="1:13" x14ac:dyDescent="0.2">
      <c r="A409" s="237"/>
      <c r="B409" s="302"/>
      <c r="C409" s="302"/>
      <c r="D409" s="302"/>
      <c r="E409" s="303"/>
      <c r="F409" s="302"/>
      <c r="G409" s="302"/>
      <c r="H409" s="302"/>
      <c r="I409" s="303"/>
      <c r="J409" s="302"/>
      <c r="K409" s="302"/>
      <c r="L409" s="302"/>
      <c r="M409" s="236"/>
    </row>
    <row r="410" spans="1:13" x14ac:dyDescent="0.2">
      <c r="A410" s="237"/>
      <c r="B410" s="303"/>
      <c r="C410" s="303"/>
      <c r="D410" s="303"/>
      <c r="E410" s="303"/>
      <c r="F410" s="303"/>
      <c r="G410" s="303"/>
      <c r="H410" s="303"/>
      <c r="I410" s="303"/>
      <c r="J410" s="303"/>
      <c r="K410" s="303"/>
      <c r="L410" s="303"/>
      <c r="M410" s="236"/>
    </row>
    <row r="411" spans="1:13" x14ac:dyDescent="0.2">
      <c r="A411" s="237"/>
      <c r="B411" s="237"/>
      <c r="C411" s="237"/>
      <c r="D411" s="237"/>
      <c r="E411" s="237"/>
      <c r="F411" s="237"/>
      <c r="G411" s="237"/>
      <c r="H411" s="237"/>
      <c r="I411" s="237"/>
      <c r="J411" s="237"/>
      <c r="K411" s="237"/>
      <c r="L411" s="240"/>
      <c r="M411" s="236"/>
    </row>
    <row r="412" spans="1:13" x14ac:dyDescent="0.2">
      <c r="A412" s="237"/>
      <c r="B412" s="237"/>
      <c r="C412" s="237"/>
      <c r="D412" s="237"/>
      <c r="E412" s="237"/>
      <c r="F412" s="237"/>
      <c r="G412" s="237"/>
      <c r="H412" s="237"/>
      <c r="I412" s="237"/>
      <c r="J412" s="237"/>
      <c r="K412" s="237"/>
      <c r="L412" s="284"/>
      <c r="M412" s="236"/>
    </row>
    <row r="413" spans="1:13" x14ac:dyDescent="0.2">
      <c r="A413" s="258"/>
      <c r="B413" s="241"/>
      <c r="C413" s="241"/>
      <c r="D413" s="241"/>
      <c r="E413" s="241"/>
      <c r="F413" s="241"/>
      <c r="G413" s="241"/>
      <c r="H413" s="241"/>
      <c r="I413" s="241"/>
      <c r="J413" s="241"/>
      <c r="K413" s="241"/>
      <c r="L413" s="236"/>
      <c r="M413" s="236"/>
    </row>
    <row r="414" spans="1:13" x14ac:dyDescent="0.2">
      <c r="A414" s="241"/>
      <c r="B414" s="375"/>
      <c r="C414" s="375"/>
      <c r="D414" s="375"/>
      <c r="E414" s="253"/>
      <c r="F414" s="375"/>
      <c r="G414" s="375"/>
      <c r="H414" s="375"/>
      <c r="I414" s="253"/>
      <c r="J414" s="375"/>
      <c r="K414" s="375"/>
      <c r="L414" s="375"/>
      <c r="M414" s="236"/>
    </row>
    <row r="415" spans="1:13" x14ac:dyDescent="0.2">
      <c r="A415" s="258"/>
      <c r="B415" s="259"/>
      <c r="C415" s="259"/>
      <c r="D415" s="259"/>
      <c r="E415" s="259"/>
      <c r="F415" s="259"/>
      <c r="G415" s="259"/>
      <c r="H415" s="259"/>
      <c r="I415" s="259"/>
      <c r="J415" s="259"/>
      <c r="K415" s="259"/>
      <c r="L415" s="259"/>
      <c r="M415" s="236"/>
    </row>
    <row r="416" spans="1:13" x14ac:dyDescent="0.2">
      <c r="A416" s="258"/>
      <c r="B416" s="259"/>
      <c r="C416" s="259"/>
      <c r="D416" s="259"/>
      <c r="E416" s="259"/>
      <c r="F416" s="259"/>
      <c r="G416" s="259"/>
      <c r="H416" s="259"/>
      <c r="I416" s="259"/>
      <c r="J416" s="259"/>
      <c r="K416" s="259"/>
      <c r="L416" s="259"/>
      <c r="M416" s="236"/>
    </row>
    <row r="417" spans="1:13" x14ac:dyDescent="0.2">
      <c r="A417" s="237"/>
      <c r="B417" s="302"/>
      <c r="C417" s="302"/>
      <c r="D417" s="302"/>
      <c r="E417" s="303"/>
      <c r="F417" s="302"/>
      <c r="G417" s="302"/>
      <c r="H417" s="302"/>
      <c r="I417" s="303"/>
      <c r="J417" s="302"/>
      <c r="K417" s="302"/>
      <c r="L417" s="302"/>
      <c r="M417" s="236"/>
    </row>
    <row r="418" spans="1:13" x14ac:dyDescent="0.2">
      <c r="A418" s="237"/>
      <c r="B418" s="302"/>
      <c r="C418" s="302"/>
      <c r="D418" s="302"/>
      <c r="E418" s="303"/>
      <c r="F418" s="302"/>
      <c r="G418" s="302"/>
      <c r="H418" s="302"/>
      <c r="I418" s="303"/>
      <c r="J418" s="302"/>
      <c r="K418" s="302"/>
      <c r="L418" s="302"/>
      <c r="M418" s="236"/>
    </row>
    <row r="419" spans="1:13" x14ac:dyDescent="0.2">
      <c r="A419" s="237"/>
      <c r="B419" s="302"/>
      <c r="C419" s="302"/>
      <c r="D419" s="302"/>
      <c r="E419" s="303"/>
      <c r="F419" s="302"/>
      <c r="G419" s="302"/>
      <c r="H419" s="302"/>
      <c r="I419" s="303"/>
      <c r="J419" s="302"/>
      <c r="K419" s="302"/>
      <c r="L419" s="302"/>
      <c r="M419" s="236"/>
    </row>
    <row r="420" spans="1:13" x14ac:dyDescent="0.2">
      <c r="A420" s="237"/>
      <c r="B420" s="302"/>
      <c r="C420" s="302"/>
      <c r="D420" s="302"/>
      <c r="E420" s="303"/>
      <c r="F420" s="302"/>
      <c r="G420" s="302"/>
      <c r="H420" s="302"/>
      <c r="I420" s="303"/>
      <c r="J420" s="302"/>
      <c r="K420" s="302"/>
      <c r="L420" s="302"/>
      <c r="M420" s="236"/>
    </row>
    <row r="421" spans="1:13" x14ac:dyDescent="0.2">
      <c r="A421" s="237"/>
      <c r="B421" s="302"/>
      <c r="C421" s="302"/>
      <c r="D421" s="302"/>
      <c r="E421" s="303"/>
      <c r="F421" s="302"/>
      <c r="G421" s="302"/>
      <c r="H421" s="302"/>
      <c r="I421" s="303"/>
      <c r="J421" s="302"/>
      <c r="K421" s="302"/>
      <c r="L421" s="302"/>
      <c r="M421" s="236"/>
    </row>
    <row r="422" spans="1:13" x14ac:dyDescent="0.2">
      <c r="A422" s="237"/>
      <c r="B422" s="302"/>
      <c r="C422" s="302"/>
      <c r="D422" s="302"/>
      <c r="E422" s="303"/>
      <c r="F422" s="302"/>
      <c r="G422" s="302"/>
      <c r="H422" s="302"/>
      <c r="I422" s="303"/>
      <c r="J422" s="302"/>
      <c r="K422" s="302"/>
      <c r="L422" s="302"/>
      <c r="M422" s="236"/>
    </row>
    <row r="423" spans="1:13" x14ac:dyDescent="0.2">
      <c r="A423" s="237"/>
      <c r="B423" s="302"/>
      <c r="C423" s="302"/>
      <c r="D423" s="302"/>
      <c r="E423" s="303"/>
      <c r="F423" s="302"/>
      <c r="G423" s="302"/>
      <c r="H423" s="302"/>
      <c r="I423" s="303"/>
      <c r="J423" s="302"/>
      <c r="K423" s="302"/>
      <c r="L423" s="302"/>
      <c r="M423" s="236"/>
    </row>
    <row r="424" spans="1:13" x14ac:dyDescent="0.2">
      <c r="A424" s="237"/>
      <c r="B424" s="302"/>
      <c r="C424" s="302"/>
      <c r="D424" s="302"/>
      <c r="E424" s="303"/>
      <c r="F424" s="302"/>
      <c r="G424" s="302"/>
      <c r="H424" s="302"/>
      <c r="I424" s="303"/>
      <c r="J424" s="302"/>
      <c r="K424" s="302"/>
      <c r="L424" s="302"/>
      <c r="M424" s="236"/>
    </row>
    <row r="425" spans="1:13" x14ac:dyDescent="0.2">
      <c r="A425" s="237"/>
      <c r="B425" s="302"/>
      <c r="C425" s="302"/>
      <c r="D425" s="302"/>
      <c r="E425" s="303"/>
      <c r="F425" s="302"/>
      <c r="G425" s="302"/>
      <c r="H425" s="302"/>
      <c r="I425" s="303"/>
      <c r="J425" s="302"/>
      <c r="K425" s="302"/>
      <c r="L425" s="302"/>
      <c r="M425" s="236"/>
    </row>
    <row r="426" spans="1:13" x14ac:dyDescent="0.2">
      <c r="A426" s="237"/>
      <c r="B426" s="302"/>
      <c r="C426" s="302"/>
      <c r="D426" s="302"/>
      <c r="E426" s="303"/>
      <c r="F426" s="302"/>
      <c r="G426" s="302"/>
      <c r="H426" s="302"/>
      <c r="I426" s="303"/>
      <c r="J426" s="302"/>
      <c r="K426" s="302"/>
      <c r="L426" s="302"/>
      <c r="M426" s="236"/>
    </row>
    <row r="427" spans="1:13" x14ac:dyDescent="0.2">
      <c r="A427" s="237"/>
      <c r="B427" s="303"/>
      <c r="C427" s="303"/>
      <c r="D427" s="303"/>
      <c r="E427" s="303"/>
      <c r="F427" s="303"/>
      <c r="G427" s="303"/>
      <c r="H427" s="303"/>
      <c r="I427" s="303"/>
      <c r="J427" s="303"/>
      <c r="K427" s="303"/>
      <c r="L427" s="303"/>
      <c r="M427" s="236"/>
    </row>
    <row r="428" spans="1:13" x14ac:dyDescent="0.2">
      <c r="A428" s="237"/>
      <c r="B428" s="237"/>
      <c r="C428" s="237"/>
      <c r="D428" s="237"/>
      <c r="E428" s="237"/>
      <c r="F428" s="237"/>
      <c r="G428" s="237"/>
      <c r="H428" s="237"/>
      <c r="I428" s="237"/>
      <c r="J428" s="237"/>
      <c r="K428" s="237"/>
      <c r="L428" s="240"/>
      <c r="M428" s="236"/>
    </row>
    <row r="429" spans="1:13" x14ac:dyDescent="0.2">
      <c r="A429" s="237"/>
      <c r="B429" s="237"/>
      <c r="C429" s="237"/>
      <c r="D429" s="237"/>
      <c r="E429" s="237"/>
      <c r="F429" s="237"/>
      <c r="G429" s="237"/>
      <c r="H429" s="237"/>
      <c r="I429" s="237"/>
      <c r="J429" s="237"/>
      <c r="K429" s="237"/>
      <c r="L429" s="284"/>
      <c r="M429" s="236"/>
    </row>
    <row r="430" spans="1:13" x14ac:dyDescent="0.2">
      <c r="A430" s="258"/>
      <c r="B430" s="241"/>
      <c r="C430" s="241"/>
      <c r="D430" s="241"/>
      <c r="E430" s="241"/>
      <c r="F430" s="241"/>
      <c r="G430" s="241"/>
      <c r="H430" s="241"/>
      <c r="I430" s="241"/>
      <c r="J430" s="241"/>
      <c r="K430" s="241"/>
      <c r="L430" s="236"/>
      <c r="M430" s="236"/>
    </row>
    <row r="431" spans="1:13" x14ac:dyDescent="0.2">
      <c r="A431" s="241"/>
      <c r="B431" s="375"/>
      <c r="C431" s="375"/>
      <c r="D431" s="375"/>
      <c r="E431" s="253"/>
      <c r="F431" s="375"/>
      <c r="G431" s="375"/>
      <c r="H431" s="375"/>
      <c r="I431" s="253"/>
      <c r="J431" s="375"/>
      <c r="K431" s="375"/>
      <c r="L431" s="375"/>
      <c r="M431" s="236"/>
    </row>
    <row r="432" spans="1:13" x14ac:dyDescent="0.2">
      <c r="A432" s="258"/>
      <c r="B432" s="259"/>
      <c r="C432" s="259"/>
      <c r="D432" s="259"/>
      <c r="E432" s="259"/>
      <c r="F432" s="259"/>
      <c r="G432" s="259"/>
      <c r="H432" s="259"/>
      <c r="I432" s="259"/>
      <c r="J432" s="259"/>
      <c r="K432" s="259"/>
      <c r="L432" s="259"/>
      <c r="M432" s="236"/>
    </row>
    <row r="433" spans="1:13" x14ac:dyDescent="0.2">
      <c r="A433" s="258"/>
      <c r="B433" s="259"/>
      <c r="C433" s="259"/>
      <c r="D433" s="259"/>
      <c r="E433" s="259"/>
      <c r="F433" s="259"/>
      <c r="G433" s="259"/>
      <c r="H433" s="259"/>
      <c r="I433" s="259"/>
      <c r="J433" s="259"/>
      <c r="K433" s="259"/>
      <c r="L433" s="259"/>
      <c r="M433" s="236"/>
    </row>
    <row r="434" spans="1:13" x14ac:dyDescent="0.2">
      <c r="A434" s="237"/>
      <c r="B434" s="302"/>
      <c r="C434" s="302"/>
      <c r="D434" s="302"/>
      <c r="E434" s="303"/>
      <c r="F434" s="302"/>
      <c r="G434" s="302"/>
      <c r="H434" s="302"/>
      <c r="I434" s="303"/>
      <c r="J434" s="302"/>
      <c r="K434" s="302"/>
      <c r="L434" s="302"/>
      <c r="M434" s="236"/>
    </row>
    <row r="435" spans="1:13" x14ac:dyDescent="0.2">
      <c r="A435" s="237"/>
      <c r="B435" s="302"/>
      <c r="C435" s="302"/>
      <c r="D435" s="302"/>
      <c r="E435" s="303"/>
      <c r="F435" s="302"/>
      <c r="G435" s="302"/>
      <c r="H435" s="302"/>
      <c r="I435" s="303"/>
      <c r="J435" s="302"/>
      <c r="K435" s="302"/>
      <c r="L435" s="302"/>
      <c r="M435" s="236"/>
    </row>
    <row r="436" spans="1:13" x14ac:dyDescent="0.2">
      <c r="A436" s="237"/>
      <c r="B436" s="302"/>
      <c r="C436" s="302"/>
      <c r="D436" s="302"/>
      <c r="E436" s="303"/>
      <c r="F436" s="302"/>
      <c r="G436" s="302"/>
      <c r="H436" s="302"/>
      <c r="I436" s="303"/>
      <c r="J436" s="302"/>
      <c r="K436" s="302"/>
      <c r="L436" s="302"/>
      <c r="M436" s="236"/>
    </row>
    <row r="437" spans="1:13" x14ac:dyDescent="0.2">
      <c r="A437" s="237"/>
      <c r="B437" s="302"/>
      <c r="C437" s="302"/>
      <c r="D437" s="302"/>
      <c r="E437" s="303"/>
      <c r="F437" s="302"/>
      <c r="G437" s="302"/>
      <c r="H437" s="302"/>
      <c r="I437" s="303"/>
      <c r="J437" s="302"/>
      <c r="K437" s="302"/>
      <c r="L437" s="302"/>
      <c r="M437" s="236"/>
    </row>
    <row r="438" spans="1:13" x14ac:dyDescent="0.2">
      <c r="A438" s="237"/>
      <c r="B438" s="302"/>
      <c r="C438" s="302"/>
      <c r="D438" s="302"/>
      <c r="E438" s="303"/>
      <c r="F438" s="302"/>
      <c r="G438" s="302"/>
      <c r="H438" s="302"/>
      <c r="I438" s="303"/>
      <c r="J438" s="302"/>
      <c r="K438" s="302"/>
      <c r="L438" s="302"/>
      <c r="M438" s="236"/>
    </row>
    <row r="439" spans="1:13" x14ac:dyDescent="0.2">
      <c r="A439" s="237"/>
      <c r="B439" s="302"/>
      <c r="C439" s="302"/>
      <c r="D439" s="302"/>
      <c r="E439" s="303"/>
      <c r="F439" s="302"/>
      <c r="G439" s="302"/>
      <c r="H439" s="302"/>
      <c r="I439" s="303"/>
      <c r="J439" s="302"/>
      <c r="K439" s="302"/>
      <c r="L439" s="302"/>
      <c r="M439" s="236"/>
    </row>
    <row r="440" spans="1:13" x14ac:dyDescent="0.2">
      <c r="A440" s="237"/>
      <c r="B440" s="302"/>
      <c r="C440" s="302"/>
      <c r="D440" s="302"/>
      <c r="E440" s="303"/>
      <c r="F440" s="302"/>
      <c r="G440" s="302"/>
      <c r="H440" s="302"/>
      <c r="I440" s="303"/>
      <c r="J440" s="302"/>
      <c r="K440" s="302"/>
      <c r="L440" s="302"/>
      <c r="M440" s="236"/>
    </row>
    <row r="441" spans="1:13" x14ac:dyDescent="0.2">
      <c r="A441" s="237"/>
      <c r="B441" s="302"/>
      <c r="C441" s="302"/>
      <c r="D441" s="302"/>
      <c r="E441" s="303"/>
      <c r="F441" s="302"/>
      <c r="G441" s="302"/>
      <c r="H441" s="302"/>
      <c r="I441" s="303"/>
      <c r="J441" s="302"/>
      <c r="K441" s="302"/>
      <c r="L441" s="302"/>
      <c r="M441" s="236"/>
    </row>
    <row r="442" spans="1:13" x14ac:dyDescent="0.2">
      <c r="A442" s="237"/>
      <c r="B442" s="302"/>
      <c r="C442" s="302"/>
      <c r="D442" s="302"/>
      <c r="E442" s="303"/>
      <c r="F442" s="302"/>
      <c r="G442" s="302"/>
      <c r="H442" s="302"/>
      <c r="I442" s="303"/>
      <c r="J442" s="302"/>
      <c r="K442" s="302"/>
      <c r="L442" s="302"/>
      <c r="M442" s="236"/>
    </row>
    <row r="443" spans="1:13" x14ac:dyDescent="0.2">
      <c r="A443" s="237"/>
      <c r="B443" s="302"/>
      <c r="C443" s="302"/>
      <c r="D443" s="302"/>
      <c r="E443" s="303"/>
      <c r="F443" s="302"/>
      <c r="G443" s="302"/>
      <c r="H443" s="302"/>
      <c r="I443" s="303"/>
      <c r="J443" s="302"/>
      <c r="K443" s="302"/>
      <c r="L443" s="302"/>
      <c r="M443" s="236"/>
    </row>
    <row r="444" spans="1:13" x14ac:dyDescent="0.2">
      <c r="A444" s="237"/>
      <c r="B444" s="303"/>
      <c r="C444" s="303"/>
      <c r="D444" s="303"/>
      <c r="E444" s="303"/>
      <c r="F444" s="303"/>
      <c r="G444" s="303"/>
      <c r="H444" s="303"/>
      <c r="I444" s="303"/>
      <c r="J444" s="303"/>
      <c r="K444" s="303"/>
      <c r="L444" s="303"/>
      <c r="M444" s="236"/>
    </row>
    <row r="445" spans="1:13" x14ac:dyDescent="0.2">
      <c r="A445" s="237"/>
      <c r="B445" s="237"/>
      <c r="C445" s="237"/>
      <c r="D445" s="237"/>
      <c r="E445" s="237"/>
      <c r="F445" s="237"/>
      <c r="G445" s="237"/>
      <c r="H445" s="237"/>
      <c r="I445" s="237"/>
      <c r="J445" s="237"/>
      <c r="K445" s="237"/>
      <c r="L445" s="240"/>
      <c r="M445" s="236"/>
    </row>
    <row r="446" spans="1:13" x14ac:dyDescent="0.2">
      <c r="A446" s="237"/>
      <c r="B446" s="237"/>
      <c r="C446" s="237"/>
      <c r="D446" s="237"/>
      <c r="E446" s="237"/>
      <c r="F446" s="237"/>
      <c r="G446" s="237"/>
      <c r="H446" s="237"/>
      <c r="I446" s="237"/>
      <c r="J446" s="237"/>
      <c r="K446" s="237"/>
      <c r="L446" s="284"/>
      <c r="M446" s="236"/>
    </row>
    <row r="447" spans="1:13" x14ac:dyDescent="0.2">
      <c r="A447" s="258"/>
      <c r="B447" s="241"/>
      <c r="C447" s="241"/>
      <c r="D447" s="241"/>
      <c r="E447" s="241"/>
      <c r="F447" s="241"/>
      <c r="G447" s="241"/>
      <c r="H447" s="241"/>
      <c r="I447" s="241"/>
      <c r="J447" s="241"/>
      <c r="K447" s="241"/>
      <c r="L447" s="236"/>
      <c r="M447" s="236"/>
    </row>
    <row r="448" spans="1:13" x14ac:dyDescent="0.2">
      <c r="A448" s="241"/>
      <c r="B448" s="375"/>
      <c r="C448" s="375"/>
      <c r="D448" s="375"/>
      <c r="E448" s="253"/>
      <c r="F448" s="375"/>
      <c r="G448" s="375"/>
      <c r="H448" s="375"/>
      <c r="I448" s="253"/>
      <c r="J448" s="375"/>
      <c r="K448" s="375"/>
      <c r="L448" s="375"/>
      <c r="M448" s="236"/>
    </row>
    <row r="449" spans="1:13" x14ac:dyDescent="0.2">
      <c r="A449" s="258"/>
      <c r="B449" s="259"/>
      <c r="C449" s="259"/>
      <c r="D449" s="259"/>
      <c r="E449" s="259"/>
      <c r="F449" s="259"/>
      <c r="G449" s="259"/>
      <c r="H449" s="259"/>
      <c r="I449" s="259"/>
      <c r="J449" s="259"/>
      <c r="K449" s="259"/>
      <c r="L449" s="259"/>
      <c r="M449" s="236"/>
    </row>
    <row r="450" spans="1:13" x14ac:dyDescent="0.2">
      <c r="A450" s="258"/>
      <c r="B450" s="259"/>
      <c r="C450" s="259"/>
      <c r="D450" s="259"/>
      <c r="E450" s="259"/>
      <c r="F450" s="259"/>
      <c r="G450" s="259"/>
      <c r="H450" s="259"/>
      <c r="I450" s="259"/>
      <c r="J450" s="259"/>
      <c r="K450" s="259"/>
      <c r="L450" s="259"/>
      <c r="M450" s="236"/>
    </row>
    <row r="451" spans="1:13" x14ac:dyDescent="0.2">
      <c r="A451" s="237"/>
      <c r="B451" s="302"/>
      <c r="C451" s="302"/>
      <c r="D451" s="302"/>
      <c r="E451" s="303"/>
      <c r="F451" s="302"/>
      <c r="G451" s="302"/>
      <c r="H451" s="302"/>
      <c r="I451" s="303"/>
      <c r="J451" s="302"/>
      <c r="K451" s="302"/>
      <c r="L451" s="302"/>
      <c r="M451" s="236"/>
    </row>
    <row r="452" spans="1:13" x14ac:dyDescent="0.2">
      <c r="A452" s="237"/>
      <c r="B452" s="302"/>
      <c r="C452" s="302"/>
      <c r="D452" s="302"/>
      <c r="E452" s="303"/>
      <c r="F452" s="302"/>
      <c r="G452" s="302"/>
      <c r="H452" s="302"/>
      <c r="I452" s="303"/>
      <c r="J452" s="302"/>
      <c r="K452" s="302"/>
      <c r="L452" s="302"/>
      <c r="M452" s="236"/>
    </row>
    <row r="453" spans="1:13" x14ac:dyDescent="0.2">
      <c r="A453" s="237"/>
      <c r="B453" s="302"/>
      <c r="C453" s="302"/>
      <c r="D453" s="302"/>
      <c r="E453" s="303"/>
      <c r="F453" s="302"/>
      <c r="G453" s="302"/>
      <c r="H453" s="302"/>
      <c r="I453" s="303"/>
      <c r="J453" s="302"/>
      <c r="K453" s="302"/>
      <c r="L453" s="302"/>
      <c r="M453" s="236"/>
    </row>
    <row r="454" spans="1:13" x14ac:dyDescent="0.2">
      <c r="A454" s="237"/>
      <c r="B454" s="302"/>
      <c r="C454" s="302"/>
      <c r="D454" s="302"/>
      <c r="E454" s="303"/>
      <c r="F454" s="302"/>
      <c r="G454" s="302"/>
      <c r="H454" s="302"/>
      <c r="I454" s="303"/>
      <c r="J454" s="302"/>
      <c r="K454" s="302"/>
      <c r="L454" s="302"/>
      <c r="M454" s="236"/>
    </row>
    <row r="455" spans="1:13" x14ac:dyDescent="0.2">
      <c r="A455" s="237"/>
      <c r="B455" s="302"/>
      <c r="C455" s="302"/>
      <c r="D455" s="302"/>
      <c r="E455" s="303"/>
      <c r="F455" s="302"/>
      <c r="G455" s="302"/>
      <c r="H455" s="302"/>
      <c r="I455" s="303"/>
      <c r="J455" s="302"/>
      <c r="K455" s="302"/>
      <c r="L455" s="302"/>
      <c r="M455" s="236"/>
    </row>
    <row r="456" spans="1:13" x14ac:dyDescent="0.2">
      <c r="A456" s="237"/>
      <c r="B456" s="302"/>
      <c r="C456" s="302"/>
      <c r="D456" s="302"/>
      <c r="E456" s="303"/>
      <c r="F456" s="302"/>
      <c r="G456" s="302"/>
      <c r="H456" s="302"/>
      <c r="I456" s="303"/>
      <c r="J456" s="302"/>
      <c r="K456" s="302"/>
      <c r="L456" s="302"/>
      <c r="M456" s="236"/>
    </row>
    <row r="457" spans="1:13" x14ac:dyDescent="0.2">
      <c r="A457" s="237"/>
      <c r="B457" s="302"/>
      <c r="C457" s="302"/>
      <c r="D457" s="302"/>
      <c r="E457" s="303"/>
      <c r="F457" s="302"/>
      <c r="G457" s="302"/>
      <c r="H457" s="302"/>
      <c r="I457" s="303"/>
      <c r="J457" s="302"/>
      <c r="K457" s="302"/>
      <c r="L457" s="302"/>
      <c r="M457" s="236"/>
    </row>
    <row r="458" spans="1:13" x14ac:dyDescent="0.2">
      <c r="A458" s="237"/>
      <c r="B458" s="302"/>
      <c r="C458" s="302"/>
      <c r="D458" s="302"/>
      <c r="E458" s="303"/>
      <c r="F458" s="302"/>
      <c r="G458" s="302"/>
      <c r="H458" s="302"/>
      <c r="I458" s="303"/>
      <c r="J458" s="302"/>
      <c r="K458" s="302"/>
      <c r="L458" s="302"/>
      <c r="M458" s="236"/>
    </row>
    <row r="459" spans="1:13" x14ac:dyDescent="0.2">
      <c r="A459" s="237"/>
      <c r="B459" s="302"/>
      <c r="C459" s="302"/>
      <c r="D459" s="302"/>
      <c r="E459" s="303"/>
      <c r="F459" s="302"/>
      <c r="G459" s="302"/>
      <c r="H459" s="302"/>
      <c r="I459" s="303"/>
      <c r="J459" s="302"/>
      <c r="K459" s="302"/>
      <c r="L459" s="302"/>
      <c r="M459" s="236"/>
    </row>
    <row r="460" spans="1:13" x14ac:dyDescent="0.2">
      <c r="A460" s="237"/>
      <c r="B460" s="302"/>
      <c r="C460" s="302"/>
      <c r="D460" s="302"/>
      <c r="E460" s="303"/>
      <c r="F460" s="302"/>
      <c r="G460" s="302"/>
      <c r="H460" s="302"/>
      <c r="I460" s="303"/>
      <c r="J460" s="302"/>
      <c r="K460" s="302"/>
      <c r="L460" s="302"/>
      <c r="M460" s="236"/>
    </row>
    <row r="461" spans="1:13" x14ac:dyDescent="0.2">
      <c r="A461" s="237"/>
      <c r="B461" s="303"/>
      <c r="C461" s="303"/>
      <c r="D461" s="303"/>
      <c r="E461" s="303"/>
      <c r="F461" s="303"/>
      <c r="G461" s="303"/>
      <c r="H461" s="303"/>
      <c r="I461" s="303"/>
      <c r="J461" s="303"/>
      <c r="K461" s="303"/>
      <c r="L461" s="303"/>
      <c r="M461" s="236"/>
    </row>
    <row r="462" spans="1:13" x14ac:dyDescent="0.2">
      <c r="A462" s="237"/>
      <c r="B462" s="237"/>
      <c r="C462" s="237"/>
      <c r="D462" s="237"/>
      <c r="E462" s="237"/>
      <c r="F462" s="237"/>
      <c r="G462" s="237"/>
      <c r="H462" s="237"/>
      <c r="I462" s="237"/>
      <c r="J462" s="237"/>
      <c r="K462" s="237"/>
      <c r="L462" s="240"/>
      <c r="M462" s="236"/>
    </row>
    <row r="463" spans="1:13" x14ac:dyDescent="0.2">
      <c r="A463" s="237"/>
      <c r="B463" s="237"/>
      <c r="C463" s="237"/>
      <c r="D463" s="237"/>
      <c r="E463" s="237"/>
      <c r="F463" s="237"/>
      <c r="G463" s="237"/>
      <c r="H463" s="237"/>
      <c r="I463" s="237"/>
      <c r="J463" s="237"/>
      <c r="K463" s="237"/>
      <c r="L463" s="284"/>
      <c r="M463" s="236"/>
    </row>
    <row r="464" spans="1:13" x14ac:dyDescent="0.2">
      <c r="A464" s="258"/>
      <c r="B464" s="241"/>
      <c r="C464" s="241"/>
      <c r="D464" s="241"/>
      <c r="E464" s="241"/>
      <c r="F464" s="241"/>
      <c r="G464" s="241"/>
      <c r="H464" s="241"/>
      <c r="I464" s="241"/>
      <c r="J464" s="241"/>
      <c r="K464" s="241"/>
      <c r="L464" s="236"/>
      <c r="M464" s="236"/>
    </row>
    <row r="465" spans="1:13" x14ac:dyDescent="0.2">
      <c r="A465" s="241"/>
      <c r="B465" s="375"/>
      <c r="C465" s="375"/>
      <c r="D465" s="375"/>
      <c r="E465" s="253"/>
      <c r="F465" s="375"/>
      <c r="G465" s="375"/>
      <c r="H465" s="375"/>
      <c r="I465" s="253"/>
      <c r="J465" s="375"/>
      <c r="K465" s="375"/>
      <c r="L465" s="375"/>
      <c r="M465" s="236"/>
    </row>
    <row r="466" spans="1:13" x14ac:dyDescent="0.2">
      <c r="A466" s="258"/>
      <c r="B466" s="259"/>
      <c r="C466" s="259"/>
      <c r="D466" s="259"/>
      <c r="E466" s="259"/>
      <c r="F466" s="259"/>
      <c r="G466" s="259"/>
      <c r="H466" s="259"/>
      <c r="I466" s="259"/>
      <c r="J466" s="259"/>
      <c r="K466" s="259"/>
      <c r="L466" s="259"/>
      <c r="M466" s="236"/>
    </row>
    <row r="467" spans="1:13" x14ac:dyDescent="0.2">
      <c r="A467" s="258"/>
      <c r="B467" s="259"/>
      <c r="C467" s="259"/>
      <c r="D467" s="259"/>
      <c r="E467" s="259"/>
      <c r="F467" s="259"/>
      <c r="G467" s="259"/>
      <c r="H467" s="259"/>
      <c r="I467" s="259"/>
      <c r="J467" s="259"/>
      <c r="K467" s="259"/>
      <c r="L467" s="259"/>
      <c r="M467" s="236"/>
    </row>
    <row r="468" spans="1:13" x14ac:dyDescent="0.2">
      <c r="A468" s="237"/>
      <c r="B468" s="302"/>
      <c r="C468" s="302"/>
      <c r="D468" s="302"/>
      <c r="E468" s="303"/>
      <c r="F468" s="302"/>
      <c r="G468" s="302"/>
      <c r="H468" s="302"/>
      <c r="I468" s="303"/>
      <c r="J468" s="302"/>
      <c r="K468" s="302"/>
      <c r="L468" s="302"/>
      <c r="M468" s="236"/>
    </row>
    <row r="469" spans="1:13" x14ac:dyDescent="0.2">
      <c r="A469" s="237"/>
      <c r="B469" s="302"/>
      <c r="C469" s="302"/>
      <c r="D469" s="302"/>
      <c r="E469" s="303"/>
      <c r="F469" s="302"/>
      <c r="G469" s="302"/>
      <c r="H469" s="302"/>
      <c r="I469" s="303"/>
      <c r="J469" s="302"/>
      <c r="K469" s="302"/>
      <c r="L469" s="302"/>
      <c r="M469" s="236"/>
    </row>
    <row r="470" spans="1:13" x14ac:dyDescent="0.2">
      <c r="A470" s="237"/>
      <c r="B470" s="302"/>
      <c r="C470" s="302"/>
      <c r="D470" s="302"/>
      <c r="E470" s="303"/>
      <c r="F470" s="302"/>
      <c r="G470" s="302"/>
      <c r="H470" s="302"/>
      <c r="I470" s="303"/>
      <c r="J470" s="302"/>
      <c r="K470" s="302"/>
      <c r="L470" s="302"/>
      <c r="M470" s="236"/>
    </row>
    <row r="471" spans="1:13" x14ac:dyDescent="0.2">
      <c r="A471" s="237"/>
      <c r="B471" s="302"/>
      <c r="C471" s="302"/>
      <c r="D471" s="302"/>
      <c r="E471" s="303"/>
      <c r="F471" s="302"/>
      <c r="G471" s="302"/>
      <c r="H471" s="302"/>
      <c r="I471" s="303"/>
      <c r="J471" s="302"/>
      <c r="K471" s="302"/>
      <c r="L471" s="302"/>
      <c r="M471" s="236"/>
    </row>
    <row r="472" spans="1:13" x14ac:dyDescent="0.2">
      <c r="A472" s="237"/>
      <c r="B472" s="302"/>
      <c r="C472" s="302"/>
      <c r="D472" s="302"/>
      <c r="E472" s="303"/>
      <c r="F472" s="302"/>
      <c r="G472" s="302"/>
      <c r="H472" s="302"/>
      <c r="I472" s="303"/>
      <c r="J472" s="302"/>
      <c r="K472" s="302"/>
      <c r="L472" s="302"/>
      <c r="M472" s="236"/>
    </row>
    <row r="473" spans="1:13" x14ac:dyDescent="0.2">
      <c r="A473" s="237"/>
      <c r="B473" s="302"/>
      <c r="C473" s="302"/>
      <c r="D473" s="302"/>
      <c r="E473" s="303"/>
      <c r="F473" s="302"/>
      <c r="G473" s="302"/>
      <c r="H473" s="302"/>
      <c r="I473" s="303"/>
      <c r="J473" s="302"/>
      <c r="K473" s="302"/>
      <c r="L473" s="302"/>
      <c r="M473" s="236"/>
    </row>
    <row r="474" spans="1:13" x14ac:dyDescent="0.2">
      <c r="A474" s="237"/>
      <c r="B474" s="302"/>
      <c r="C474" s="302"/>
      <c r="D474" s="302"/>
      <c r="E474" s="303"/>
      <c r="F474" s="302"/>
      <c r="G474" s="302"/>
      <c r="H474" s="302"/>
      <c r="I474" s="303"/>
      <c r="J474" s="302"/>
      <c r="K474" s="302"/>
      <c r="L474" s="302"/>
      <c r="M474" s="236"/>
    </row>
    <row r="475" spans="1:13" x14ac:dyDescent="0.2">
      <c r="A475" s="237"/>
      <c r="B475" s="302"/>
      <c r="C475" s="302"/>
      <c r="D475" s="302"/>
      <c r="E475" s="303"/>
      <c r="F475" s="302"/>
      <c r="G475" s="302"/>
      <c r="H475" s="302"/>
      <c r="I475" s="303"/>
      <c r="J475" s="302"/>
      <c r="K475" s="302"/>
      <c r="L475" s="302"/>
      <c r="M475" s="236"/>
    </row>
    <row r="476" spans="1:13" x14ac:dyDescent="0.2">
      <c r="A476" s="237"/>
      <c r="B476" s="302"/>
      <c r="C476" s="302"/>
      <c r="D476" s="302"/>
      <c r="E476" s="303"/>
      <c r="F476" s="302"/>
      <c r="G476" s="302"/>
      <c r="H476" s="302"/>
      <c r="I476" s="303"/>
      <c r="J476" s="302"/>
      <c r="K476" s="302"/>
      <c r="L476" s="302"/>
      <c r="M476" s="236"/>
    </row>
    <row r="477" spans="1:13" x14ac:dyDescent="0.2">
      <c r="A477" s="237"/>
      <c r="B477" s="302"/>
      <c r="C477" s="302"/>
      <c r="D477" s="302"/>
      <c r="E477" s="303"/>
      <c r="F477" s="302"/>
      <c r="G477" s="302"/>
      <c r="H477" s="302"/>
      <c r="I477" s="303"/>
      <c r="J477" s="302"/>
      <c r="K477" s="302"/>
      <c r="L477" s="302"/>
      <c r="M477" s="236"/>
    </row>
    <row r="478" spans="1:13" x14ac:dyDescent="0.2">
      <c r="A478" s="237"/>
      <c r="B478" s="303"/>
      <c r="C478" s="303"/>
      <c r="D478" s="303"/>
      <c r="E478" s="303"/>
      <c r="F478" s="303"/>
      <c r="G478" s="303"/>
      <c r="H478" s="303"/>
      <c r="I478" s="303"/>
      <c r="J478" s="303"/>
      <c r="K478" s="303"/>
      <c r="L478" s="303"/>
      <c r="M478" s="236"/>
    </row>
    <row r="479" spans="1:13" x14ac:dyDescent="0.2">
      <c r="A479" s="237"/>
      <c r="B479" s="237"/>
      <c r="C479" s="237"/>
      <c r="D479" s="237"/>
      <c r="E479" s="237"/>
      <c r="F479" s="237"/>
      <c r="G479" s="237"/>
      <c r="H479" s="237"/>
      <c r="I479" s="237"/>
      <c r="J479" s="237"/>
      <c r="K479" s="237"/>
      <c r="L479" s="240"/>
      <c r="M479" s="236"/>
    </row>
    <row r="480" spans="1:13" x14ac:dyDescent="0.2">
      <c r="A480" s="237"/>
      <c r="B480" s="237"/>
      <c r="C480" s="237"/>
      <c r="D480" s="237"/>
      <c r="E480" s="237"/>
      <c r="F480" s="237"/>
      <c r="G480" s="237"/>
      <c r="H480" s="237"/>
      <c r="I480" s="237"/>
      <c r="J480" s="237"/>
      <c r="K480" s="237"/>
      <c r="L480" s="284"/>
      <c r="M480" s="236"/>
    </row>
    <row r="481" spans="1:13" x14ac:dyDescent="0.2">
      <c r="A481" s="258"/>
      <c r="B481" s="241"/>
      <c r="C481" s="241"/>
      <c r="D481" s="241"/>
      <c r="E481" s="241"/>
      <c r="F481" s="241"/>
      <c r="G481" s="241"/>
      <c r="H481" s="241"/>
      <c r="I481" s="241"/>
      <c r="J481" s="241"/>
      <c r="K481" s="241"/>
      <c r="L481" s="236"/>
      <c r="M481" s="236"/>
    </row>
    <row r="482" spans="1:13" x14ac:dyDescent="0.2">
      <c r="A482" s="241"/>
      <c r="B482" s="375"/>
      <c r="C482" s="375"/>
      <c r="D482" s="375"/>
      <c r="E482" s="253"/>
      <c r="F482" s="375"/>
      <c r="G482" s="375"/>
      <c r="H482" s="375"/>
      <c r="I482" s="253"/>
      <c r="J482" s="375"/>
      <c r="K482" s="375"/>
      <c r="L482" s="375"/>
      <c r="M482" s="236"/>
    </row>
    <row r="483" spans="1:13" x14ac:dyDescent="0.2">
      <c r="A483" s="258"/>
      <c r="B483" s="259"/>
      <c r="C483" s="259"/>
      <c r="D483" s="259"/>
      <c r="E483" s="259"/>
      <c r="F483" s="259"/>
      <c r="G483" s="259"/>
      <c r="H483" s="259"/>
      <c r="I483" s="259"/>
      <c r="J483" s="259"/>
      <c r="K483" s="259"/>
      <c r="L483" s="259"/>
      <c r="M483" s="236"/>
    </row>
    <row r="484" spans="1:13" x14ac:dyDescent="0.2">
      <c r="A484" s="258"/>
      <c r="B484" s="259"/>
      <c r="C484" s="259"/>
      <c r="D484" s="259"/>
      <c r="E484" s="259"/>
      <c r="F484" s="259"/>
      <c r="G484" s="259"/>
      <c r="H484" s="259"/>
      <c r="I484" s="259"/>
      <c r="J484" s="259"/>
      <c r="K484" s="259"/>
      <c r="L484" s="259"/>
      <c r="M484" s="236"/>
    </row>
    <row r="485" spans="1:13" x14ac:dyDescent="0.2">
      <c r="A485" s="237"/>
      <c r="B485" s="302"/>
      <c r="C485" s="302"/>
      <c r="D485" s="302"/>
      <c r="E485" s="303"/>
      <c r="F485" s="302"/>
      <c r="G485" s="302"/>
      <c r="H485" s="302"/>
      <c r="I485" s="303"/>
      <c r="J485" s="302"/>
      <c r="K485" s="302"/>
      <c r="L485" s="302"/>
      <c r="M485" s="236"/>
    </row>
    <row r="486" spans="1:13" x14ac:dyDescent="0.2">
      <c r="A486" s="237"/>
      <c r="B486" s="302"/>
      <c r="C486" s="302"/>
      <c r="D486" s="302"/>
      <c r="E486" s="303"/>
      <c r="F486" s="302"/>
      <c r="G486" s="302"/>
      <c r="H486" s="302"/>
      <c r="I486" s="303"/>
      <c r="J486" s="302"/>
      <c r="K486" s="302"/>
      <c r="L486" s="302"/>
      <c r="M486" s="236"/>
    </row>
    <row r="487" spans="1:13" x14ac:dyDescent="0.2">
      <c r="A487" s="237"/>
      <c r="B487" s="302"/>
      <c r="C487" s="302"/>
      <c r="D487" s="302"/>
      <c r="E487" s="303"/>
      <c r="F487" s="302"/>
      <c r="G487" s="302"/>
      <c r="H487" s="302"/>
      <c r="I487" s="303"/>
      <c r="J487" s="302"/>
      <c r="K487" s="302"/>
      <c r="L487" s="302"/>
      <c r="M487" s="236"/>
    </row>
    <row r="488" spans="1:13" x14ac:dyDescent="0.2">
      <c r="A488" s="237"/>
      <c r="B488" s="302"/>
      <c r="C488" s="302"/>
      <c r="D488" s="302"/>
      <c r="E488" s="303"/>
      <c r="F488" s="302"/>
      <c r="G488" s="302"/>
      <c r="H488" s="302"/>
      <c r="I488" s="303"/>
      <c r="J488" s="302"/>
      <c r="K488" s="302"/>
      <c r="L488" s="302"/>
      <c r="M488" s="236"/>
    </row>
    <row r="489" spans="1:13" x14ac:dyDescent="0.2">
      <c r="A489" s="237"/>
      <c r="B489" s="302"/>
      <c r="C489" s="302"/>
      <c r="D489" s="302"/>
      <c r="E489" s="303"/>
      <c r="F489" s="302"/>
      <c r="G489" s="302"/>
      <c r="H489" s="302"/>
      <c r="I489" s="303"/>
      <c r="J489" s="302"/>
      <c r="K489" s="302"/>
      <c r="L489" s="302"/>
      <c r="M489" s="236"/>
    </row>
    <row r="490" spans="1:13" x14ac:dyDescent="0.2">
      <c r="A490" s="237"/>
      <c r="B490" s="302"/>
      <c r="C490" s="302"/>
      <c r="D490" s="302"/>
      <c r="E490" s="303"/>
      <c r="F490" s="302"/>
      <c r="G490" s="302"/>
      <c r="H490" s="302"/>
      <c r="I490" s="303"/>
      <c r="J490" s="302"/>
      <c r="K490" s="302"/>
      <c r="L490" s="302"/>
      <c r="M490" s="236"/>
    </row>
    <row r="491" spans="1:13" x14ac:dyDescent="0.2">
      <c r="A491" s="237"/>
      <c r="B491" s="302"/>
      <c r="C491" s="302"/>
      <c r="D491" s="302"/>
      <c r="E491" s="303"/>
      <c r="F491" s="302"/>
      <c r="G491" s="302"/>
      <c r="H491" s="302"/>
      <c r="I491" s="303"/>
      <c r="J491" s="302"/>
      <c r="K491" s="302"/>
      <c r="L491" s="302"/>
      <c r="M491" s="236"/>
    </row>
    <row r="492" spans="1:13" x14ac:dyDescent="0.2">
      <c r="A492" s="237"/>
      <c r="B492" s="302"/>
      <c r="C492" s="302"/>
      <c r="D492" s="302"/>
      <c r="E492" s="303"/>
      <c r="F492" s="302"/>
      <c r="G492" s="302"/>
      <c r="H492" s="302"/>
      <c r="I492" s="303"/>
      <c r="J492" s="302"/>
      <c r="K492" s="302"/>
      <c r="L492" s="302"/>
      <c r="M492" s="236"/>
    </row>
    <row r="493" spans="1:13" x14ac:dyDescent="0.2">
      <c r="A493" s="237"/>
      <c r="B493" s="302"/>
      <c r="C493" s="302"/>
      <c r="D493" s="302"/>
      <c r="E493" s="303"/>
      <c r="F493" s="302"/>
      <c r="G493" s="302"/>
      <c r="H493" s="302"/>
      <c r="I493" s="303"/>
      <c r="J493" s="302"/>
      <c r="K493" s="302"/>
      <c r="L493" s="302"/>
      <c r="M493" s="236"/>
    </row>
    <row r="494" spans="1:13" x14ac:dyDescent="0.2">
      <c r="A494" s="237"/>
      <c r="B494" s="302"/>
      <c r="C494" s="302"/>
      <c r="D494" s="302"/>
      <c r="E494" s="303"/>
      <c r="F494" s="302"/>
      <c r="G494" s="302"/>
      <c r="H494" s="302"/>
      <c r="I494" s="303"/>
      <c r="J494" s="302"/>
      <c r="K494" s="302"/>
      <c r="L494" s="302"/>
      <c r="M494" s="236"/>
    </row>
    <row r="495" spans="1:13" x14ac:dyDescent="0.2">
      <c r="A495" s="237"/>
      <c r="B495" s="303"/>
      <c r="C495" s="303"/>
      <c r="D495" s="303"/>
      <c r="E495" s="303"/>
      <c r="F495" s="303"/>
      <c r="G495" s="303"/>
      <c r="H495" s="303"/>
      <c r="I495" s="303"/>
      <c r="J495" s="303"/>
      <c r="K495" s="303"/>
      <c r="L495" s="303"/>
      <c r="M495" s="236"/>
    </row>
    <row r="496" spans="1:13" x14ac:dyDescent="0.2">
      <c r="A496" s="237"/>
      <c r="B496" s="237"/>
      <c r="C496" s="237"/>
      <c r="D496" s="237"/>
      <c r="E496" s="237"/>
      <c r="F496" s="237"/>
      <c r="G496" s="237"/>
      <c r="H496" s="237"/>
      <c r="I496" s="237"/>
      <c r="J496" s="237"/>
      <c r="K496" s="237"/>
      <c r="L496" s="240"/>
      <c r="M496" s="236"/>
    </row>
    <row r="497" spans="1:13" x14ac:dyDescent="0.2">
      <c r="A497" s="237"/>
      <c r="B497" s="237"/>
      <c r="C497" s="237"/>
      <c r="D497" s="237"/>
      <c r="E497" s="237"/>
      <c r="F497" s="237"/>
      <c r="G497" s="237"/>
      <c r="H497" s="237"/>
      <c r="I497" s="237"/>
      <c r="J497" s="237"/>
      <c r="K497" s="237"/>
      <c r="L497" s="284"/>
      <c r="M497" s="236"/>
    </row>
    <row r="498" spans="1:13" x14ac:dyDescent="0.2">
      <c r="A498" s="258"/>
      <c r="B498" s="241"/>
      <c r="C498" s="241"/>
      <c r="D498" s="241"/>
      <c r="E498" s="241"/>
      <c r="F498" s="241"/>
      <c r="G498" s="241"/>
      <c r="H498" s="241"/>
      <c r="I498" s="241"/>
      <c r="J498" s="241"/>
      <c r="K498" s="241"/>
      <c r="L498" s="236"/>
      <c r="M498" s="236"/>
    </row>
    <row r="499" spans="1:13" x14ac:dyDescent="0.2">
      <c r="A499" s="241"/>
      <c r="B499" s="375"/>
      <c r="C499" s="375"/>
      <c r="D499" s="375"/>
      <c r="E499" s="253"/>
      <c r="F499" s="375"/>
      <c r="G499" s="375"/>
      <c r="H499" s="375"/>
      <c r="I499" s="253"/>
      <c r="J499" s="375"/>
      <c r="K499" s="375"/>
      <c r="L499" s="375"/>
      <c r="M499" s="236"/>
    </row>
    <row r="500" spans="1:13" x14ac:dyDescent="0.2">
      <c r="A500" s="258"/>
      <c r="B500" s="259"/>
      <c r="C500" s="259"/>
      <c r="D500" s="259"/>
      <c r="E500" s="259"/>
      <c r="F500" s="259"/>
      <c r="G500" s="259"/>
      <c r="H500" s="259"/>
      <c r="I500" s="259"/>
      <c r="J500" s="259"/>
      <c r="K500" s="259"/>
      <c r="L500" s="259"/>
      <c r="M500" s="236"/>
    </row>
    <row r="501" spans="1:13" x14ac:dyDescent="0.2">
      <c r="A501" s="258"/>
      <c r="B501" s="259"/>
      <c r="C501" s="259"/>
      <c r="D501" s="259"/>
      <c r="E501" s="259"/>
      <c r="F501" s="259"/>
      <c r="G501" s="259"/>
      <c r="H501" s="259"/>
      <c r="I501" s="259"/>
      <c r="J501" s="259"/>
      <c r="K501" s="259"/>
      <c r="L501" s="259"/>
      <c r="M501" s="236"/>
    </row>
    <row r="502" spans="1:13" x14ac:dyDescent="0.2">
      <c r="A502" s="237"/>
      <c r="B502" s="302"/>
      <c r="C502" s="302"/>
      <c r="D502" s="302"/>
      <c r="E502" s="303"/>
      <c r="F502" s="302"/>
      <c r="G502" s="302"/>
      <c r="H502" s="302"/>
      <c r="I502" s="303"/>
      <c r="J502" s="302"/>
      <c r="K502" s="302"/>
      <c r="L502" s="302"/>
      <c r="M502" s="236"/>
    </row>
    <row r="503" spans="1:13" x14ac:dyDescent="0.2">
      <c r="A503" s="237"/>
      <c r="B503" s="302"/>
      <c r="C503" s="302"/>
      <c r="D503" s="302"/>
      <c r="E503" s="303"/>
      <c r="F503" s="302"/>
      <c r="G503" s="302"/>
      <c r="H503" s="302"/>
      <c r="I503" s="303"/>
      <c r="J503" s="302"/>
      <c r="K503" s="302"/>
      <c r="L503" s="302"/>
      <c r="M503" s="236"/>
    </row>
    <row r="504" spans="1:13" x14ac:dyDescent="0.2">
      <c r="A504" s="237"/>
      <c r="B504" s="302"/>
      <c r="C504" s="302"/>
      <c r="D504" s="302"/>
      <c r="E504" s="303"/>
      <c r="F504" s="302"/>
      <c r="G504" s="302"/>
      <c r="H504" s="302"/>
      <c r="I504" s="303"/>
      <c r="J504" s="302"/>
      <c r="K504" s="302"/>
      <c r="L504" s="302"/>
      <c r="M504" s="236"/>
    </row>
    <row r="505" spans="1:13" x14ac:dyDescent="0.2">
      <c r="A505" s="237"/>
      <c r="B505" s="302"/>
      <c r="C505" s="302"/>
      <c r="D505" s="302"/>
      <c r="E505" s="303"/>
      <c r="F505" s="302"/>
      <c r="G505" s="302"/>
      <c r="H505" s="302"/>
      <c r="I505" s="303"/>
      <c r="J505" s="302"/>
      <c r="K505" s="302"/>
      <c r="L505" s="302"/>
      <c r="M505" s="236"/>
    </row>
    <row r="506" spans="1:13" x14ac:dyDescent="0.2">
      <c r="A506" s="237"/>
      <c r="B506" s="302"/>
      <c r="C506" s="302"/>
      <c r="D506" s="302"/>
      <c r="E506" s="303"/>
      <c r="F506" s="302"/>
      <c r="G506" s="302"/>
      <c r="H506" s="302"/>
      <c r="I506" s="303"/>
      <c r="J506" s="302"/>
      <c r="K506" s="302"/>
      <c r="L506" s="302"/>
      <c r="M506" s="236"/>
    </row>
    <row r="507" spans="1:13" x14ac:dyDescent="0.2">
      <c r="A507" s="237"/>
      <c r="B507" s="302"/>
      <c r="C507" s="302"/>
      <c r="D507" s="302"/>
      <c r="E507" s="303"/>
      <c r="F507" s="302"/>
      <c r="G507" s="302"/>
      <c r="H507" s="302"/>
      <c r="I507" s="303"/>
      <c r="J507" s="302"/>
      <c r="K507" s="302"/>
      <c r="L507" s="302"/>
      <c r="M507" s="236"/>
    </row>
    <row r="508" spans="1:13" x14ac:dyDescent="0.2">
      <c r="A508" s="237"/>
      <c r="B508" s="302"/>
      <c r="C508" s="302"/>
      <c r="D508" s="302"/>
      <c r="E508" s="303"/>
      <c r="F508" s="302"/>
      <c r="G508" s="302"/>
      <c r="H508" s="302"/>
      <c r="I508" s="303"/>
      <c r="J508" s="302"/>
      <c r="K508" s="302"/>
      <c r="L508" s="302"/>
      <c r="M508" s="236"/>
    </row>
    <row r="509" spans="1:13" x14ac:dyDescent="0.2">
      <c r="A509" s="237"/>
      <c r="B509" s="302"/>
      <c r="C509" s="302"/>
      <c r="D509" s="302"/>
      <c r="E509" s="303"/>
      <c r="F509" s="302"/>
      <c r="G509" s="302"/>
      <c r="H509" s="302"/>
      <c r="I509" s="303"/>
      <c r="J509" s="302"/>
      <c r="K509" s="302"/>
      <c r="L509" s="302"/>
      <c r="M509" s="236"/>
    </row>
    <row r="510" spans="1:13" x14ac:dyDescent="0.2">
      <c r="A510" s="237"/>
      <c r="B510" s="302"/>
      <c r="C510" s="302"/>
      <c r="D510" s="302"/>
      <c r="E510" s="303"/>
      <c r="F510" s="302"/>
      <c r="G510" s="302"/>
      <c r="H510" s="302"/>
      <c r="I510" s="303"/>
      <c r="J510" s="302"/>
      <c r="K510" s="302"/>
      <c r="L510" s="302"/>
      <c r="M510" s="236"/>
    </row>
    <row r="511" spans="1:13" x14ac:dyDescent="0.2">
      <c r="A511" s="237"/>
      <c r="B511" s="302"/>
      <c r="C511" s="302"/>
      <c r="D511" s="302"/>
      <c r="E511" s="303"/>
      <c r="F511" s="302"/>
      <c r="G511" s="302"/>
      <c r="H511" s="302"/>
      <c r="I511" s="303"/>
      <c r="J511" s="302"/>
      <c r="K511" s="302"/>
      <c r="L511" s="302"/>
      <c r="M511" s="236"/>
    </row>
    <row r="512" spans="1:13" x14ac:dyDescent="0.2">
      <c r="A512" s="237"/>
      <c r="B512" s="303"/>
      <c r="C512" s="303"/>
      <c r="D512" s="303"/>
      <c r="E512" s="303"/>
      <c r="F512" s="303"/>
      <c r="G512" s="303"/>
      <c r="H512" s="303"/>
      <c r="I512" s="303"/>
      <c r="J512" s="303"/>
      <c r="K512" s="303"/>
      <c r="L512" s="303"/>
      <c r="M512" s="236"/>
    </row>
    <row r="513" spans="1:13" x14ac:dyDescent="0.2">
      <c r="A513" s="237"/>
      <c r="B513" s="237"/>
      <c r="C513" s="237"/>
      <c r="D513" s="237"/>
      <c r="E513" s="237"/>
      <c r="F513" s="237"/>
      <c r="G513" s="237"/>
      <c r="H513" s="237"/>
      <c r="I513" s="237"/>
      <c r="J513" s="237"/>
      <c r="K513" s="237"/>
      <c r="L513" s="240"/>
      <c r="M513" s="236"/>
    </row>
    <row r="514" spans="1:13" x14ac:dyDescent="0.2">
      <c r="A514" s="237"/>
      <c r="B514" s="237"/>
      <c r="C514" s="237"/>
      <c r="D514" s="237"/>
      <c r="E514" s="237"/>
      <c r="F514" s="237"/>
      <c r="G514" s="237"/>
      <c r="H514" s="237"/>
      <c r="I514" s="237"/>
      <c r="J514" s="237"/>
      <c r="K514" s="237"/>
      <c r="L514" s="284"/>
      <c r="M514" s="236"/>
    </row>
    <row r="515" spans="1:13" x14ac:dyDescent="0.2">
      <c r="A515" s="258"/>
      <c r="B515" s="241"/>
      <c r="C515" s="241"/>
      <c r="D515" s="241"/>
      <c r="E515" s="241"/>
      <c r="F515" s="241"/>
      <c r="G515" s="241"/>
      <c r="H515" s="241"/>
      <c r="I515" s="241"/>
      <c r="J515" s="241"/>
      <c r="K515" s="241"/>
      <c r="L515" s="236"/>
      <c r="M515" s="236"/>
    </row>
    <row r="516" spans="1:13" x14ac:dyDescent="0.2">
      <c r="A516" s="241"/>
      <c r="B516" s="375"/>
      <c r="C516" s="375"/>
      <c r="D516" s="375"/>
      <c r="E516" s="253"/>
      <c r="F516" s="375"/>
      <c r="G516" s="375"/>
      <c r="H516" s="375"/>
      <c r="I516" s="253"/>
      <c r="J516" s="375"/>
      <c r="K516" s="375"/>
      <c r="L516" s="375"/>
      <c r="M516" s="236"/>
    </row>
    <row r="517" spans="1:13" x14ac:dyDescent="0.2">
      <c r="A517" s="258"/>
      <c r="B517" s="259"/>
      <c r="C517" s="259"/>
      <c r="D517" s="259"/>
      <c r="E517" s="259"/>
      <c r="F517" s="259"/>
      <c r="G517" s="259"/>
      <c r="H517" s="259"/>
      <c r="I517" s="259"/>
      <c r="J517" s="259"/>
      <c r="K517" s="259"/>
      <c r="L517" s="259"/>
      <c r="M517" s="236"/>
    </row>
    <row r="518" spans="1:13" x14ac:dyDescent="0.2">
      <c r="A518" s="258"/>
      <c r="B518" s="259"/>
      <c r="C518" s="259"/>
      <c r="D518" s="259"/>
      <c r="E518" s="259"/>
      <c r="F518" s="259"/>
      <c r="G518" s="259"/>
      <c r="H518" s="259"/>
      <c r="I518" s="259"/>
      <c r="J518" s="259"/>
      <c r="K518" s="259"/>
      <c r="L518" s="259"/>
      <c r="M518" s="236"/>
    </row>
    <row r="519" spans="1:13" x14ac:dyDescent="0.2">
      <c r="A519" s="237"/>
      <c r="B519" s="302"/>
      <c r="C519" s="302"/>
      <c r="D519" s="302"/>
      <c r="E519" s="303"/>
      <c r="F519" s="302"/>
      <c r="G519" s="302"/>
      <c r="H519" s="302"/>
      <c r="I519" s="303"/>
      <c r="J519" s="302"/>
      <c r="K519" s="302"/>
      <c r="L519" s="302"/>
      <c r="M519" s="236"/>
    </row>
    <row r="520" spans="1:13" x14ac:dyDescent="0.2">
      <c r="A520" s="237"/>
      <c r="B520" s="302"/>
      <c r="C520" s="302"/>
      <c r="D520" s="302"/>
      <c r="E520" s="303"/>
      <c r="F520" s="302"/>
      <c r="G520" s="302"/>
      <c r="H520" s="302"/>
      <c r="I520" s="303"/>
      <c r="J520" s="302"/>
      <c r="K520" s="302"/>
      <c r="L520" s="302"/>
      <c r="M520" s="236"/>
    </row>
    <row r="521" spans="1:13" x14ac:dyDescent="0.2">
      <c r="A521" s="237"/>
      <c r="B521" s="302"/>
      <c r="C521" s="302"/>
      <c r="D521" s="302"/>
      <c r="E521" s="303"/>
      <c r="F521" s="302"/>
      <c r="G521" s="302"/>
      <c r="H521" s="302"/>
      <c r="I521" s="303"/>
      <c r="J521" s="302"/>
      <c r="K521" s="302"/>
      <c r="L521" s="302"/>
      <c r="M521" s="236"/>
    </row>
    <row r="522" spans="1:13" x14ac:dyDescent="0.2">
      <c r="A522" s="237"/>
      <c r="B522" s="302"/>
      <c r="C522" s="302"/>
      <c r="D522" s="302"/>
      <c r="E522" s="303"/>
      <c r="F522" s="302"/>
      <c r="G522" s="302"/>
      <c r="H522" s="302"/>
      <c r="I522" s="303"/>
      <c r="J522" s="302"/>
      <c r="K522" s="302"/>
      <c r="L522" s="302"/>
      <c r="M522" s="236"/>
    </row>
    <row r="523" spans="1:13" x14ac:dyDescent="0.2">
      <c r="A523" s="237"/>
      <c r="B523" s="302"/>
      <c r="C523" s="302"/>
      <c r="D523" s="302"/>
      <c r="E523" s="303"/>
      <c r="F523" s="302"/>
      <c r="G523" s="302"/>
      <c r="H523" s="302"/>
      <c r="I523" s="303"/>
      <c r="J523" s="302"/>
      <c r="K523" s="302"/>
      <c r="L523" s="302"/>
      <c r="M523" s="236"/>
    </row>
    <row r="524" spans="1:13" x14ac:dyDescent="0.2">
      <c r="A524" s="237"/>
      <c r="B524" s="302"/>
      <c r="C524" s="302"/>
      <c r="D524" s="302"/>
      <c r="E524" s="303"/>
      <c r="F524" s="302"/>
      <c r="G524" s="302"/>
      <c r="H524" s="302"/>
      <c r="I524" s="303"/>
      <c r="J524" s="302"/>
      <c r="K524" s="302"/>
      <c r="L524" s="302"/>
      <c r="M524" s="236"/>
    </row>
    <row r="525" spans="1:13" x14ac:dyDescent="0.2">
      <c r="A525" s="237"/>
      <c r="B525" s="302"/>
      <c r="C525" s="302"/>
      <c r="D525" s="302"/>
      <c r="E525" s="303"/>
      <c r="F525" s="302"/>
      <c r="G525" s="302"/>
      <c r="H525" s="302"/>
      <c r="I525" s="303"/>
      <c r="J525" s="302"/>
      <c r="K525" s="302"/>
      <c r="L525" s="302"/>
      <c r="M525" s="236"/>
    </row>
    <row r="526" spans="1:13" x14ac:dyDescent="0.2">
      <c r="A526" s="237"/>
      <c r="B526" s="302"/>
      <c r="C526" s="302"/>
      <c r="D526" s="302"/>
      <c r="E526" s="303"/>
      <c r="F526" s="302"/>
      <c r="G526" s="302"/>
      <c r="H526" s="302"/>
      <c r="I526" s="303"/>
      <c r="J526" s="302"/>
      <c r="K526" s="302"/>
      <c r="L526" s="302"/>
      <c r="M526" s="236"/>
    </row>
    <row r="527" spans="1:13" x14ac:dyDescent="0.2">
      <c r="A527" s="237"/>
      <c r="B527" s="302"/>
      <c r="C527" s="302"/>
      <c r="D527" s="302"/>
      <c r="E527" s="303"/>
      <c r="F527" s="302"/>
      <c r="G527" s="302"/>
      <c r="H527" s="302"/>
      <c r="I527" s="303"/>
      <c r="J527" s="302"/>
      <c r="K527" s="302"/>
      <c r="L527" s="302"/>
      <c r="M527" s="236"/>
    </row>
    <row r="528" spans="1:13" x14ac:dyDescent="0.2">
      <c r="A528" s="237"/>
      <c r="B528" s="302"/>
      <c r="C528" s="302"/>
      <c r="D528" s="302"/>
      <c r="E528" s="303"/>
      <c r="F528" s="302"/>
      <c r="G528" s="302"/>
      <c r="H528" s="302"/>
      <c r="I528" s="303"/>
      <c r="J528" s="302"/>
      <c r="K528" s="302"/>
      <c r="L528" s="302"/>
      <c r="M528" s="236"/>
    </row>
    <row r="529" spans="1:13" x14ac:dyDescent="0.2">
      <c r="A529" s="237"/>
      <c r="B529" s="303"/>
      <c r="C529" s="303"/>
      <c r="D529" s="303"/>
      <c r="E529" s="303"/>
      <c r="F529" s="303"/>
      <c r="G529" s="303"/>
      <c r="H529" s="303"/>
      <c r="I529" s="303"/>
      <c r="J529" s="303"/>
      <c r="K529" s="303"/>
      <c r="L529" s="303"/>
      <c r="M529" s="236"/>
    </row>
    <row r="530" spans="1:13" x14ac:dyDescent="0.2">
      <c r="A530" s="237"/>
      <c r="B530" s="237"/>
      <c r="C530" s="237"/>
      <c r="D530" s="237"/>
      <c r="E530" s="237"/>
      <c r="F530" s="237"/>
      <c r="G530" s="237"/>
      <c r="H530" s="237"/>
      <c r="I530" s="237"/>
      <c r="J530" s="237"/>
      <c r="K530" s="237"/>
      <c r="L530" s="240"/>
      <c r="M530" s="236"/>
    </row>
    <row r="531" spans="1:13" x14ac:dyDescent="0.2">
      <c r="A531" s="237"/>
      <c r="B531" s="237"/>
      <c r="C531" s="237"/>
      <c r="D531" s="237"/>
      <c r="E531" s="237"/>
      <c r="F531" s="237"/>
      <c r="G531" s="237"/>
      <c r="H531" s="237"/>
      <c r="I531" s="237"/>
      <c r="J531" s="237"/>
      <c r="K531" s="237"/>
      <c r="L531" s="284"/>
      <c r="M531" s="236"/>
    </row>
    <row r="532" spans="1:13" x14ac:dyDescent="0.2">
      <c r="A532" s="258"/>
      <c r="B532" s="241"/>
      <c r="C532" s="241"/>
      <c r="D532" s="241"/>
      <c r="E532" s="241"/>
      <c r="F532" s="241"/>
      <c r="G532" s="241"/>
      <c r="H532" s="241"/>
      <c r="I532" s="241"/>
      <c r="J532" s="241"/>
      <c r="K532" s="241"/>
      <c r="L532" s="236"/>
      <c r="M532" s="236"/>
    </row>
    <row r="533" spans="1:13" x14ac:dyDescent="0.2">
      <c r="A533" s="241"/>
      <c r="B533" s="375"/>
      <c r="C533" s="375"/>
      <c r="D533" s="375"/>
      <c r="E533" s="253"/>
      <c r="F533" s="375"/>
      <c r="G533" s="375"/>
      <c r="H533" s="375"/>
      <c r="I533" s="253"/>
      <c r="J533" s="375"/>
      <c r="K533" s="375"/>
      <c r="L533" s="375"/>
      <c r="M533" s="236"/>
    </row>
    <row r="534" spans="1:13" x14ac:dyDescent="0.2">
      <c r="A534" s="258"/>
      <c r="B534" s="259"/>
      <c r="C534" s="259"/>
      <c r="D534" s="259"/>
      <c r="E534" s="259"/>
      <c r="F534" s="259"/>
      <c r="G534" s="259"/>
      <c r="H534" s="259"/>
      <c r="I534" s="259"/>
      <c r="J534" s="259"/>
      <c r="K534" s="259"/>
      <c r="L534" s="259"/>
      <c r="M534" s="236"/>
    </row>
    <row r="535" spans="1:13" x14ac:dyDescent="0.2">
      <c r="A535" s="258"/>
      <c r="B535" s="259"/>
      <c r="C535" s="259"/>
      <c r="D535" s="259"/>
      <c r="E535" s="259"/>
      <c r="F535" s="259"/>
      <c r="G535" s="259"/>
      <c r="H535" s="259"/>
      <c r="I535" s="259"/>
      <c r="J535" s="259"/>
      <c r="K535" s="259"/>
      <c r="L535" s="259"/>
      <c r="M535" s="236"/>
    </row>
    <row r="536" spans="1:13" x14ac:dyDescent="0.2">
      <c r="A536" s="237"/>
      <c r="B536" s="302"/>
      <c r="C536" s="302"/>
      <c r="D536" s="302"/>
      <c r="E536" s="303"/>
      <c r="F536" s="302"/>
      <c r="G536" s="302"/>
      <c r="H536" s="302"/>
      <c r="I536" s="303"/>
      <c r="J536" s="302"/>
      <c r="K536" s="302"/>
      <c r="L536" s="302"/>
      <c r="M536" s="236"/>
    </row>
    <row r="537" spans="1:13" x14ac:dyDescent="0.2">
      <c r="A537" s="237"/>
      <c r="B537" s="302"/>
      <c r="C537" s="302"/>
      <c r="D537" s="302"/>
      <c r="E537" s="303"/>
      <c r="F537" s="302"/>
      <c r="G537" s="302"/>
      <c r="H537" s="302"/>
      <c r="I537" s="303"/>
      <c r="J537" s="302"/>
      <c r="K537" s="302"/>
      <c r="L537" s="302"/>
      <c r="M537" s="236"/>
    </row>
    <row r="538" spans="1:13" x14ac:dyDescent="0.2">
      <c r="A538" s="237"/>
      <c r="B538" s="302"/>
      <c r="C538" s="302"/>
      <c r="D538" s="302"/>
      <c r="E538" s="303"/>
      <c r="F538" s="302"/>
      <c r="G538" s="302"/>
      <c r="H538" s="302"/>
      <c r="I538" s="303"/>
      <c r="J538" s="302"/>
      <c r="K538" s="302"/>
      <c r="L538" s="302"/>
      <c r="M538" s="236"/>
    </row>
    <row r="539" spans="1:13" x14ac:dyDescent="0.2">
      <c r="A539" s="237"/>
      <c r="B539" s="302"/>
      <c r="C539" s="302"/>
      <c r="D539" s="302"/>
      <c r="E539" s="303"/>
      <c r="F539" s="302"/>
      <c r="G539" s="302"/>
      <c r="H539" s="302"/>
      <c r="I539" s="303"/>
      <c r="J539" s="302"/>
      <c r="K539" s="302"/>
      <c r="L539" s="302"/>
      <c r="M539" s="236"/>
    </row>
    <row r="540" spans="1:13" x14ac:dyDescent="0.2">
      <c r="A540" s="237"/>
      <c r="B540" s="302"/>
      <c r="C540" s="302"/>
      <c r="D540" s="302"/>
      <c r="E540" s="303"/>
      <c r="F540" s="302"/>
      <c r="G540" s="302"/>
      <c r="H540" s="302"/>
      <c r="I540" s="303"/>
      <c r="J540" s="302"/>
      <c r="K540" s="302"/>
      <c r="L540" s="302"/>
      <c r="M540" s="236"/>
    </row>
    <row r="541" spans="1:13" x14ac:dyDescent="0.2">
      <c r="A541" s="237"/>
      <c r="B541" s="302"/>
      <c r="C541" s="302"/>
      <c r="D541" s="302"/>
      <c r="E541" s="303"/>
      <c r="F541" s="302"/>
      <c r="G541" s="302"/>
      <c r="H541" s="302"/>
      <c r="I541" s="303"/>
      <c r="J541" s="302"/>
      <c r="K541" s="302"/>
      <c r="L541" s="302"/>
      <c r="M541" s="236"/>
    </row>
    <row r="542" spans="1:13" x14ac:dyDescent="0.2">
      <c r="A542" s="237"/>
      <c r="B542" s="302"/>
      <c r="C542" s="302"/>
      <c r="D542" s="302"/>
      <c r="E542" s="303"/>
      <c r="F542" s="302"/>
      <c r="G542" s="302"/>
      <c r="H542" s="302"/>
      <c r="I542" s="303"/>
      <c r="J542" s="302"/>
      <c r="K542" s="302"/>
      <c r="L542" s="302"/>
      <c r="M542" s="236"/>
    </row>
    <row r="543" spans="1:13" x14ac:dyDescent="0.2">
      <c r="A543" s="237"/>
      <c r="B543" s="302"/>
      <c r="C543" s="302"/>
      <c r="D543" s="302"/>
      <c r="E543" s="303"/>
      <c r="F543" s="302"/>
      <c r="G543" s="302"/>
      <c r="H543" s="302"/>
      <c r="I543" s="303"/>
      <c r="J543" s="302"/>
      <c r="K543" s="302"/>
      <c r="L543" s="302"/>
      <c r="M543" s="236"/>
    </row>
    <row r="544" spans="1:13" x14ac:dyDescent="0.2">
      <c r="A544" s="237"/>
      <c r="B544" s="302"/>
      <c r="C544" s="302"/>
      <c r="D544" s="302"/>
      <c r="E544" s="303"/>
      <c r="F544" s="302"/>
      <c r="G544" s="302"/>
      <c r="H544" s="302"/>
      <c r="I544" s="303"/>
      <c r="J544" s="302"/>
      <c r="K544" s="302"/>
      <c r="L544" s="302"/>
      <c r="M544" s="236"/>
    </row>
    <row r="545" spans="1:13" x14ac:dyDescent="0.2">
      <c r="A545" s="237"/>
      <c r="B545" s="302"/>
      <c r="C545" s="302"/>
      <c r="D545" s="302"/>
      <c r="E545" s="303"/>
      <c r="F545" s="302"/>
      <c r="G545" s="302"/>
      <c r="H545" s="302"/>
      <c r="I545" s="303"/>
      <c r="J545" s="302"/>
      <c r="K545" s="302"/>
      <c r="L545" s="302"/>
      <c r="M545" s="236"/>
    </row>
    <row r="546" spans="1:13" x14ac:dyDescent="0.2">
      <c r="A546" s="237"/>
      <c r="B546" s="303"/>
      <c r="C546" s="303"/>
      <c r="D546" s="303"/>
      <c r="E546" s="303"/>
      <c r="F546" s="303"/>
      <c r="G546" s="303"/>
      <c r="H546" s="303"/>
      <c r="I546" s="303"/>
      <c r="J546" s="303"/>
      <c r="K546" s="303"/>
      <c r="L546" s="303"/>
      <c r="M546" s="236"/>
    </row>
    <row r="547" spans="1:13" x14ac:dyDescent="0.2">
      <c r="A547" s="237"/>
      <c r="B547" s="237"/>
      <c r="C547" s="237"/>
      <c r="D547" s="237"/>
      <c r="E547" s="237"/>
      <c r="F547" s="237"/>
      <c r="G547" s="237"/>
      <c r="H547" s="237"/>
      <c r="I547" s="237"/>
      <c r="J547" s="237"/>
      <c r="K547" s="237"/>
      <c r="L547" s="240"/>
      <c r="M547" s="236"/>
    </row>
    <row r="548" spans="1:13" x14ac:dyDescent="0.2">
      <c r="A548" s="237"/>
      <c r="B548" s="237"/>
      <c r="C548" s="237"/>
      <c r="D548" s="237"/>
      <c r="E548" s="237"/>
      <c r="F548" s="237"/>
      <c r="G548" s="237"/>
      <c r="H548" s="237"/>
      <c r="I548" s="237"/>
      <c r="J548" s="237"/>
      <c r="K548" s="237"/>
      <c r="L548" s="284"/>
      <c r="M548" s="236"/>
    </row>
    <row r="549" spans="1:13" x14ac:dyDescent="0.2">
      <c r="A549" s="258"/>
      <c r="B549" s="241"/>
      <c r="C549" s="241"/>
      <c r="D549" s="241"/>
      <c r="E549" s="241"/>
      <c r="F549" s="241"/>
      <c r="G549" s="241"/>
      <c r="H549" s="241"/>
      <c r="I549" s="241"/>
      <c r="J549" s="241"/>
      <c r="K549" s="241"/>
      <c r="L549" s="236"/>
      <c r="M549" s="236"/>
    </row>
    <row r="550" spans="1:13" x14ac:dyDescent="0.2">
      <c r="A550" s="241"/>
      <c r="B550" s="375"/>
      <c r="C550" s="375"/>
      <c r="D550" s="375"/>
      <c r="E550" s="253"/>
      <c r="F550" s="375"/>
      <c r="G550" s="375"/>
      <c r="H550" s="375"/>
      <c r="I550" s="253"/>
      <c r="J550" s="375"/>
      <c r="K550" s="375"/>
      <c r="L550" s="375"/>
      <c r="M550" s="236"/>
    </row>
    <row r="551" spans="1:13" x14ac:dyDescent="0.2">
      <c r="A551" s="258"/>
      <c r="B551" s="259"/>
      <c r="C551" s="259"/>
      <c r="D551" s="259"/>
      <c r="E551" s="259"/>
      <c r="F551" s="259"/>
      <c r="G551" s="259"/>
      <c r="H551" s="259"/>
      <c r="I551" s="259"/>
      <c r="J551" s="259"/>
      <c r="K551" s="259"/>
      <c r="L551" s="259"/>
      <c r="M551" s="236"/>
    </row>
    <row r="552" spans="1:13" x14ac:dyDescent="0.2">
      <c r="A552" s="258"/>
      <c r="B552" s="259"/>
      <c r="C552" s="259"/>
      <c r="D552" s="259"/>
      <c r="E552" s="259"/>
      <c r="F552" s="259"/>
      <c r="G552" s="259"/>
      <c r="H552" s="259"/>
      <c r="I552" s="259"/>
      <c r="J552" s="259"/>
      <c r="K552" s="259"/>
      <c r="L552" s="259"/>
      <c r="M552" s="236"/>
    </row>
    <row r="553" spans="1:13" x14ac:dyDescent="0.2">
      <c r="A553" s="237"/>
      <c r="B553" s="302"/>
      <c r="C553" s="302"/>
      <c r="D553" s="302"/>
      <c r="E553" s="303"/>
      <c r="F553" s="302"/>
      <c r="G553" s="302"/>
      <c r="H553" s="302"/>
      <c r="I553" s="303"/>
      <c r="J553" s="302"/>
      <c r="K553" s="302"/>
      <c r="L553" s="302"/>
      <c r="M553" s="236"/>
    </row>
    <row r="554" spans="1:13" x14ac:dyDescent="0.2">
      <c r="A554" s="237"/>
      <c r="B554" s="302"/>
      <c r="C554" s="302"/>
      <c r="D554" s="302"/>
      <c r="E554" s="303"/>
      <c r="F554" s="302"/>
      <c r="G554" s="302"/>
      <c r="H554" s="302"/>
      <c r="I554" s="303"/>
      <c r="J554" s="302"/>
      <c r="K554" s="302"/>
      <c r="L554" s="302"/>
      <c r="M554" s="236"/>
    </row>
    <row r="555" spans="1:13" x14ac:dyDescent="0.2">
      <c r="A555" s="237"/>
      <c r="B555" s="302"/>
      <c r="C555" s="302"/>
      <c r="D555" s="302"/>
      <c r="E555" s="303"/>
      <c r="F555" s="302"/>
      <c r="G555" s="302"/>
      <c r="H555" s="302"/>
      <c r="I555" s="303"/>
      <c r="J555" s="302"/>
      <c r="K555" s="302"/>
      <c r="L555" s="302"/>
      <c r="M555" s="236"/>
    </row>
    <row r="556" spans="1:13" x14ac:dyDescent="0.2">
      <c r="A556" s="237"/>
      <c r="B556" s="302"/>
      <c r="C556" s="302"/>
      <c r="D556" s="302"/>
      <c r="E556" s="303"/>
      <c r="F556" s="302"/>
      <c r="G556" s="302"/>
      <c r="H556" s="302"/>
      <c r="I556" s="303"/>
      <c r="J556" s="302"/>
      <c r="K556" s="302"/>
      <c r="L556" s="302"/>
      <c r="M556" s="236"/>
    </row>
    <row r="557" spans="1:13" x14ac:dyDescent="0.2">
      <c r="A557" s="237"/>
      <c r="B557" s="302"/>
      <c r="C557" s="302"/>
      <c r="D557" s="302"/>
      <c r="E557" s="303"/>
      <c r="F557" s="302"/>
      <c r="G557" s="302"/>
      <c r="H557" s="302"/>
      <c r="I557" s="303"/>
      <c r="J557" s="302"/>
      <c r="K557" s="302"/>
      <c r="L557" s="302"/>
      <c r="M557" s="236"/>
    </row>
    <row r="558" spans="1:13" x14ac:dyDescent="0.2">
      <c r="A558" s="237"/>
      <c r="B558" s="302"/>
      <c r="C558" s="302"/>
      <c r="D558" s="302"/>
      <c r="E558" s="303"/>
      <c r="F558" s="302"/>
      <c r="G558" s="302"/>
      <c r="H558" s="302"/>
      <c r="I558" s="303"/>
      <c r="J558" s="302"/>
      <c r="K558" s="302"/>
      <c r="L558" s="302"/>
      <c r="M558" s="236"/>
    </row>
    <row r="559" spans="1:13" x14ac:dyDescent="0.2">
      <c r="A559" s="237"/>
      <c r="B559" s="302"/>
      <c r="C559" s="302"/>
      <c r="D559" s="302"/>
      <c r="E559" s="303"/>
      <c r="F559" s="302"/>
      <c r="G559" s="302"/>
      <c r="H559" s="302"/>
      <c r="I559" s="303"/>
      <c r="J559" s="302"/>
      <c r="K559" s="302"/>
      <c r="L559" s="302"/>
      <c r="M559" s="236"/>
    </row>
    <row r="560" spans="1:13" x14ac:dyDescent="0.2">
      <c r="A560" s="237"/>
      <c r="B560" s="302"/>
      <c r="C560" s="302"/>
      <c r="D560" s="302"/>
      <c r="E560" s="303"/>
      <c r="F560" s="302"/>
      <c r="G560" s="302"/>
      <c r="H560" s="302"/>
      <c r="I560" s="303"/>
      <c r="J560" s="302"/>
      <c r="K560" s="302"/>
      <c r="L560" s="302"/>
      <c r="M560" s="236"/>
    </row>
    <row r="561" spans="1:13" x14ac:dyDescent="0.2">
      <c r="A561" s="237"/>
      <c r="B561" s="302"/>
      <c r="C561" s="302"/>
      <c r="D561" s="302"/>
      <c r="E561" s="303"/>
      <c r="F561" s="302"/>
      <c r="G561" s="302"/>
      <c r="H561" s="302"/>
      <c r="I561" s="303"/>
      <c r="J561" s="302"/>
      <c r="K561" s="302"/>
      <c r="L561" s="302"/>
      <c r="M561" s="236"/>
    </row>
    <row r="562" spans="1:13" x14ac:dyDescent="0.2">
      <c r="A562" s="237"/>
      <c r="B562" s="302"/>
      <c r="C562" s="302"/>
      <c r="D562" s="302"/>
      <c r="E562" s="303"/>
      <c r="F562" s="302"/>
      <c r="G562" s="302"/>
      <c r="H562" s="302"/>
      <c r="I562" s="303"/>
      <c r="J562" s="302"/>
      <c r="K562" s="302"/>
      <c r="L562" s="302"/>
      <c r="M562" s="236"/>
    </row>
    <row r="563" spans="1:13" x14ac:dyDescent="0.2">
      <c r="A563" s="237"/>
      <c r="B563" s="303"/>
      <c r="C563" s="303"/>
      <c r="D563" s="303"/>
      <c r="E563" s="303"/>
      <c r="F563" s="303"/>
      <c r="G563" s="303"/>
      <c r="H563" s="303"/>
      <c r="I563" s="303"/>
      <c r="J563" s="303"/>
      <c r="K563" s="303"/>
      <c r="L563" s="303"/>
      <c r="M563" s="236"/>
    </row>
    <row r="564" spans="1:13" x14ac:dyDescent="0.2">
      <c r="A564" s="237"/>
      <c r="B564" s="237"/>
      <c r="C564" s="237"/>
      <c r="D564" s="237"/>
      <c r="E564" s="237"/>
      <c r="F564" s="237"/>
      <c r="G564" s="237"/>
      <c r="H564" s="237"/>
      <c r="I564" s="237"/>
      <c r="J564" s="237"/>
      <c r="K564" s="237"/>
      <c r="L564" s="240"/>
      <c r="M564" s="236"/>
    </row>
    <row r="565" spans="1:13" x14ac:dyDescent="0.2">
      <c r="A565" s="237"/>
      <c r="B565" s="237"/>
      <c r="C565" s="237"/>
      <c r="D565" s="237"/>
      <c r="E565" s="237"/>
      <c r="F565" s="237"/>
      <c r="G565" s="237"/>
      <c r="H565" s="237"/>
      <c r="I565" s="237"/>
      <c r="J565" s="237"/>
      <c r="K565" s="237"/>
      <c r="L565" s="284"/>
      <c r="M565" s="236"/>
    </row>
    <row r="566" spans="1:13" x14ac:dyDescent="0.2">
      <c r="A566" s="258"/>
      <c r="B566" s="241"/>
      <c r="C566" s="241"/>
      <c r="D566" s="241"/>
      <c r="E566" s="241"/>
      <c r="F566" s="241"/>
      <c r="G566" s="241"/>
      <c r="H566" s="241"/>
      <c r="I566" s="241"/>
      <c r="J566" s="241"/>
      <c r="K566" s="241"/>
      <c r="L566" s="236"/>
      <c r="M566" s="236"/>
    </row>
    <row r="567" spans="1:13" x14ac:dyDescent="0.2">
      <c r="A567" s="241"/>
      <c r="B567" s="375"/>
      <c r="C567" s="375"/>
      <c r="D567" s="375"/>
      <c r="E567" s="253"/>
      <c r="F567" s="375"/>
      <c r="G567" s="375"/>
      <c r="H567" s="375"/>
      <c r="I567" s="253"/>
      <c r="J567" s="375"/>
      <c r="K567" s="375"/>
      <c r="L567" s="375"/>
      <c r="M567" s="236"/>
    </row>
    <row r="568" spans="1:13" x14ac:dyDescent="0.2">
      <c r="A568" s="258"/>
      <c r="B568" s="259"/>
      <c r="C568" s="259"/>
      <c r="D568" s="259"/>
      <c r="E568" s="259"/>
      <c r="F568" s="259"/>
      <c r="G568" s="259"/>
      <c r="H568" s="259"/>
      <c r="I568" s="259"/>
      <c r="J568" s="259"/>
      <c r="K568" s="259"/>
      <c r="L568" s="259"/>
      <c r="M568" s="236"/>
    </row>
    <row r="569" spans="1:13" x14ac:dyDescent="0.2">
      <c r="A569" s="258"/>
      <c r="B569" s="259"/>
      <c r="C569" s="259"/>
      <c r="D569" s="259"/>
      <c r="E569" s="259"/>
      <c r="F569" s="259"/>
      <c r="G569" s="259"/>
      <c r="H569" s="259"/>
      <c r="I569" s="259"/>
      <c r="J569" s="259"/>
      <c r="K569" s="259"/>
      <c r="L569" s="259"/>
      <c r="M569" s="236"/>
    </row>
    <row r="570" spans="1:13" x14ac:dyDescent="0.2">
      <c r="A570" s="237"/>
      <c r="B570" s="302"/>
      <c r="C570" s="302"/>
      <c r="D570" s="302"/>
      <c r="E570" s="303"/>
      <c r="F570" s="302"/>
      <c r="G570" s="302"/>
      <c r="H570" s="302"/>
      <c r="I570" s="303"/>
      <c r="J570" s="302"/>
      <c r="K570" s="302"/>
      <c r="L570" s="302"/>
      <c r="M570" s="236"/>
    </row>
    <row r="571" spans="1:13" x14ac:dyDescent="0.2">
      <c r="A571" s="237"/>
      <c r="B571" s="302"/>
      <c r="C571" s="302"/>
      <c r="D571" s="302"/>
      <c r="E571" s="303"/>
      <c r="F571" s="302"/>
      <c r="G571" s="302"/>
      <c r="H571" s="302"/>
      <c r="I571" s="303"/>
      <c r="J571" s="302"/>
      <c r="K571" s="302"/>
      <c r="L571" s="302"/>
      <c r="M571" s="236"/>
    </row>
    <row r="572" spans="1:13" x14ac:dyDescent="0.2">
      <c r="A572" s="237"/>
      <c r="B572" s="302"/>
      <c r="C572" s="302"/>
      <c r="D572" s="302"/>
      <c r="E572" s="303"/>
      <c r="F572" s="302"/>
      <c r="G572" s="302"/>
      <c r="H572" s="302"/>
      <c r="I572" s="303"/>
      <c r="J572" s="302"/>
      <c r="K572" s="302"/>
      <c r="L572" s="302"/>
      <c r="M572" s="236"/>
    </row>
    <row r="573" spans="1:13" x14ac:dyDescent="0.2">
      <c r="A573" s="237"/>
      <c r="B573" s="302"/>
      <c r="C573" s="302"/>
      <c r="D573" s="302"/>
      <c r="E573" s="303"/>
      <c r="F573" s="302"/>
      <c r="G573" s="302"/>
      <c r="H573" s="302"/>
      <c r="I573" s="303"/>
      <c r="J573" s="302"/>
      <c r="K573" s="302"/>
      <c r="L573" s="302"/>
      <c r="M573" s="236"/>
    </row>
    <row r="574" spans="1:13" x14ac:dyDescent="0.2">
      <c r="A574" s="237"/>
      <c r="B574" s="302"/>
      <c r="C574" s="302"/>
      <c r="D574" s="302"/>
      <c r="E574" s="303"/>
      <c r="F574" s="302"/>
      <c r="G574" s="302"/>
      <c r="H574" s="302"/>
      <c r="I574" s="303"/>
      <c r="J574" s="302"/>
      <c r="K574" s="302"/>
      <c r="L574" s="302"/>
      <c r="M574" s="236"/>
    </row>
    <row r="575" spans="1:13" x14ac:dyDescent="0.2">
      <c r="A575" s="237"/>
      <c r="B575" s="302"/>
      <c r="C575" s="302"/>
      <c r="D575" s="302"/>
      <c r="E575" s="303"/>
      <c r="F575" s="302"/>
      <c r="G575" s="302"/>
      <c r="H575" s="302"/>
      <c r="I575" s="303"/>
      <c r="J575" s="302"/>
      <c r="K575" s="302"/>
      <c r="L575" s="302"/>
      <c r="M575" s="236"/>
    </row>
    <row r="576" spans="1:13" x14ac:dyDescent="0.2">
      <c r="A576" s="237"/>
      <c r="B576" s="302"/>
      <c r="C576" s="302"/>
      <c r="D576" s="302"/>
      <c r="E576" s="303"/>
      <c r="F576" s="302"/>
      <c r="G576" s="302"/>
      <c r="H576" s="302"/>
      <c r="I576" s="303"/>
      <c r="J576" s="302"/>
      <c r="K576" s="302"/>
      <c r="L576" s="302"/>
      <c r="M576" s="236"/>
    </row>
    <row r="577" spans="1:13" x14ac:dyDescent="0.2">
      <c r="A577" s="237"/>
      <c r="B577" s="302"/>
      <c r="C577" s="302"/>
      <c r="D577" s="302"/>
      <c r="E577" s="303"/>
      <c r="F577" s="302"/>
      <c r="G577" s="302"/>
      <c r="H577" s="302"/>
      <c r="I577" s="303"/>
      <c r="J577" s="302"/>
      <c r="K577" s="302"/>
      <c r="L577" s="302"/>
      <c r="M577" s="236"/>
    </row>
    <row r="578" spans="1:13" x14ac:dyDescent="0.2">
      <c r="A578" s="237"/>
      <c r="B578" s="302"/>
      <c r="C578" s="302"/>
      <c r="D578" s="302"/>
      <c r="E578" s="303"/>
      <c r="F578" s="302"/>
      <c r="G578" s="302"/>
      <c r="H578" s="302"/>
      <c r="I578" s="303"/>
      <c r="J578" s="302"/>
      <c r="K578" s="302"/>
      <c r="L578" s="302"/>
      <c r="M578" s="236"/>
    </row>
    <row r="579" spans="1:13" x14ac:dyDescent="0.2">
      <c r="A579" s="237"/>
      <c r="B579" s="302"/>
      <c r="C579" s="302"/>
      <c r="D579" s="302"/>
      <c r="E579" s="303"/>
      <c r="F579" s="302"/>
      <c r="G579" s="302"/>
      <c r="H579" s="302"/>
      <c r="I579" s="303"/>
      <c r="J579" s="302"/>
      <c r="K579" s="302"/>
      <c r="L579" s="302"/>
      <c r="M579" s="236"/>
    </row>
    <row r="580" spans="1:13" x14ac:dyDescent="0.2">
      <c r="A580" s="237"/>
      <c r="B580" s="303"/>
      <c r="C580" s="303"/>
      <c r="D580" s="303"/>
      <c r="E580" s="303"/>
      <c r="F580" s="303"/>
      <c r="G580" s="303"/>
      <c r="H580" s="303"/>
      <c r="I580" s="303"/>
      <c r="J580" s="303"/>
      <c r="K580" s="303"/>
      <c r="L580" s="303"/>
      <c r="M580" s="236"/>
    </row>
    <row r="581" spans="1:13" x14ac:dyDescent="0.2">
      <c r="A581" s="237"/>
      <c r="B581" s="237"/>
      <c r="C581" s="237"/>
      <c r="D581" s="237"/>
      <c r="E581" s="237"/>
      <c r="F581" s="237"/>
      <c r="G581" s="237"/>
      <c r="H581" s="237"/>
      <c r="I581" s="237"/>
      <c r="J581" s="237"/>
      <c r="K581" s="237"/>
      <c r="L581" s="240"/>
      <c r="M581" s="236"/>
    </row>
    <row r="582" spans="1:13" x14ac:dyDescent="0.2">
      <c r="A582" s="237"/>
      <c r="B582" s="237"/>
      <c r="C582" s="237"/>
      <c r="D582" s="237"/>
      <c r="E582" s="237"/>
      <c r="F582" s="237"/>
      <c r="G582" s="237"/>
      <c r="H582" s="237"/>
      <c r="I582" s="237"/>
      <c r="J582" s="237"/>
      <c r="K582" s="237"/>
      <c r="L582" s="284"/>
      <c r="M582" s="236"/>
    </row>
    <row r="583" spans="1:13" x14ac:dyDescent="0.2">
      <c r="A583" s="258"/>
      <c r="B583" s="241"/>
      <c r="C583" s="241"/>
      <c r="D583" s="241"/>
      <c r="E583" s="241"/>
      <c r="F583" s="241"/>
      <c r="G583" s="241"/>
      <c r="H583" s="241"/>
      <c r="I583" s="241"/>
      <c r="J583" s="241"/>
      <c r="K583" s="241"/>
      <c r="L583" s="236"/>
      <c r="M583" s="236"/>
    </row>
    <row r="584" spans="1:13" x14ac:dyDescent="0.2">
      <c r="A584" s="241"/>
      <c r="B584" s="375"/>
      <c r="C584" s="375"/>
      <c r="D584" s="375"/>
      <c r="E584" s="253"/>
      <c r="F584" s="375"/>
      <c r="G584" s="375"/>
      <c r="H584" s="375"/>
      <c r="I584" s="253"/>
      <c r="J584" s="375"/>
      <c r="K584" s="375"/>
      <c r="L584" s="375"/>
      <c r="M584" s="236"/>
    </row>
    <row r="585" spans="1:13" x14ac:dyDescent="0.2">
      <c r="A585" s="258"/>
      <c r="B585" s="259"/>
      <c r="C585" s="259"/>
      <c r="D585" s="259"/>
      <c r="E585" s="259"/>
      <c r="F585" s="259"/>
      <c r="G585" s="259"/>
      <c r="H585" s="259"/>
      <c r="I585" s="259"/>
      <c r="J585" s="259"/>
      <c r="K585" s="259"/>
      <c r="L585" s="259"/>
      <c r="M585" s="236"/>
    </row>
    <row r="586" spans="1:13" x14ac:dyDescent="0.2">
      <c r="A586" s="258"/>
      <c r="B586" s="259"/>
      <c r="C586" s="259"/>
      <c r="D586" s="259"/>
      <c r="E586" s="259"/>
      <c r="F586" s="259"/>
      <c r="G586" s="259"/>
      <c r="H586" s="259"/>
      <c r="I586" s="259"/>
      <c r="J586" s="259"/>
      <c r="K586" s="259"/>
      <c r="L586" s="259"/>
      <c r="M586" s="236"/>
    </row>
    <row r="587" spans="1:13" x14ac:dyDescent="0.2">
      <c r="A587" s="237"/>
      <c r="B587" s="302"/>
      <c r="C587" s="302"/>
      <c r="D587" s="302"/>
      <c r="E587" s="303"/>
      <c r="F587" s="302"/>
      <c r="G587" s="302"/>
      <c r="H587" s="302"/>
      <c r="I587" s="303"/>
      <c r="J587" s="302"/>
      <c r="K587" s="302"/>
      <c r="L587" s="302"/>
      <c r="M587" s="236"/>
    </row>
    <row r="588" spans="1:13" x14ac:dyDescent="0.2">
      <c r="A588" s="237"/>
      <c r="B588" s="302"/>
      <c r="C588" s="302"/>
      <c r="D588" s="302"/>
      <c r="E588" s="303"/>
      <c r="F588" s="302"/>
      <c r="G588" s="302"/>
      <c r="H588" s="302"/>
      <c r="I588" s="303"/>
      <c r="J588" s="302"/>
      <c r="K588" s="302"/>
      <c r="L588" s="302"/>
      <c r="M588" s="236"/>
    </row>
    <row r="589" spans="1:13" x14ac:dyDescent="0.2">
      <c r="A589" s="237"/>
      <c r="B589" s="302"/>
      <c r="C589" s="302"/>
      <c r="D589" s="302"/>
      <c r="E589" s="303"/>
      <c r="F589" s="302"/>
      <c r="G589" s="302"/>
      <c r="H589" s="302"/>
      <c r="I589" s="303"/>
      <c r="J589" s="302"/>
      <c r="K589" s="302"/>
      <c r="L589" s="302"/>
      <c r="M589" s="236"/>
    </row>
    <row r="590" spans="1:13" x14ac:dyDescent="0.2">
      <c r="A590" s="237"/>
      <c r="B590" s="302"/>
      <c r="C590" s="302"/>
      <c r="D590" s="302"/>
      <c r="E590" s="303"/>
      <c r="F590" s="302"/>
      <c r="G590" s="302"/>
      <c r="H590" s="302"/>
      <c r="I590" s="303"/>
      <c r="J590" s="302"/>
      <c r="K590" s="302"/>
      <c r="L590" s="302"/>
      <c r="M590" s="236"/>
    </row>
    <row r="591" spans="1:13" x14ac:dyDescent="0.2">
      <c r="A591" s="237"/>
      <c r="B591" s="302"/>
      <c r="C591" s="302"/>
      <c r="D591" s="302"/>
      <c r="E591" s="303"/>
      <c r="F591" s="302"/>
      <c r="G591" s="302"/>
      <c r="H591" s="302"/>
      <c r="I591" s="303"/>
      <c r="J591" s="302"/>
      <c r="K591" s="302"/>
      <c r="L591" s="302"/>
      <c r="M591" s="236"/>
    </row>
    <row r="592" spans="1:13" x14ac:dyDescent="0.2">
      <c r="A592" s="237"/>
      <c r="B592" s="302"/>
      <c r="C592" s="302"/>
      <c r="D592" s="302"/>
      <c r="E592" s="303"/>
      <c r="F592" s="302"/>
      <c r="G592" s="302"/>
      <c r="H592" s="302"/>
      <c r="I592" s="303"/>
      <c r="J592" s="302"/>
      <c r="K592" s="302"/>
      <c r="L592" s="302"/>
      <c r="M592" s="236"/>
    </row>
    <row r="593" spans="1:13" x14ac:dyDescent="0.2">
      <c r="A593" s="237"/>
      <c r="B593" s="302"/>
      <c r="C593" s="302"/>
      <c r="D593" s="302"/>
      <c r="E593" s="303"/>
      <c r="F593" s="302"/>
      <c r="G593" s="302"/>
      <c r="H593" s="302"/>
      <c r="I593" s="303"/>
      <c r="J593" s="302"/>
      <c r="K593" s="302"/>
      <c r="L593" s="302"/>
      <c r="M593" s="236"/>
    </row>
    <row r="594" spans="1:13" x14ac:dyDescent="0.2">
      <c r="A594" s="237"/>
      <c r="B594" s="302"/>
      <c r="C594" s="302"/>
      <c r="D594" s="302"/>
      <c r="E594" s="303"/>
      <c r="F594" s="302"/>
      <c r="G594" s="302"/>
      <c r="H594" s="302"/>
      <c r="I594" s="303"/>
      <c r="J594" s="302"/>
      <c r="K594" s="302"/>
      <c r="L594" s="302"/>
      <c r="M594" s="236"/>
    </row>
    <row r="595" spans="1:13" x14ac:dyDescent="0.2">
      <c r="A595" s="237"/>
      <c r="B595" s="302"/>
      <c r="C595" s="302"/>
      <c r="D595" s="302"/>
      <c r="E595" s="303"/>
      <c r="F595" s="302"/>
      <c r="G595" s="302"/>
      <c r="H595" s="302"/>
      <c r="I595" s="303"/>
      <c r="J595" s="302"/>
      <c r="K595" s="302"/>
      <c r="L595" s="302"/>
      <c r="M595" s="236"/>
    </row>
    <row r="596" spans="1:13" x14ac:dyDescent="0.2">
      <c r="A596" s="237"/>
      <c r="B596" s="302"/>
      <c r="C596" s="302"/>
      <c r="D596" s="302"/>
      <c r="E596" s="303"/>
      <c r="F596" s="302"/>
      <c r="G596" s="302"/>
      <c r="H596" s="302"/>
      <c r="I596" s="303"/>
      <c r="J596" s="302"/>
      <c r="K596" s="302"/>
      <c r="L596" s="302"/>
      <c r="M596" s="236"/>
    </row>
    <row r="597" spans="1:13" x14ac:dyDescent="0.2">
      <c r="A597" s="237"/>
      <c r="B597" s="303"/>
      <c r="C597" s="303"/>
      <c r="D597" s="303"/>
      <c r="E597" s="303"/>
      <c r="F597" s="303"/>
      <c r="G597" s="303"/>
      <c r="H597" s="303"/>
      <c r="I597" s="303"/>
      <c r="J597" s="303"/>
      <c r="K597" s="303"/>
      <c r="L597" s="303"/>
      <c r="M597" s="236"/>
    </row>
    <row r="598" spans="1:13" x14ac:dyDescent="0.2">
      <c r="A598" s="237"/>
      <c r="B598" s="237"/>
      <c r="C598" s="237"/>
      <c r="D598" s="237"/>
      <c r="E598" s="237"/>
      <c r="F598" s="237"/>
      <c r="G598" s="237"/>
      <c r="H598" s="237"/>
      <c r="I598" s="237"/>
      <c r="J598" s="237"/>
      <c r="K598" s="237"/>
      <c r="L598" s="240"/>
      <c r="M598" s="236"/>
    </row>
    <row r="599" spans="1:13" x14ac:dyDescent="0.2">
      <c r="A599" s="237"/>
      <c r="B599" s="237"/>
      <c r="C599" s="237"/>
      <c r="D599" s="237"/>
      <c r="E599" s="237"/>
      <c r="F599" s="237"/>
      <c r="G599" s="237"/>
      <c r="H599" s="237"/>
      <c r="I599" s="237"/>
      <c r="J599" s="237"/>
      <c r="K599" s="237"/>
      <c r="L599" s="284"/>
      <c r="M599" s="236"/>
    </row>
    <row r="600" spans="1:13" x14ac:dyDescent="0.2">
      <c r="A600" s="258"/>
      <c r="B600" s="241"/>
      <c r="C600" s="241"/>
      <c r="D600" s="241"/>
      <c r="E600" s="241"/>
      <c r="F600" s="241"/>
      <c r="G600" s="241"/>
      <c r="H600" s="241"/>
      <c r="I600" s="241"/>
      <c r="J600" s="241"/>
      <c r="K600" s="241"/>
      <c r="L600" s="236"/>
      <c r="M600" s="236"/>
    </row>
    <row r="601" spans="1:13" x14ac:dyDescent="0.2">
      <c r="A601" s="241"/>
      <c r="B601" s="375"/>
      <c r="C601" s="375"/>
      <c r="D601" s="375"/>
      <c r="E601" s="253"/>
      <c r="F601" s="375"/>
      <c r="G601" s="375"/>
      <c r="H601" s="375"/>
      <c r="I601" s="253"/>
      <c r="J601" s="375"/>
      <c r="K601" s="375"/>
      <c r="L601" s="375"/>
      <c r="M601" s="236"/>
    </row>
    <row r="602" spans="1:13" x14ac:dyDescent="0.2">
      <c r="A602" s="258"/>
      <c r="B602" s="259"/>
      <c r="C602" s="259"/>
      <c r="D602" s="259"/>
      <c r="E602" s="259"/>
      <c r="F602" s="259"/>
      <c r="G602" s="259"/>
      <c r="H602" s="259"/>
      <c r="I602" s="259"/>
      <c r="J602" s="259"/>
      <c r="K602" s="259"/>
      <c r="L602" s="259"/>
      <c r="M602" s="236"/>
    </row>
    <row r="603" spans="1:13" x14ac:dyDescent="0.2">
      <c r="A603" s="258"/>
      <c r="B603" s="259"/>
      <c r="C603" s="259"/>
      <c r="D603" s="259"/>
      <c r="E603" s="259"/>
      <c r="F603" s="259"/>
      <c r="G603" s="259"/>
      <c r="H603" s="259"/>
      <c r="I603" s="259"/>
      <c r="J603" s="259"/>
      <c r="K603" s="259"/>
      <c r="L603" s="259"/>
      <c r="M603" s="236"/>
    </row>
    <row r="604" spans="1:13" x14ac:dyDescent="0.2">
      <c r="A604" s="237"/>
      <c r="B604" s="302"/>
      <c r="C604" s="302"/>
      <c r="D604" s="302"/>
      <c r="E604" s="303"/>
      <c r="F604" s="302"/>
      <c r="G604" s="302"/>
      <c r="H604" s="302"/>
      <c r="I604" s="303"/>
      <c r="J604" s="302"/>
      <c r="K604" s="302"/>
      <c r="L604" s="302"/>
      <c r="M604" s="236"/>
    </row>
    <row r="605" spans="1:13" x14ac:dyDescent="0.2">
      <c r="A605" s="237"/>
      <c r="B605" s="302"/>
      <c r="C605" s="302"/>
      <c r="D605" s="302"/>
      <c r="E605" s="303"/>
      <c r="F605" s="302"/>
      <c r="G605" s="302"/>
      <c r="H605" s="302"/>
      <c r="I605" s="303"/>
      <c r="J605" s="302"/>
      <c r="K605" s="302"/>
      <c r="L605" s="302"/>
      <c r="M605" s="236"/>
    </row>
    <row r="606" spans="1:13" x14ac:dyDescent="0.2">
      <c r="A606" s="237"/>
      <c r="B606" s="302"/>
      <c r="C606" s="302"/>
      <c r="D606" s="302"/>
      <c r="E606" s="303"/>
      <c r="F606" s="302"/>
      <c r="G606" s="302"/>
      <c r="H606" s="302"/>
      <c r="I606" s="303"/>
      <c r="J606" s="302"/>
      <c r="K606" s="302"/>
      <c r="L606" s="302"/>
      <c r="M606" s="236"/>
    </row>
    <row r="607" spans="1:13" x14ac:dyDescent="0.2">
      <c r="A607" s="237"/>
      <c r="B607" s="302"/>
      <c r="C607" s="302"/>
      <c r="D607" s="302"/>
      <c r="E607" s="303"/>
      <c r="F607" s="302"/>
      <c r="G607" s="302"/>
      <c r="H607" s="302"/>
      <c r="I607" s="303"/>
      <c r="J607" s="302"/>
      <c r="K607" s="302"/>
      <c r="L607" s="302"/>
      <c r="M607" s="236"/>
    </row>
    <row r="608" spans="1:13" x14ac:dyDescent="0.2">
      <c r="A608" s="237"/>
      <c r="B608" s="302"/>
      <c r="C608" s="302"/>
      <c r="D608" s="302"/>
      <c r="E608" s="303"/>
      <c r="F608" s="302"/>
      <c r="G608" s="302"/>
      <c r="H608" s="302"/>
      <c r="I608" s="303"/>
      <c r="J608" s="302"/>
      <c r="K608" s="302"/>
      <c r="L608" s="302"/>
      <c r="M608" s="236"/>
    </row>
    <row r="609" spans="1:13" x14ac:dyDescent="0.2">
      <c r="A609" s="237"/>
      <c r="B609" s="302"/>
      <c r="C609" s="302"/>
      <c r="D609" s="302"/>
      <c r="E609" s="303"/>
      <c r="F609" s="302"/>
      <c r="G609" s="302"/>
      <c r="H609" s="302"/>
      <c r="I609" s="303"/>
      <c r="J609" s="302"/>
      <c r="K609" s="302"/>
      <c r="L609" s="302"/>
      <c r="M609" s="236"/>
    </row>
    <row r="610" spans="1:13" x14ac:dyDescent="0.2">
      <c r="A610" s="237"/>
      <c r="B610" s="302"/>
      <c r="C610" s="302"/>
      <c r="D610" s="302"/>
      <c r="E610" s="303"/>
      <c r="F610" s="302"/>
      <c r="G610" s="302"/>
      <c r="H610" s="302"/>
      <c r="I610" s="303"/>
      <c r="J610" s="302"/>
      <c r="K610" s="302"/>
      <c r="L610" s="302"/>
      <c r="M610" s="236"/>
    </row>
    <row r="611" spans="1:13" x14ac:dyDescent="0.2">
      <c r="A611" s="237"/>
      <c r="B611" s="302"/>
      <c r="C611" s="302"/>
      <c r="D611" s="302"/>
      <c r="E611" s="303"/>
      <c r="F611" s="302"/>
      <c r="G611" s="302"/>
      <c r="H611" s="302"/>
      <c r="I611" s="303"/>
      <c r="J611" s="302"/>
      <c r="K611" s="302"/>
      <c r="L611" s="302"/>
      <c r="M611" s="236"/>
    </row>
    <row r="612" spans="1:13" x14ac:dyDescent="0.2">
      <c r="A612" s="237"/>
      <c r="B612" s="302"/>
      <c r="C612" s="302"/>
      <c r="D612" s="302"/>
      <c r="E612" s="303"/>
      <c r="F612" s="302"/>
      <c r="G612" s="302"/>
      <c r="H612" s="302"/>
      <c r="I612" s="303"/>
      <c r="J612" s="302"/>
      <c r="K612" s="302"/>
      <c r="L612" s="302"/>
      <c r="M612" s="236"/>
    </row>
    <row r="613" spans="1:13" x14ac:dyDescent="0.2">
      <c r="A613" s="237"/>
      <c r="B613" s="302"/>
      <c r="C613" s="302"/>
      <c r="D613" s="302"/>
      <c r="E613" s="303"/>
      <c r="F613" s="302"/>
      <c r="G613" s="302"/>
      <c r="H613" s="302"/>
      <c r="I613" s="303"/>
      <c r="J613" s="302"/>
      <c r="K613" s="302"/>
      <c r="L613" s="302"/>
      <c r="M613" s="236"/>
    </row>
    <row r="614" spans="1:13" x14ac:dyDescent="0.2">
      <c r="A614" s="237"/>
      <c r="B614" s="303"/>
      <c r="C614" s="303"/>
      <c r="D614" s="303"/>
      <c r="E614" s="303"/>
      <c r="F614" s="303"/>
      <c r="G614" s="303"/>
      <c r="H614" s="303"/>
      <c r="I614" s="303"/>
      <c r="J614" s="303"/>
      <c r="K614" s="303"/>
      <c r="L614" s="303"/>
      <c r="M614" s="236"/>
    </row>
    <row r="615" spans="1:13" x14ac:dyDescent="0.2">
      <c r="A615" s="237"/>
      <c r="B615" s="237"/>
      <c r="C615" s="237"/>
      <c r="D615" s="237"/>
      <c r="E615" s="237"/>
      <c r="F615" s="237"/>
      <c r="G615" s="237"/>
      <c r="H615" s="237"/>
      <c r="I615" s="237"/>
      <c r="J615" s="237"/>
      <c r="K615" s="237"/>
      <c r="L615" s="240"/>
      <c r="M615" s="236"/>
    </row>
    <row r="616" spans="1:13" x14ac:dyDescent="0.2">
      <c r="A616" s="237"/>
      <c r="B616" s="237"/>
      <c r="C616" s="237"/>
      <c r="D616" s="237"/>
      <c r="E616" s="237"/>
      <c r="F616" s="237"/>
      <c r="G616" s="237"/>
      <c r="H616" s="237"/>
      <c r="I616" s="237"/>
      <c r="J616" s="237"/>
      <c r="K616" s="237"/>
      <c r="L616" s="284"/>
      <c r="M616" s="236"/>
    </row>
    <row r="617" spans="1:13" x14ac:dyDescent="0.2">
      <c r="A617" s="258"/>
      <c r="B617" s="241"/>
      <c r="C617" s="241"/>
      <c r="D617" s="241"/>
      <c r="E617" s="241"/>
      <c r="F617" s="241"/>
      <c r="G617" s="241"/>
      <c r="H617" s="241"/>
      <c r="I617" s="241"/>
      <c r="J617" s="241"/>
      <c r="K617" s="241"/>
      <c r="L617" s="236"/>
      <c r="M617" s="236"/>
    </row>
    <row r="618" spans="1:13" x14ac:dyDescent="0.2">
      <c r="A618" s="241"/>
      <c r="B618" s="375"/>
      <c r="C618" s="375"/>
      <c r="D618" s="375"/>
      <c r="E618" s="253"/>
      <c r="F618" s="375"/>
      <c r="G618" s="375"/>
      <c r="H618" s="375"/>
      <c r="I618" s="253"/>
      <c r="J618" s="375"/>
      <c r="K618" s="375"/>
      <c r="L618" s="375"/>
      <c r="M618" s="236"/>
    </row>
    <row r="619" spans="1:13" x14ac:dyDescent="0.2">
      <c r="A619" s="258"/>
      <c r="B619" s="259"/>
      <c r="C619" s="259"/>
      <c r="D619" s="259"/>
      <c r="E619" s="259"/>
      <c r="F619" s="259"/>
      <c r="G619" s="259"/>
      <c r="H619" s="259"/>
      <c r="I619" s="259"/>
      <c r="J619" s="259"/>
      <c r="K619" s="259"/>
      <c r="L619" s="259"/>
      <c r="M619" s="236"/>
    </row>
    <row r="620" spans="1:13" x14ac:dyDescent="0.2">
      <c r="A620" s="258"/>
      <c r="B620" s="259"/>
      <c r="C620" s="259"/>
      <c r="D620" s="259"/>
      <c r="E620" s="259"/>
      <c r="F620" s="259"/>
      <c r="G620" s="259"/>
      <c r="H620" s="259"/>
      <c r="I620" s="259"/>
      <c r="J620" s="259"/>
      <c r="K620" s="259"/>
      <c r="L620" s="259"/>
      <c r="M620" s="236"/>
    </row>
    <row r="621" spans="1:13" x14ac:dyDescent="0.2">
      <c r="A621" s="237"/>
      <c r="B621" s="302"/>
      <c r="C621" s="302"/>
      <c r="D621" s="302"/>
      <c r="E621" s="303"/>
      <c r="F621" s="302"/>
      <c r="G621" s="302"/>
      <c r="H621" s="302"/>
      <c r="I621" s="303"/>
      <c r="J621" s="302"/>
      <c r="K621" s="302"/>
      <c r="L621" s="302"/>
      <c r="M621" s="236"/>
    </row>
    <row r="622" spans="1:13" x14ac:dyDescent="0.2">
      <c r="A622" s="237"/>
      <c r="B622" s="302"/>
      <c r="C622" s="302"/>
      <c r="D622" s="302"/>
      <c r="E622" s="303"/>
      <c r="F622" s="302"/>
      <c r="G622" s="302"/>
      <c r="H622" s="302"/>
      <c r="I622" s="303"/>
      <c r="J622" s="302"/>
      <c r="K622" s="302"/>
      <c r="L622" s="302"/>
      <c r="M622" s="236"/>
    </row>
    <row r="623" spans="1:13" x14ac:dyDescent="0.2">
      <c r="A623" s="237"/>
      <c r="B623" s="302"/>
      <c r="C623" s="302"/>
      <c r="D623" s="302"/>
      <c r="E623" s="303"/>
      <c r="F623" s="302"/>
      <c r="G623" s="302"/>
      <c r="H623" s="302"/>
      <c r="I623" s="303"/>
      <c r="J623" s="302"/>
      <c r="K623" s="302"/>
      <c r="L623" s="302"/>
      <c r="M623" s="236"/>
    </row>
    <row r="624" spans="1:13" x14ac:dyDescent="0.2">
      <c r="A624" s="237"/>
      <c r="B624" s="302"/>
      <c r="C624" s="302"/>
      <c r="D624" s="302"/>
      <c r="E624" s="303"/>
      <c r="F624" s="302"/>
      <c r="G624" s="302"/>
      <c r="H624" s="302"/>
      <c r="I624" s="303"/>
      <c r="J624" s="302"/>
      <c r="K624" s="302"/>
      <c r="L624" s="302"/>
      <c r="M624" s="236"/>
    </row>
    <row r="625" spans="1:13" x14ac:dyDescent="0.2">
      <c r="A625" s="237"/>
      <c r="B625" s="302"/>
      <c r="C625" s="302"/>
      <c r="D625" s="302"/>
      <c r="E625" s="303"/>
      <c r="F625" s="302"/>
      <c r="G625" s="302"/>
      <c r="H625" s="302"/>
      <c r="I625" s="303"/>
      <c r="J625" s="302"/>
      <c r="K625" s="302"/>
      <c r="L625" s="302"/>
      <c r="M625" s="236"/>
    </row>
    <row r="626" spans="1:13" x14ac:dyDescent="0.2">
      <c r="A626" s="237"/>
      <c r="B626" s="302"/>
      <c r="C626" s="302"/>
      <c r="D626" s="302"/>
      <c r="E626" s="303"/>
      <c r="F626" s="302"/>
      <c r="G626" s="302"/>
      <c r="H626" s="302"/>
      <c r="I626" s="303"/>
      <c r="J626" s="302"/>
      <c r="K626" s="302"/>
      <c r="L626" s="302"/>
      <c r="M626" s="236"/>
    </row>
    <row r="627" spans="1:13" x14ac:dyDescent="0.2">
      <c r="A627" s="237"/>
      <c r="B627" s="302"/>
      <c r="C627" s="302"/>
      <c r="D627" s="302"/>
      <c r="E627" s="303"/>
      <c r="F627" s="302"/>
      <c r="G627" s="302"/>
      <c r="H627" s="302"/>
      <c r="I627" s="303"/>
      <c r="J627" s="302"/>
      <c r="K627" s="302"/>
      <c r="L627" s="302"/>
      <c r="M627" s="236"/>
    </row>
    <row r="628" spans="1:13" x14ac:dyDescent="0.2">
      <c r="A628" s="237"/>
      <c r="B628" s="302"/>
      <c r="C628" s="302"/>
      <c r="D628" s="302"/>
      <c r="E628" s="303"/>
      <c r="F628" s="302"/>
      <c r="G628" s="302"/>
      <c r="H628" s="302"/>
      <c r="I628" s="303"/>
      <c r="J628" s="302"/>
      <c r="K628" s="302"/>
      <c r="L628" s="302"/>
      <c r="M628" s="236"/>
    </row>
    <row r="629" spans="1:13" x14ac:dyDescent="0.2">
      <c r="A629" s="237"/>
      <c r="B629" s="302"/>
      <c r="C629" s="302"/>
      <c r="D629" s="302"/>
      <c r="E629" s="303"/>
      <c r="F629" s="302"/>
      <c r="G629" s="302"/>
      <c r="H629" s="302"/>
      <c r="I629" s="303"/>
      <c r="J629" s="302"/>
      <c r="K629" s="302"/>
      <c r="L629" s="302"/>
      <c r="M629" s="236"/>
    </row>
    <row r="630" spans="1:13" x14ac:dyDescent="0.2">
      <c r="A630" s="237"/>
      <c r="B630" s="302"/>
      <c r="C630" s="302"/>
      <c r="D630" s="302"/>
      <c r="E630" s="303"/>
      <c r="F630" s="302"/>
      <c r="G630" s="302"/>
      <c r="H630" s="302"/>
      <c r="I630" s="303"/>
      <c r="J630" s="302"/>
      <c r="K630" s="302"/>
      <c r="L630" s="302"/>
      <c r="M630" s="236"/>
    </row>
    <row r="631" spans="1:13" x14ac:dyDescent="0.2">
      <c r="A631" s="237"/>
      <c r="B631" s="303"/>
      <c r="C631" s="303"/>
      <c r="D631" s="303"/>
      <c r="E631" s="303"/>
      <c r="F631" s="303"/>
      <c r="G631" s="303"/>
      <c r="H631" s="303"/>
      <c r="I631" s="303"/>
      <c r="J631" s="303"/>
      <c r="K631" s="303"/>
      <c r="L631" s="303"/>
      <c r="M631" s="236"/>
    </row>
    <row r="632" spans="1:13" x14ac:dyDescent="0.2">
      <c r="A632" s="237"/>
      <c r="B632" s="237"/>
      <c r="C632" s="237"/>
      <c r="D632" s="237"/>
      <c r="E632" s="237"/>
      <c r="F632" s="237"/>
      <c r="G632" s="237"/>
      <c r="H632" s="237"/>
      <c r="I632" s="237"/>
      <c r="J632" s="237"/>
      <c r="K632" s="237"/>
      <c r="L632" s="240"/>
      <c r="M632" s="236"/>
    </row>
    <row r="633" spans="1:13" x14ac:dyDescent="0.2">
      <c r="A633" s="237"/>
      <c r="B633" s="237"/>
      <c r="C633" s="237"/>
      <c r="D633" s="237"/>
      <c r="E633" s="237"/>
      <c r="F633" s="237"/>
      <c r="G633" s="237"/>
      <c r="H633" s="237"/>
      <c r="I633" s="237"/>
      <c r="J633" s="237"/>
      <c r="K633" s="237"/>
      <c r="L633" s="284"/>
      <c r="M633" s="236"/>
    </row>
    <row r="634" spans="1:13" x14ac:dyDescent="0.2">
      <c r="A634" s="258"/>
      <c r="B634" s="241"/>
      <c r="C634" s="241"/>
      <c r="D634" s="241"/>
      <c r="E634" s="241"/>
      <c r="F634" s="241"/>
      <c r="G634" s="241"/>
      <c r="H634" s="241"/>
      <c r="I634" s="241"/>
      <c r="J634" s="241"/>
      <c r="K634" s="241"/>
      <c r="L634" s="236"/>
      <c r="M634" s="236"/>
    </row>
    <row r="635" spans="1:13" x14ac:dyDescent="0.2">
      <c r="A635" s="241"/>
      <c r="B635" s="375"/>
      <c r="C635" s="375"/>
      <c r="D635" s="375"/>
      <c r="E635" s="253"/>
      <c r="F635" s="375"/>
      <c r="G635" s="375"/>
      <c r="H635" s="375"/>
      <c r="I635" s="253"/>
      <c r="J635" s="375"/>
      <c r="K635" s="375"/>
      <c r="L635" s="375"/>
      <c r="M635" s="236"/>
    </row>
    <row r="636" spans="1:13" x14ac:dyDescent="0.2">
      <c r="A636" s="258"/>
      <c r="B636" s="259"/>
      <c r="C636" s="259"/>
      <c r="D636" s="259"/>
      <c r="E636" s="259"/>
      <c r="F636" s="259"/>
      <c r="G636" s="259"/>
      <c r="H636" s="259"/>
      <c r="I636" s="259"/>
      <c r="J636" s="259"/>
      <c r="K636" s="259"/>
      <c r="L636" s="259"/>
      <c r="M636" s="236"/>
    </row>
    <row r="637" spans="1:13" x14ac:dyDescent="0.2">
      <c r="A637" s="258"/>
      <c r="B637" s="259"/>
      <c r="C637" s="259"/>
      <c r="D637" s="259"/>
      <c r="E637" s="259"/>
      <c r="F637" s="259"/>
      <c r="G637" s="259"/>
      <c r="H637" s="259"/>
      <c r="I637" s="259"/>
      <c r="J637" s="259"/>
      <c r="K637" s="259"/>
      <c r="L637" s="259"/>
      <c r="M637" s="236"/>
    </row>
    <row r="638" spans="1:13" x14ac:dyDescent="0.2">
      <c r="A638" s="237"/>
      <c r="B638" s="302"/>
      <c r="C638" s="302"/>
      <c r="D638" s="302"/>
      <c r="E638" s="303"/>
      <c r="F638" s="302"/>
      <c r="G638" s="302"/>
      <c r="H638" s="302"/>
      <c r="I638" s="303"/>
      <c r="J638" s="302"/>
      <c r="K638" s="302"/>
      <c r="L638" s="302"/>
      <c r="M638" s="236"/>
    </row>
    <row r="639" spans="1:13" x14ac:dyDescent="0.2">
      <c r="A639" s="237"/>
      <c r="B639" s="302"/>
      <c r="C639" s="302"/>
      <c r="D639" s="302"/>
      <c r="E639" s="303"/>
      <c r="F639" s="302"/>
      <c r="G639" s="302"/>
      <c r="H639" s="302"/>
      <c r="I639" s="303"/>
      <c r="J639" s="302"/>
      <c r="K639" s="302"/>
      <c r="L639" s="302"/>
      <c r="M639" s="236"/>
    </row>
    <row r="640" spans="1:13" x14ac:dyDescent="0.2">
      <c r="A640" s="237"/>
      <c r="B640" s="302"/>
      <c r="C640" s="302"/>
      <c r="D640" s="302"/>
      <c r="E640" s="303"/>
      <c r="F640" s="302"/>
      <c r="G640" s="302"/>
      <c r="H640" s="302"/>
      <c r="I640" s="303"/>
      <c r="J640" s="302"/>
      <c r="K640" s="302"/>
      <c r="L640" s="302"/>
      <c r="M640" s="236"/>
    </row>
    <row r="641" spans="1:13" x14ac:dyDescent="0.2">
      <c r="A641" s="237"/>
      <c r="B641" s="302"/>
      <c r="C641" s="302"/>
      <c r="D641" s="302"/>
      <c r="E641" s="303"/>
      <c r="F641" s="302"/>
      <c r="G641" s="302"/>
      <c r="H641" s="302"/>
      <c r="I641" s="303"/>
      <c r="J641" s="302"/>
      <c r="K641" s="302"/>
      <c r="L641" s="302"/>
      <c r="M641" s="236"/>
    </row>
    <row r="642" spans="1:13" x14ac:dyDescent="0.2">
      <c r="A642" s="237"/>
      <c r="B642" s="302"/>
      <c r="C642" s="302"/>
      <c r="D642" s="302"/>
      <c r="E642" s="303"/>
      <c r="F642" s="302"/>
      <c r="G642" s="302"/>
      <c r="H642" s="302"/>
      <c r="I642" s="303"/>
      <c r="J642" s="302"/>
      <c r="K642" s="302"/>
      <c r="L642" s="302"/>
      <c r="M642" s="236"/>
    </row>
    <row r="643" spans="1:13" x14ac:dyDescent="0.2">
      <c r="A643" s="237"/>
      <c r="B643" s="302"/>
      <c r="C643" s="302"/>
      <c r="D643" s="302"/>
      <c r="E643" s="303"/>
      <c r="F643" s="302"/>
      <c r="G643" s="302"/>
      <c r="H643" s="302"/>
      <c r="I643" s="303"/>
      <c r="J643" s="302"/>
      <c r="K643" s="302"/>
      <c r="L643" s="302"/>
      <c r="M643" s="236"/>
    </row>
    <row r="644" spans="1:13" x14ac:dyDescent="0.2">
      <c r="A644" s="237"/>
      <c r="B644" s="302"/>
      <c r="C644" s="302"/>
      <c r="D644" s="302"/>
      <c r="E644" s="303"/>
      <c r="F644" s="302"/>
      <c r="G644" s="302"/>
      <c r="H644" s="302"/>
      <c r="I644" s="303"/>
      <c r="J644" s="302"/>
      <c r="K644" s="302"/>
      <c r="L644" s="302"/>
      <c r="M644" s="236"/>
    </row>
    <row r="645" spans="1:13" x14ac:dyDescent="0.2">
      <c r="A645" s="237"/>
      <c r="B645" s="302"/>
      <c r="C645" s="302"/>
      <c r="D645" s="302"/>
      <c r="E645" s="303"/>
      <c r="F645" s="302"/>
      <c r="G645" s="302"/>
      <c r="H645" s="302"/>
      <c r="I645" s="303"/>
      <c r="J645" s="302"/>
      <c r="K645" s="302"/>
      <c r="L645" s="302"/>
      <c r="M645" s="236"/>
    </row>
    <row r="646" spans="1:13" x14ac:dyDescent="0.2">
      <c r="A646" s="237"/>
      <c r="B646" s="302"/>
      <c r="C646" s="302"/>
      <c r="D646" s="302"/>
      <c r="E646" s="303"/>
      <c r="F646" s="302"/>
      <c r="G646" s="302"/>
      <c r="H646" s="302"/>
      <c r="I646" s="303"/>
      <c r="J646" s="302"/>
      <c r="K646" s="302"/>
      <c r="L646" s="302"/>
      <c r="M646" s="236"/>
    </row>
    <row r="647" spans="1:13" x14ac:dyDescent="0.2">
      <c r="A647" s="237"/>
      <c r="B647" s="302"/>
      <c r="C647" s="302"/>
      <c r="D647" s="302"/>
      <c r="E647" s="303"/>
      <c r="F647" s="302"/>
      <c r="G647" s="302"/>
      <c r="H647" s="302"/>
      <c r="I647" s="303"/>
      <c r="J647" s="302"/>
      <c r="K647" s="302"/>
      <c r="L647" s="302"/>
      <c r="M647" s="236"/>
    </row>
    <row r="648" spans="1:13" x14ac:dyDescent="0.2">
      <c r="A648" s="237"/>
      <c r="B648" s="303"/>
      <c r="C648" s="303"/>
      <c r="D648" s="303"/>
      <c r="E648" s="303"/>
      <c r="F648" s="303"/>
      <c r="G648" s="303"/>
      <c r="H648" s="303"/>
      <c r="I648" s="303"/>
      <c r="J648" s="303"/>
      <c r="K648" s="303"/>
      <c r="L648" s="303"/>
      <c r="M648" s="236"/>
    </row>
    <row r="649" spans="1:13" x14ac:dyDescent="0.2">
      <c r="A649" s="237"/>
      <c r="B649" s="237"/>
      <c r="C649" s="237"/>
      <c r="D649" s="237"/>
      <c r="E649" s="237"/>
      <c r="F649" s="237"/>
      <c r="G649" s="237"/>
      <c r="H649" s="237"/>
      <c r="I649" s="237"/>
      <c r="J649" s="237"/>
      <c r="K649" s="237"/>
      <c r="L649" s="240"/>
      <c r="M649" s="236"/>
    </row>
    <row r="650" spans="1:13" x14ac:dyDescent="0.2">
      <c r="A650" s="237"/>
      <c r="B650" s="237"/>
      <c r="C650" s="237"/>
      <c r="D650" s="237"/>
      <c r="E650" s="237"/>
      <c r="F650" s="237"/>
      <c r="G650" s="237"/>
      <c r="H650" s="237"/>
      <c r="I650" s="237"/>
      <c r="J650" s="237"/>
      <c r="K650" s="237"/>
      <c r="L650" s="284"/>
      <c r="M650" s="236"/>
    </row>
    <row r="651" spans="1:13" x14ac:dyDescent="0.2">
      <c r="A651" s="258"/>
      <c r="B651" s="241"/>
      <c r="C651" s="241"/>
      <c r="D651" s="241"/>
      <c r="E651" s="241"/>
      <c r="F651" s="241"/>
      <c r="G651" s="241"/>
      <c r="H651" s="241"/>
      <c r="I651" s="241"/>
      <c r="J651" s="241"/>
      <c r="K651" s="241"/>
      <c r="L651" s="236"/>
      <c r="M651" s="236"/>
    </row>
    <row r="652" spans="1:13" x14ac:dyDescent="0.2">
      <c r="A652" s="241"/>
      <c r="B652" s="375"/>
      <c r="C652" s="375"/>
      <c r="D652" s="375"/>
      <c r="E652" s="253"/>
      <c r="F652" s="375"/>
      <c r="G652" s="375"/>
      <c r="H652" s="375"/>
      <c r="I652" s="253"/>
      <c r="J652" s="375"/>
      <c r="K652" s="375"/>
      <c r="L652" s="375"/>
      <c r="M652" s="236"/>
    </row>
    <row r="653" spans="1:13" x14ac:dyDescent="0.2">
      <c r="A653" s="258"/>
      <c r="B653" s="259"/>
      <c r="C653" s="259"/>
      <c r="D653" s="259"/>
      <c r="E653" s="259"/>
      <c r="F653" s="259"/>
      <c r="G653" s="259"/>
      <c r="H653" s="259"/>
      <c r="I653" s="259"/>
      <c r="J653" s="259"/>
      <c r="K653" s="259"/>
      <c r="L653" s="259"/>
      <c r="M653" s="236"/>
    </row>
    <row r="654" spans="1:13" x14ac:dyDescent="0.2">
      <c r="A654" s="258"/>
      <c r="B654" s="259"/>
      <c r="C654" s="259"/>
      <c r="D654" s="259"/>
      <c r="E654" s="259"/>
      <c r="F654" s="259"/>
      <c r="G654" s="259"/>
      <c r="H654" s="259"/>
      <c r="I654" s="259"/>
      <c r="J654" s="259"/>
      <c r="K654" s="259"/>
      <c r="L654" s="259"/>
      <c r="M654" s="236"/>
    </row>
    <row r="655" spans="1:13" x14ac:dyDescent="0.2">
      <c r="A655" s="237"/>
      <c r="B655" s="302"/>
      <c r="C655" s="302"/>
      <c r="D655" s="302"/>
      <c r="E655" s="303"/>
      <c r="F655" s="302"/>
      <c r="G655" s="302"/>
      <c r="H655" s="302"/>
      <c r="I655" s="303"/>
      <c r="J655" s="302"/>
      <c r="K655" s="302"/>
      <c r="L655" s="302"/>
      <c r="M655" s="236"/>
    </row>
    <row r="656" spans="1:13" x14ac:dyDescent="0.2">
      <c r="A656" s="237"/>
      <c r="B656" s="302"/>
      <c r="C656" s="302"/>
      <c r="D656" s="302"/>
      <c r="E656" s="303"/>
      <c r="F656" s="302"/>
      <c r="G656" s="302"/>
      <c r="H656" s="302"/>
      <c r="I656" s="303"/>
      <c r="J656" s="302"/>
      <c r="K656" s="302"/>
      <c r="L656" s="302"/>
      <c r="M656" s="236"/>
    </row>
    <row r="657" spans="1:13" x14ac:dyDescent="0.2">
      <c r="A657" s="237"/>
      <c r="B657" s="302"/>
      <c r="C657" s="302"/>
      <c r="D657" s="302"/>
      <c r="E657" s="303"/>
      <c r="F657" s="302"/>
      <c r="G657" s="302"/>
      <c r="H657" s="302"/>
      <c r="I657" s="303"/>
      <c r="J657" s="302"/>
      <c r="K657" s="302"/>
      <c r="L657" s="302"/>
      <c r="M657" s="236"/>
    </row>
    <row r="658" spans="1:13" x14ac:dyDescent="0.2">
      <c r="A658" s="237"/>
      <c r="B658" s="302"/>
      <c r="C658" s="302"/>
      <c r="D658" s="302"/>
      <c r="E658" s="303"/>
      <c r="F658" s="302"/>
      <c r="G658" s="302"/>
      <c r="H658" s="302"/>
      <c r="I658" s="303"/>
      <c r="J658" s="302"/>
      <c r="K658" s="302"/>
      <c r="L658" s="302"/>
      <c r="M658" s="236"/>
    </row>
    <row r="659" spans="1:13" x14ac:dyDescent="0.2">
      <c r="A659" s="237"/>
      <c r="B659" s="302"/>
      <c r="C659" s="302"/>
      <c r="D659" s="302"/>
      <c r="E659" s="303"/>
      <c r="F659" s="302"/>
      <c r="G659" s="302"/>
      <c r="H659" s="302"/>
      <c r="I659" s="303"/>
      <c r="J659" s="302"/>
      <c r="K659" s="302"/>
      <c r="L659" s="302"/>
      <c r="M659" s="236"/>
    </row>
    <row r="660" spans="1:13" x14ac:dyDescent="0.2">
      <c r="A660" s="237"/>
      <c r="B660" s="302"/>
      <c r="C660" s="302"/>
      <c r="D660" s="302"/>
      <c r="E660" s="303"/>
      <c r="F660" s="302"/>
      <c r="G660" s="302"/>
      <c r="H660" s="302"/>
      <c r="I660" s="303"/>
      <c r="J660" s="302"/>
      <c r="K660" s="302"/>
      <c r="L660" s="302"/>
      <c r="M660" s="236"/>
    </row>
    <row r="661" spans="1:13" x14ac:dyDescent="0.2">
      <c r="A661" s="237"/>
      <c r="B661" s="302"/>
      <c r="C661" s="302"/>
      <c r="D661" s="302"/>
      <c r="E661" s="303"/>
      <c r="F661" s="302"/>
      <c r="G661" s="302"/>
      <c r="H661" s="302"/>
      <c r="I661" s="303"/>
      <c r="J661" s="302"/>
      <c r="K661" s="302"/>
      <c r="L661" s="302"/>
      <c r="M661" s="236"/>
    </row>
    <row r="662" spans="1:13" x14ac:dyDescent="0.2">
      <c r="A662" s="237"/>
      <c r="B662" s="302"/>
      <c r="C662" s="302"/>
      <c r="D662" s="302"/>
      <c r="E662" s="303"/>
      <c r="F662" s="302"/>
      <c r="G662" s="302"/>
      <c r="H662" s="302"/>
      <c r="I662" s="303"/>
      <c r="J662" s="302"/>
      <c r="K662" s="302"/>
      <c r="L662" s="302"/>
      <c r="M662" s="236"/>
    </row>
    <row r="663" spans="1:13" x14ac:dyDescent="0.2">
      <c r="A663" s="237"/>
      <c r="B663" s="302"/>
      <c r="C663" s="302"/>
      <c r="D663" s="302"/>
      <c r="E663" s="303"/>
      <c r="F663" s="302"/>
      <c r="G663" s="302"/>
      <c r="H663" s="302"/>
      <c r="I663" s="303"/>
      <c r="J663" s="302"/>
      <c r="K663" s="302"/>
      <c r="L663" s="302"/>
      <c r="M663" s="236"/>
    </row>
    <row r="664" spans="1:13" x14ac:dyDescent="0.2">
      <c r="A664" s="237"/>
      <c r="B664" s="302"/>
      <c r="C664" s="302"/>
      <c r="D664" s="302"/>
      <c r="E664" s="303"/>
      <c r="F664" s="302"/>
      <c r="G664" s="302"/>
      <c r="H664" s="302"/>
      <c r="I664" s="303"/>
      <c r="J664" s="302"/>
      <c r="K664" s="302"/>
      <c r="L664" s="302"/>
      <c r="M664" s="236"/>
    </row>
    <row r="665" spans="1:13" x14ac:dyDescent="0.2">
      <c r="A665" s="237"/>
      <c r="B665" s="303"/>
      <c r="C665" s="303"/>
      <c r="D665" s="303"/>
      <c r="E665" s="303"/>
      <c r="F665" s="303"/>
      <c r="G665" s="303"/>
      <c r="H665" s="303"/>
      <c r="I665" s="303"/>
      <c r="J665" s="303"/>
      <c r="K665" s="303"/>
      <c r="L665" s="303"/>
      <c r="M665" s="236"/>
    </row>
    <row r="666" spans="1:13" x14ac:dyDescent="0.2">
      <c r="A666" s="237"/>
      <c r="B666" s="237"/>
      <c r="C666" s="237"/>
      <c r="D666" s="237"/>
      <c r="E666" s="237"/>
      <c r="F666" s="237"/>
      <c r="G666" s="237"/>
      <c r="H666" s="237"/>
      <c r="I666" s="237"/>
      <c r="J666" s="237"/>
      <c r="K666" s="237"/>
      <c r="L666" s="240"/>
      <c r="M666" s="236"/>
    </row>
    <row r="667" spans="1:13" x14ac:dyDescent="0.2">
      <c r="A667" s="237"/>
      <c r="B667" s="237"/>
      <c r="C667" s="237"/>
      <c r="D667" s="237"/>
      <c r="E667" s="237"/>
      <c r="F667" s="237"/>
      <c r="G667" s="237"/>
      <c r="H667" s="237"/>
      <c r="I667" s="237"/>
      <c r="J667" s="237"/>
      <c r="K667" s="237"/>
      <c r="L667" s="284"/>
      <c r="M667" s="236"/>
    </row>
    <row r="668" spans="1:13" x14ac:dyDescent="0.2">
      <c r="A668" s="258"/>
      <c r="B668" s="241"/>
      <c r="C668" s="241"/>
      <c r="D668" s="241"/>
      <c r="E668" s="241"/>
      <c r="F668" s="241"/>
      <c r="G668" s="241"/>
      <c r="H668" s="241"/>
      <c r="I668" s="241"/>
      <c r="J668" s="241"/>
      <c r="K668" s="241"/>
      <c r="L668" s="236"/>
      <c r="M668" s="236"/>
    </row>
    <row r="669" spans="1:13" x14ac:dyDescent="0.2">
      <c r="A669" s="241"/>
      <c r="B669" s="375"/>
      <c r="C669" s="375"/>
      <c r="D669" s="375"/>
      <c r="E669" s="253"/>
      <c r="F669" s="375"/>
      <c r="G669" s="375"/>
      <c r="H669" s="375"/>
      <c r="I669" s="253"/>
      <c r="J669" s="375"/>
      <c r="K669" s="375"/>
      <c r="L669" s="375"/>
      <c r="M669" s="236"/>
    </row>
    <row r="670" spans="1:13" x14ac:dyDescent="0.2">
      <c r="A670" s="258"/>
      <c r="B670" s="259"/>
      <c r="C670" s="259"/>
      <c r="D670" s="259"/>
      <c r="E670" s="259"/>
      <c r="F670" s="259"/>
      <c r="G670" s="259"/>
      <c r="H670" s="259"/>
      <c r="I670" s="259"/>
      <c r="J670" s="259"/>
      <c r="K670" s="259"/>
      <c r="L670" s="259"/>
      <c r="M670" s="236"/>
    </row>
    <row r="671" spans="1:13" x14ac:dyDescent="0.2">
      <c r="A671" s="258"/>
      <c r="B671" s="259"/>
      <c r="C671" s="259"/>
      <c r="D671" s="259"/>
      <c r="E671" s="259"/>
      <c r="F671" s="259"/>
      <c r="G671" s="259"/>
      <c r="H671" s="259"/>
      <c r="I671" s="259"/>
      <c r="J671" s="259"/>
      <c r="K671" s="259"/>
      <c r="L671" s="259"/>
      <c r="M671" s="236"/>
    </row>
    <row r="672" spans="1:13" x14ac:dyDescent="0.2">
      <c r="A672" s="237"/>
      <c r="B672" s="302"/>
      <c r="C672" s="302"/>
      <c r="D672" s="302"/>
      <c r="E672" s="303"/>
      <c r="F672" s="302"/>
      <c r="G672" s="302"/>
      <c r="H672" s="302"/>
      <c r="I672" s="303"/>
      <c r="J672" s="302"/>
      <c r="K672" s="302"/>
      <c r="L672" s="302"/>
      <c r="M672" s="236"/>
    </row>
    <row r="673" spans="1:13" x14ac:dyDescent="0.2">
      <c r="A673" s="237"/>
      <c r="B673" s="302"/>
      <c r="C673" s="302"/>
      <c r="D673" s="302"/>
      <c r="E673" s="303"/>
      <c r="F673" s="302"/>
      <c r="G673" s="302"/>
      <c r="H673" s="302"/>
      <c r="I673" s="303"/>
      <c r="J673" s="302"/>
      <c r="K673" s="302"/>
      <c r="L673" s="302"/>
      <c r="M673" s="236"/>
    </row>
    <row r="674" spans="1:13" x14ac:dyDescent="0.2">
      <c r="A674" s="237"/>
      <c r="B674" s="302"/>
      <c r="C674" s="302"/>
      <c r="D674" s="302"/>
      <c r="E674" s="303"/>
      <c r="F674" s="302"/>
      <c r="G674" s="302"/>
      <c r="H674" s="302"/>
      <c r="I674" s="303"/>
      <c r="J674" s="302"/>
      <c r="K674" s="302"/>
      <c r="L674" s="302"/>
      <c r="M674" s="236"/>
    </row>
    <row r="675" spans="1:13" x14ac:dyDescent="0.2">
      <c r="A675" s="237"/>
      <c r="B675" s="302"/>
      <c r="C675" s="302"/>
      <c r="D675" s="302"/>
      <c r="E675" s="303"/>
      <c r="F675" s="302"/>
      <c r="G675" s="302"/>
      <c r="H675" s="302"/>
      <c r="I675" s="303"/>
      <c r="J675" s="302"/>
      <c r="K675" s="302"/>
      <c r="L675" s="302"/>
      <c r="M675" s="236"/>
    </row>
    <row r="676" spans="1:13" x14ac:dyDescent="0.2">
      <c r="A676" s="237"/>
      <c r="B676" s="302"/>
      <c r="C676" s="302"/>
      <c r="D676" s="302"/>
      <c r="E676" s="303"/>
      <c r="F676" s="302"/>
      <c r="G676" s="302"/>
      <c r="H676" s="302"/>
      <c r="I676" s="303"/>
      <c r="J676" s="302"/>
      <c r="K676" s="302"/>
      <c r="L676" s="302"/>
      <c r="M676" s="236"/>
    </row>
    <row r="677" spans="1:13" x14ac:dyDescent="0.2">
      <c r="A677" s="237"/>
      <c r="B677" s="302"/>
      <c r="C677" s="302"/>
      <c r="D677" s="302"/>
      <c r="E677" s="303"/>
      <c r="F677" s="302"/>
      <c r="G677" s="302"/>
      <c r="H677" s="302"/>
      <c r="I677" s="303"/>
      <c r="J677" s="302"/>
      <c r="K677" s="302"/>
      <c r="L677" s="302"/>
      <c r="M677" s="236"/>
    </row>
    <row r="678" spans="1:13" x14ac:dyDescent="0.2">
      <c r="A678" s="237"/>
      <c r="B678" s="302"/>
      <c r="C678" s="302"/>
      <c r="D678" s="302"/>
      <c r="E678" s="303"/>
      <c r="F678" s="302"/>
      <c r="G678" s="302"/>
      <c r="H678" s="302"/>
      <c r="I678" s="303"/>
      <c r="J678" s="302"/>
      <c r="K678" s="302"/>
      <c r="L678" s="302"/>
      <c r="M678" s="236"/>
    </row>
    <row r="679" spans="1:13" x14ac:dyDescent="0.2">
      <c r="A679" s="237"/>
      <c r="B679" s="302"/>
      <c r="C679" s="302"/>
      <c r="D679" s="302"/>
      <c r="E679" s="303"/>
      <c r="F679" s="302"/>
      <c r="G679" s="302"/>
      <c r="H679" s="302"/>
      <c r="I679" s="303"/>
      <c r="J679" s="302"/>
      <c r="K679" s="302"/>
      <c r="L679" s="302"/>
      <c r="M679" s="236"/>
    </row>
    <row r="680" spans="1:13" x14ac:dyDescent="0.2">
      <c r="A680" s="237"/>
      <c r="B680" s="302"/>
      <c r="C680" s="302"/>
      <c r="D680" s="302"/>
      <c r="E680" s="303"/>
      <c r="F680" s="302"/>
      <c r="G680" s="302"/>
      <c r="H680" s="302"/>
      <c r="I680" s="303"/>
      <c r="J680" s="302"/>
      <c r="K680" s="302"/>
      <c r="L680" s="302"/>
      <c r="M680" s="236"/>
    </row>
    <row r="681" spans="1:13" x14ac:dyDescent="0.2">
      <c r="A681" s="237"/>
      <c r="B681" s="302"/>
      <c r="C681" s="302"/>
      <c r="D681" s="302"/>
      <c r="E681" s="303"/>
      <c r="F681" s="302"/>
      <c r="G681" s="302"/>
      <c r="H681" s="302"/>
      <c r="I681" s="303"/>
      <c r="J681" s="302"/>
      <c r="K681" s="302"/>
      <c r="L681" s="302"/>
      <c r="M681" s="236"/>
    </row>
    <row r="682" spans="1:13" x14ac:dyDescent="0.2">
      <c r="A682" s="237"/>
      <c r="B682" s="303"/>
      <c r="C682" s="303"/>
      <c r="D682" s="303"/>
      <c r="E682" s="303"/>
      <c r="F682" s="303"/>
      <c r="G682" s="303"/>
      <c r="H682" s="303"/>
      <c r="I682" s="303"/>
      <c r="J682" s="303"/>
      <c r="K682" s="303"/>
      <c r="L682" s="303"/>
      <c r="M682" s="236"/>
    </row>
    <row r="683" spans="1:13" x14ac:dyDescent="0.2">
      <c r="A683" s="237"/>
      <c r="B683" s="237"/>
      <c r="C683" s="237"/>
      <c r="D683" s="237"/>
      <c r="E683" s="237"/>
      <c r="F683" s="237"/>
      <c r="G683" s="237"/>
      <c r="H683" s="237"/>
      <c r="I683" s="237"/>
      <c r="J683" s="237"/>
      <c r="K683" s="237"/>
      <c r="L683" s="240"/>
      <c r="M683" s="236"/>
    </row>
    <row r="684" spans="1:13" x14ac:dyDescent="0.2">
      <c r="A684" s="237"/>
      <c r="B684" s="237"/>
      <c r="C684" s="237"/>
      <c r="D684" s="237"/>
      <c r="E684" s="237"/>
      <c r="F684" s="237"/>
      <c r="G684" s="237"/>
      <c r="H684" s="237"/>
      <c r="I684" s="237"/>
      <c r="J684" s="237"/>
      <c r="K684" s="237"/>
      <c r="L684" s="284"/>
      <c r="M684" s="236"/>
    </row>
    <row r="685" spans="1:13" x14ac:dyDescent="0.2">
      <c r="A685" s="258"/>
      <c r="B685" s="241"/>
      <c r="C685" s="241"/>
      <c r="D685" s="241"/>
      <c r="E685" s="241"/>
      <c r="F685" s="241"/>
      <c r="G685" s="241"/>
      <c r="H685" s="241"/>
      <c r="I685" s="241"/>
      <c r="J685" s="241"/>
      <c r="K685" s="241"/>
      <c r="L685" s="236"/>
      <c r="M685" s="236"/>
    </row>
    <row r="686" spans="1:13" x14ac:dyDescent="0.2">
      <c r="A686" s="241"/>
      <c r="B686" s="375"/>
      <c r="C686" s="375"/>
      <c r="D686" s="375"/>
      <c r="E686" s="253"/>
      <c r="F686" s="375"/>
      <c r="G686" s="375"/>
      <c r="H686" s="375"/>
      <c r="I686" s="253"/>
      <c r="J686" s="375"/>
      <c r="K686" s="375"/>
      <c r="L686" s="375"/>
      <c r="M686" s="236"/>
    </row>
    <row r="687" spans="1:13" x14ac:dyDescent="0.2">
      <c r="A687" s="258"/>
      <c r="B687" s="259"/>
      <c r="C687" s="259"/>
      <c r="D687" s="259"/>
      <c r="E687" s="259"/>
      <c r="F687" s="259"/>
      <c r="G687" s="259"/>
      <c r="H687" s="259"/>
      <c r="I687" s="259"/>
      <c r="J687" s="259"/>
      <c r="K687" s="259"/>
      <c r="L687" s="259"/>
      <c r="M687" s="236"/>
    </row>
    <row r="688" spans="1:13" x14ac:dyDescent="0.2">
      <c r="A688" s="258"/>
      <c r="B688" s="259"/>
      <c r="C688" s="259"/>
      <c r="D688" s="259"/>
      <c r="E688" s="259"/>
      <c r="F688" s="259"/>
      <c r="G688" s="259"/>
      <c r="H688" s="259"/>
      <c r="I688" s="259"/>
      <c r="J688" s="259"/>
      <c r="K688" s="259"/>
      <c r="L688" s="259"/>
      <c r="M688" s="236"/>
    </row>
    <row r="689" spans="1:13" x14ac:dyDescent="0.2">
      <c r="A689" s="237"/>
      <c r="B689" s="302"/>
      <c r="C689" s="302"/>
      <c r="D689" s="302"/>
      <c r="E689" s="303"/>
      <c r="F689" s="302"/>
      <c r="G689" s="302"/>
      <c r="H689" s="302"/>
      <c r="I689" s="303"/>
      <c r="J689" s="302"/>
      <c r="K689" s="302"/>
      <c r="L689" s="302"/>
      <c r="M689" s="236"/>
    </row>
    <row r="690" spans="1:13" x14ac:dyDescent="0.2">
      <c r="A690" s="237"/>
      <c r="B690" s="302"/>
      <c r="C690" s="302"/>
      <c r="D690" s="302"/>
      <c r="E690" s="303"/>
      <c r="F690" s="302"/>
      <c r="G690" s="302"/>
      <c r="H690" s="302"/>
      <c r="I690" s="303"/>
      <c r="J690" s="302"/>
      <c r="K690" s="302"/>
      <c r="L690" s="302"/>
      <c r="M690" s="236"/>
    </row>
    <row r="691" spans="1:13" x14ac:dyDescent="0.2">
      <c r="A691" s="237"/>
      <c r="B691" s="302"/>
      <c r="C691" s="302"/>
      <c r="D691" s="302"/>
      <c r="E691" s="303"/>
      <c r="F691" s="302"/>
      <c r="G691" s="302"/>
      <c r="H691" s="302"/>
      <c r="I691" s="303"/>
      <c r="J691" s="302"/>
      <c r="K691" s="302"/>
      <c r="L691" s="302"/>
      <c r="M691" s="236"/>
    </row>
    <row r="692" spans="1:13" x14ac:dyDescent="0.2">
      <c r="A692" s="237"/>
      <c r="B692" s="302"/>
      <c r="C692" s="302"/>
      <c r="D692" s="302"/>
      <c r="E692" s="303"/>
      <c r="F692" s="302"/>
      <c r="G692" s="302"/>
      <c r="H692" s="302"/>
      <c r="I692" s="303"/>
      <c r="J692" s="302"/>
      <c r="K692" s="302"/>
      <c r="L692" s="302"/>
      <c r="M692" s="236"/>
    </row>
    <row r="693" spans="1:13" x14ac:dyDescent="0.2">
      <c r="A693" s="237"/>
      <c r="B693" s="302"/>
      <c r="C693" s="302"/>
      <c r="D693" s="302"/>
      <c r="E693" s="303"/>
      <c r="F693" s="302"/>
      <c r="G693" s="302"/>
      <c r="H693" s="302"/>
      <c r="I693" s="303"/>
      <c r="J693" s="302"/>
      <c r="K693" s="302"/>
      <c r="L693" s="302"/>
      <c r="M693" s="236"/>
    </row>
    <row r="694" spans="1:13" x14ac:dyDescent="0.2">
      <c r="A694" s="237"/>
      <c r="B694" s="302"/>
      <c r="C694" s="302"/>
      <c r="D694" s="302"/>
      <c r="E694" s="303"/>
      <c r="F694" s="302"/>
      <c r="G694" s="302"/>
      <c r="H694" s="302"/>
      <c r="I694" s="303"/>
      <c r="J694" s="302"/>
      <c r="K694" s="302"/>
      <c r="L694" s="302"/>
      <c r="M694" s="236"/>
    </row>
    <row r="695" spans="1:13" x14ac:dyDescent="0.2">
      <c r="A695" s="237"/>
      <c r="B695" s="302"/>
      <c r="C695" s="302"/>
      <c r="D695" s="302"/>
      <c r="E695" s="303"/>
      <c r="F695" s="302"/>
      <c r="G695" s="302"/>
      <c r="H695" s="302"/>
      <c r="I695" s="303"/>
      <c r="J695" s="302"/>
      <c r="K695" s="302"/>
      <c r="L695" s="302"/>
      <c r="M695" s="236"/>
    </row>
    <row r="696" spans="1:13" x14ac:dyDescent="0.2">
      <c r="A696" s="237"/>
      <c r="B696" s="302"/>
      <c r="C696" s="302"/>
      <c r="D696" s="302"/>
      <c r="E696" s="303"/>
      <c r="F696" s="302"/>
      <c r="G696" s="302"/>
      <c r="H696" s="302"/>
      <c r="I696" s="303"/>
      <c r="J696" s="302"/>
      <c r="K696" s="302"/>
      <c r="L696" s="302"/>
      <c r="M696" s="236"/>
    </row>
    <row r="697" spans="1:13" x14ac:dyDescent="0.2">
      <c r="A697" s="237"/>
      <c r="B697" s="302"/>
      <c r="C697" s="302"/>
      <c r="D697" s="302"/>
      <c r="E697" s="303"/>
      <c r="F697" s="302"/>
      <c r="G697" s="302"/>
      <c r="H697" s="302"/>
      <c r="I697" s="303"/>
      <c r="J697" s="302"/>
      <c r="K697" s="302"/>
      <c r="L697" s="302"/>
      <c r="M697" s="236"/>
    </row>
    <row r="698" spans="1:13" x14ac:dyDescent="0.2">
      <c r="A698" s="237"/>
      <c r="B698" s="302"/>
      <c r="C698" s="302"/>
      <c r="D698" s="302"/>
      <c r="E698" s="303"/>
      <c r="F698" s="302"/>
      <c r="G698" s="302"/>
      <c r="H698" s="302"/>
      <c r="I698" s="303"/>
      <c r="J698" s="302"/>
      <c r="K698" s="302"/>
      <c r="L698" s="302"/>
      <c r="M698" s="236"/>
    </row>
    <row r="699" spans="1:13" x14ac:dyDescent="0.2">
      <c r="A699" s="237"/>
      <c r="B699" s="303"/>
      <c r="C699" s="303"/>
      <c r="D699" s="303"/>
      <c r="E699" s="303"/>
      <c r="F699" s="303"/>
      <c r="G699" s="303"/>
      <c r="H699" s="303"/>
      <c r="I699" s="303"/>
      <c r="J699" s="303"/>
      <c r="K699" s="303"/>
      <c r="L699" s="303"/>
      <c r="M699" s="236"/>
    </row>
    <row r="700" spans="1:13" x14ac:dyDescent="0.2">
      <c r="A700" s="237"/>
      <c r="B700" s="237"/>
      <c r="C700" s="237"/>
      <c r="D700" s="237"/>
      <c r="E700" s="237"/>
      <c r="F700" s="237"/>
      <c r="G700" s="237"/>
      <c r="H700" s="237"/>
      <c r="I700" s="237"/>
      <c r="J700" s="237"/>
      <c r="K700" s="237"/>
      <c r="L700" s="240"/>
      <c r="M700" s="236"/>
    </row>
    <row r="701" spans="1:13" x14ac:dyDescent="0.2">
      <c r="A701" s="237"/>
      <c r="B701" s="237"/>
      <c r="C701" s="237"/>
      <c r="D701" s="237"/>
      <c r="E701" s="237"/>
      <c r="F701" s="237"/>
      <c r="G701" s="237"/>
      <c r="H701" s="237"/>
      <c r="I701" s="237"/>
      <c r="J701" s="237"/>
      <c r="K701" s="237"/>
      <c r="L701" s="284"/>
      <c r="M701" s="236"/>
    </row>
    <row r="702" spans="1:13" x14ac:dyDescent="0.2">
      <c r="A702" s="258"/>
      <c r="B702" s="241"/>
      <c r="C702" s="241"/>
      <c r="D702" s="241"/>
      <c r="E702" s="241"/>
      <c r="F702" s="241"/>
      <c r="G702" s="241"/>
      <c r="H702" s="241"/>
      <c r="I702" s="241"/>
      <c r="J702" s="241"/>
      <c r="K702" s="241"/>
      <c r="L702" s="236"/>
      <c r="M702" s="236"/>
    </row>
    <row r="703" spans="1:13" x14ac:dyDescent="0.2">
      <c r="A703" s="241"/>
      <c r="B703" s="375"/>
      <c r="C703" s="375"/>
      <c r="D703" s="375"/>
      <c r="E703" s="253"/>
      <c r="F703" s="375"/>
      <c r="G703" s="375"/>
      <c r="H703" s="375"/>
      <c r="I703" s="253"/>
      <c r="J703" s="375"/>
      <c r="K703" s="375"/>
      <c r="L703" s="375"/>
      <c r="M703" s="236"/>
    </row>
    <row r="704" spans="1:13" x14ac:dyDescent="0.2">
      <c r="A704" s="258"/>
      <c r="B704" s="259"/>
      <c r="C704" s="259"/>
      <c r="D704" s="259"/>
      <c r="E704" s="259"/>
      <c r="F704" s="259"/>
      <c r="G704" s="259"/>
      <c r="H704" s="259"/>
      <c r="I704" s="259"/>
      <c r="J704" s="259"/>
      <c r="K704" s="259"/>
      <c r="L704" s="259"/>
      <c r="M704" s="236"/>
    </row>
    <row r="705" spans="1:13" x14ac:dyDescent="0.2">
      <c r="A705" s="258"/>
      <c r="B705" s="259"/>
      <c r="C705" s="259"/>
      <c r="D705" s="259"/>
      <c r="E705" s="259"/>
      <c r="F705" s="259"/>
      <c r="G705" s="259"/>
      <c r="H705" s="259"/>
      <c r="I705" s="259"/>
      <c r="J705" s="259"/>
      <c r="K705" s="259"/>
      <c r="L705" s="259"/>
      <c r="M705" s="236"/>
    </row>
    <row r="706" spans="1:13" x14ac:dyDescent="0.2">
      <c r="A706" s="237"/>
      <c r="B706" s="302"/>
      <c r="C706" s="302"/>
      <c r="D706" s="302"/>
      <c r="E706" s="303"/>
      <c r="F706" s="302"/>
      <c r="G706" s="302"/>
      <c r="H706" s="302"/>
      <c r="I706" s="303"/>
      <c r="J706" s="302"/>
      <c r="K706" s="302"/>
      <c r="L706" s="302"/>
      <c r="M706" s="236"/>
    </row>
    <row r="707" spans="1:13" x14ac:dyDescent="0.2">
      <c r="A707" s="237"/>
      <c r="B707" s="302"/>
      <c r="C707" s="302"/>
      <c r="D707" s="302"/>
      <c r="E707" s="303"/>
      <c r="F707" s="302"/>
      <c r="G707" s="302"/>
      <c r="H707" s="302"/>
      <c r="I707" s="303"/>
      <c r="J707" s="302"/>
      <c r="K707" s="302"/>
      <c r="L707" s="302"/>
      <c r="M707" s="236"/>
    </row>
    <row r="708" spans="1:13" x14ac:dyDescent="0.2">
      <c r="A708" s="237"/>
      <c r="B708" s="302"/>
      <c r="C708" s="302"/>
      <c r="D708" s="302"/>
      <c r="E708" s="303"/>
      <c r="F708" s="302"/>
      <c r="G708" s="302"/>
      <c r="H708" s="302"/>
      <c r="I708" s="303"/>
      <c r="J708" s="302"/>
      <c r="K708" s="302"/>
      <c r="L708" s="302"/>
      <c r="M708" s="236"/>
    </row>
    <row r="709" spans="1:13" x14ac:dyDescent="0.2">
      <c r="A709" s="237"/>
      <c r="B709" s="302"/>
      <c r="C709" s="302"/>
      <c r="D709" s="302"/>
      <c r="E709" s="303"/>
      <c r="F709" s="302"/>
      <c r="G709" s="302"/>
      <c r="H709" s="302"/>
      <c r="I709" s="303"/>
      <c r="J709" s="302"/>
      <c r="K709" s="302"/>
      <c r="L709" s="302"/>
      <c r="M709" s="236"/>
    </row>
    <row r="710" spans="1:13" x14ac:dyDescent="0.2">
      <c r="A710" s="237"/>
      <c r="B710" s="302"/>
      <c r="C710" s="302"/>
      <c r="D710" s="302"/>
      <c r="E710" s="303"/>
      <c r="F710" s="302"/>
      <c r="G710" s="302"/>
      <c r="H710" s="302"/>
      <c r="I710" s="303"/>
      <c r="J710" s="302"/>
      <c r="K710" s="302"/>
      <c r="L710" s="302"/>
      <c r="M710" s="236"/>
    </row>
    <row r="711" spans="1:13" x14ac:dyDescent="0.2">
      <c r="A711" s="237"/>
      <c r="B711" s="302"/>
      <c r="C711" s="302"/>
      <c r="D711" s="302"/>
      <c r="E711" s="303"/>
      <c r="F711" s="302"/>
      <c r="G711" s="302"/>
      <c r="H711" s="302"/>
      <c r="I711" s="303"/>
      <c r="J711" s="302"/>
      <c r="K711" s="302"/>
      <c r="L711" s="302"/>
      <c r="M711" s="236"/>
    </row>
    <row r="712" spans="1:13" x14ac:dyDescent="0.2">
      <c r="A712" s="237"/>
      <c r="B712" s="302"/>
      <c r="C712" s="302"/>
      <c r="D712" s="302"/>
      <c r="E712" s="303"/>
      <c r="F712" s="302"/>
      <c r="G712" s="302"/>
      <c r="H712" s="302"/>
      <c r="I712" s="303"/>
      <c r="J712" s="302"/>
      <c r="K712" s="302"/>
      <c r="L712" s="302"/>
      <c r="M712" s="236"/>
    </row>
    <row r="713" spans="1:13" x14ac:dyDescent="0.2">
      <c r="A713" s="237"/>
      <c r="B713" s="302"/>
      <c r="C713" s="302"/>
      <c r="D713" s="302"/>
      <c r="E713" s="303"/>
      <c r="F713" s="302"/>
      <c r="G713" s="302"/>
      <c r="H713" s="302"/>
      <c r="I713" s="303"/>
      <c r="J713" s="302"/>
      <c r="K713" s="302"/>
      <c r="L713" s="302"/>
      <c r="M713" s="236"/>
    </row>
    <row r="714" spans="1:13" x14ac:dyDescent="0.2">
      <c r="A714" s="237"/>
      <c r="B714" s="302"/>
      <c r="C714" s="302"/>
      <c r="D714" s="302"/>
      <c r="E714" s="303"/>
      <c r="F714" s="302"/>
      <c r="G714" s="302"/>
      <c r="H714" s="302"/>
      <c r="I714" s="303"/>
      <c r="J714" s="302"/>
      <c r="K714" s="302"/>
      <c r="L714" s="302"/>
      <c r="M714" s="236"/>
    </row>
    <row r="715" spans="1:13" x14ac:dyDescent="0.2">
      <c r="A715" s="237"/>
      <c r="B715" s="302"/>
      <c r="C715" s="302"/>
      <c r="D715" s="302"/>
      <c r="E715" s="303"/>
      <c r="F715" s="302"/>
      <c r="G715" s="302"/>
      <c r="H715" s="302"/>
      <c r="I715" s="303"/>
      <c r="J715" s="302"/>
      <c r="K715" s="302"/>
      <c r="L715" s="302"/>
      <c r="M715" s="236"/>
    </row>
    <row r="716" spans="1:13" x14ac:dyDescent="0.2">
      <c r="A716" s="237"/>
      <c r="B716" s="303"/>
      <c r="C716" s="303"/>
      <c r="D716" s="303"/>
      <c r="E716" s="303"/>
      <c r="F716" s="303"/>
      <c r="G716" s="303"/>
      <c r="H716" s="303"/>
      <c r="I716" s="303"/>
      <c r="J716" s="303"/>
      <c r="K716" s="303"/>
      <c r="L716" s="303"/>
      <c r="M716" s="236"/>
    </row>
    <row r="717" spans="1:13" x14ac:dyDescent="0.2">
      <c r="A717" s="237"/>
      <c r="B717" s="237"/>
      <c r="C717" s="237"/>
      <c r="D717" s="237"/>
      <c r="E717" s="237"/>
      <c r="F717" s="237"/>
      <c r="G717" s="237"/>
      <c r="H717" s="237"/>
      <c r="I717" s="237"/>
      <c r="J717" s="237"/>
      <c r="K717" s="237"/>
      <c r="L717" s="240"/>
      <c r="M717" s="236"/>
    </row>
    <row r="718" spans="1:13" x14ac:dyDescent="0.2">
      <c r="A718" s="237"/>
      <c r="B718" s="237"/>
      <c r="C718" s="237"/>
      <c r="D718" s="237"/>
      <c r="E718" s="237"/>
      <c r="F718" s="237"/>
      <c r="G718" s="237"/>
      <c r="H718" s="237"/>
      <c r="I718" s="237"/>
      <c r="J718" s="237"/>
      <c r="K718" s="237"/>
      <c r="L718" s="284"/>
      <c r="M718" s="236"/>
    </row>
    <row r="719" spans="1:13" x14ac:dyDescent="0.2">
      <c r="A719" s="258"/>
      <c r="B719" s="241"/>
      <c r="C719" s="241"/>
      <c r="D719" s="241"/>
      <c r="E719" s="241"/>
      <c r="F719" s="241"/>
      <c r="G719" s="241"/>
      <c r="H719" s="241"/>
      <c r="I719" s="241"/>
      <c r="J719" s="241"/>
      <c r="K719" s="241"/>
      <c r="L719" s="236"/>
      <c r="M719" s="236"/>
    </row>
    <row r="720" spans="1:13" x14ac:dyDescent="0.2">
      <c r="A720" s="241"/>
      <c r="B720" s="375"/>
      <c r="C720" s="375"/>
      <c r="D720" s="375"/>
      <c r="E720" s="253"/>
      <c r="F720" s="375"/>
      <c r="G720" s="375"/>
      <c r="H720" s="375"/>
      <c r="I720" s="253"/>
      <c r="J720" s="375"/>
      <c r="K720" s="375"/>
      <c r="L720" s="375"/>
      <c r="M720" s="236"/>
    </row>
    <row r="721" spans="1:13" x14ac:dyDescent="0.2">
      <c r="A721" s="258"/>
      <c r="B721" s="259"/>
      <c r="C721" s="259"/>
      <c r="D721" s="259"/>
      <c r="E721" s="259"/>
      <c r="F721" s="259"/>
      <c r="G721" s="259"/>
      <c r="H721" s="259"/>
      <c r="I721" s="259"/>
      <c r="J721" s="259"/>
      <c r="K721" s="259"/>
      <c r="L721" s="259"/>
      <c r="M721" s="236"/>
    </row>
    <row r="722" spans="1:13" x14ac:dyDescent="0.2">
      <c r="A722" s="258"/>
      <c r="B722" s="259"/>
      <c r="C722" s="259"/>
      <c r="D722" s="259"/>
      <c r="E722" s="259"/>
      <c r="F722" s="259"/>
      <c r="G722" s="259"/>
      <c r="H722" s="259"/>
      <c r="I722" s="259"/>
      <c r="J722" s="259"/>
      <c r="K722" s="259"/>
      <c r="L722" s="259"/>
      <c r="M722" s="236"/>
    </row>
    <row r="723" spans="1:13" x14ac:dyDescent="0.2">
      <c r="A723" s="237"/>
      <c r="B723" s="302"/>
      <c r="C723" s="302"/>
      <c r="D723" s="302"/>
      <c r="E723" s="303"/>
      <c r="F723" s="302"/>
      <c r="G723" s="302"/>
      <c r="H723" s="302"/>
      <c r="I723" s="303"/>
      <c r="J723" s="302"/>
      <c r="K723" s="302"/>
      <c r="L723" s="302"/>
      <c r="M723" s="236"/>
    </row>
    <row r="724" spans="1:13" x14ac:dyDescent="0.2">
      <c r="A724" s="237"/>
      <c r="B724" s="302"/>
      <c r="C724" s="302"/>
      <c r="D724" s="302"/>
      <c r="E724" s="303"/>
      <c r="F724" s="302"/>
      <c r="G724" s="302"/>
      <c r="H724" s="302"/>
      <c r="I724" s="303"/>
      <c r="J724" s="302"/>
      <c r="K724" s="302"/>
      <c r="L724" s="302"/>
      <c r="M724" s="236"/>
    </row>
    <row r="725" spans="1:13" x14ac:dyDescent="0.2">
      <c r="A725" s="237"/>
      <c r="B725" s="302"/>
      <c r="C725" s="302"/>
      <c r="D725" s="302"/>
      <c r="E725" s="303"/>
      <c r="F725" s="302"/>
      <c r="G725" s="302"/>
      <c r="H725" s="302"/>
      <c r="I725" s="303"/>
      <c r="J725" s="302"/>
      <c r="K725" s="302"/>
      <c r="L725" s="302"/>
      <c r="M725" s="236"/>
    </row>
    <row r="726" spans="1:13" x14ac:dyDescent="0.2">
      <c r="A726" s="237"/>
      <c r="B726" s="302"/>
      <c r="C726" s="302"/>
      <c r="D726" s="302"/>
      <c r="E726" s="303"/>
      <c r="F726" s="302"/>
      <c r="G726" s="302"/>
      <c r="H726" s="302"/>
      <c r="I726" s="303"/>
      <c r="J726" s="302"/>
      <c r="K726" s="302"/>
      <c r="L726" s="302"/>
      <c r="M726" s="236"/>
    </row>
    <row r="727" spans="1:13" x14ac:dyDescent="0.2">
      <c r="A727" s="237"/>
      <c r="B727" s="302"/>
      <c r="C727" s="302"/>
      <c r="D727" s="302"/>
      <c r="E727" s="303"/>
      <c r="F727" s="302"/>
      <c r="G727" s="302"/>
      <c r="H727" s="302"/>
      <c r="I727" s="303"/>
      <c r="J727" s="302"/>
      <c r="K727" s="302"/>
      <c r="L727" s="302"/>
      <c r="M727" s="236"/>
    </row>
    <row r="728" spans="1:13" x14ac:dyDescent="0.2">
      <c r="A728" s="237"/>
      <c r="B728" s="302"/>
      <c r="C728" s="302"/>
      <c r="D728" s="302"/>
      <c r="E728" s="303"/>
      <c r="F728" s="302"/>
      <c r="G728" s="302"/>
      <c r="H728" s="302"/>
      <c r="I728" s="303"/>
      <c r="J728" s="302"/>
      <c r="K728" s="302"/>
      <c r="L728" s="302"/>
      <c r="M728" s="236"/>
    </row>
    <row r="729" spans="1:13" x14ac:dyDescent="0.2">
      <c r="A729" s="237"/>
      <c r="B729" s="302"/>
      <c r="C729" s="302"/>
      <c r="D729" s="302"/>
      <c r="E729" s="303"/>
      <c r="F729" s="302"/>
      <c r="G729" s="302"/>
      <c r="H729" s="302"/>
      <c r="I729" s="303"/>
      <c r="J729" s="302"/>
      <c r="K729" s="302"/>
      <c r="L729" s="302"/>
      <c r="M729" s="236"/>
    </row>
    <row r="730" spans="1:13" x14ac:dyDescent="0.2">
      <c r="A730" s="237"/>
      <c r="B730" s="302"/>
      <c r="C730" s="302"/>
      <c r="D730" s="302"/>
      <c r="E730" s="303"/>
      <c r="F730" s="302"/>
      <c r="G730" s="302"/>
      <c r="H730" s="302"/>
      <c r="I730" s="303"/>
      <c r="J730" s="302"/>
      <c r="K730" s="302"/>
      <c r="L730" s="302"/>
      <c r="M730" s="236"/>
    </row>
    <row r="731" spans="1:13" x14ac:dyDescent="0.2">
      <c r="A731" s="237"/>
      <c r="B731" s="302"/>
      <c r="C731" s="302"/>
      <c r="D731" s="302"/>
      <c r="E731" s="303"/>
      <c r="F731" s="302"/>
      <c r="G731" s="302"/>
      <c r="H731" s="302"/>
      <c r="I731" s="303"/>
      <c r="J731" s="302"/>
      <c r="K731" s="302"/>
      <c r="L731" s="302"/>
      <c r="M731" s="236"/>
    </row>
    <row r="732" spans="1:13" x14ac:dyDescent="0.2">
      <c r="A732" s="237"/>
      <c r="B732" s="302"/>
      <c r="C732" s="302"/>
      <c r="D732" s="302"/>
      <c r="E732" s="303"/>
      <c r="F732" s="302"/>
      <c r="G732" s="302"/>
      <c r="H732" s="302"/>
      <c r="I732" s="303"/>
      <c r="J732" s="302"/>
      <c r="K732" s="302"/>
      <c r="L732" s="302"/>
      <c r="M732" s="236"/>
    </row>
    <row r="733" spans="1:13" x14ac:dyDescent="0.2">
      <c r="A733" s="237"/>
      <c r="B733" s="303"/>
      <c r="C733" s="303"/>
      <c r="D733" s="303"/>
      <c r="E733" s="303"/>
      <c r="F733" s="303"/>
      <c r="G733" s="303"/>
      <c r="H733" s="303"/>
      <c r="I733" s="303"/>
      <c r="J733" s="303"/>
      <c r="K733" s="303"/>
      <c r="L733" s="303"/>
      <c r="M733" s="236"/>
    </row>
    <row r="734" spans="1:13" x14ac:dyDescent="0.2">
      <c r="A734" s="237"/>
      <c r="B734" s="237"/>
      <c r="C734" s="237"/>
      <c r="D734" s="237"/>
      <c r="E734" s="237"/>
      <c r="F734" s="237"/>
      <c r="G734" s="237"/>
      <c r="H734" s="237"/>
      <c r="I734" s="237"/>
      <c r="J734" s="237"/>
      <c r="K734" s="237"/>
      <c r="L734" s="240"/>
      <c r="M734" s="236"/>
    </row>
    <row r="735" spans="1:13" x14ac:dyDescent="0.2">
      <c r="A735" s="237"/>
      <c r="B735" s="237"/>
      <c r="C735" s="237"/>
      <c r="D735" s="237"/>
      <c r="E735" s="237"/>
      <c r="F735" s="237"/>
      <c r="G735" s="237"/>
      <c r="H735" s="237"/>
      <c r="I735" s="237"/>
      <c r="J735" s="237"/>
      <c r="K735" s="237"/>
      <c r="L735" s="284"/>
      <c r="M735" s="236"/>
    </row>
    <row r="736" spans="1:13" x14ac:dyDescent="0.2">
      <c r="A736" s="258"/>
      <c r="B736" s="241"/>
      <c r="C736" s="241"/>
      <c r="D736" s="241"/>
      <c r="E736" s="241"/>
      <c r="F736" s="241"/>
      <c r="G736" s="241"/>
      <c r="H736" s="241"/>
      <c r="I736" s="241"/>
      <c r="J736" s="241"/>
      <c r="K736" s="241"/>
      <c r="L736" s="236"/>
      <c r="M736" s="236"/>
    </row>
    <row r="737" spans="1:13" x14ac:dyDescent="0.2">
      <c r="A737" s="241"/>
      <c r="B737" s="375"/>
      <c r="C737" s="375"/>
      <c r="D737" s="375"/>
      <c r="E737" s="253"/>
      <c r="F737" s="375"/>
      <c r="G737" s="375"/>
      <c r="H737" s="375"/>
      <c r="I737" s="253"/>
      <c r="J737" s="375"/>
      <c r="K737" s="375"/>
      <c r="L737" s="375"/>
      <c r="M737" s="236"/>
    </row>
    <row r="738" spans="1:13" x14ac:dyDescent="0.2">
      <c r="A738" s="258"/>
      <c r="B738" s="259"/>
      <c r="C738" s="259"/>
      <c r="D738" s="259"/>
      <c r="E738" s="259"/>
      <c r="F738" s="259"/>
      <c r="G738" s="259"/>
      <c r="H738" s="259"/>
      <c r="I738" s="259"/>
      <c r="J738" s="259"/>
      <c r="K738" s="259"/>
      <c r="L738" s="259"/>
      <c r="M738" s="236"/>
    </row>
    <row r="739" spans="1:13" x14ac:dyDescent="0.2">
      <c r="A739" s="258"/>
      <c r="B739" s="259"/>
      <c r="C739" s="259"/>
      <c r="D739" s="259"/>
      <c r="E739" s="259"/>
      <c r="F739" s="259"/>
      <c r="G739" s="259"/>
      <c r="H739" s="259"/>
      <c r="I739" s="259"/>
      <c r="J739" s="259"/>
      <c r="K739" s="259"/>
      <c r="L739" s="259"/>
      <c r="M739" s="236"/>
    </row>
    <row r="740" spans="1:13" x14ac:dyDescent="0.2">
      <c r="A740" s="237"/>
      <c r="B740" s="302"/>
      <c r="C740" s="302"/>
      <c r="D740" s="302"/>
      <c r="E740" s="303"/>
      <c r="F740" s="302"/>
      <c r="G740" s="302"/>
      <c r="H740" s="302"/>
      <c r="I740" s="303"/>
      <c r="J740" s="302"/>
      <c r="K740" s="302"/>
      <c r="L740" s="302"/>
      <c r="M740" s="236"/>
    </row>
    <row r="741" spans="1:13" x14ac:dyDescent="0.2">
      <c r="A741" s="237"/>
      <c r="B741" s="302"/>
      <c r="C741" s="302"/>
      <c r="D741" s="302"/>
      <c r="E741" s="303"/>
      <c r="F741" s="302"/>
      <c r="G741" s="302"/>
      <c r="H741" s="302"/>
      <c r="I741" s="303"/>
      <c r="J741" s="302"/>
      <c r="K741" s="302"/>
      <c r="L741" s="302"/>
      <c r="M741" s="236"/>
    </row>
    <row r="742" spans="1:13" x14ac:dyDescent="0.2">
      <c r="A742" s="237"/>
      <c r="B742" s="302"/>
      <c r="C742" s="302"/>
      <c r="D742" s="302"/>
      <c r="E742" s="303"/>
      <c r="F742" s="302"/>
      <c r="G742" s="302"/>
      <c r="H742" s="302"/>
      <c r="I742" s="303"/>
      <c r="J742" s="302"/>
      <c r="K742" s="302"/>
      <c r="L742" s="302"/>
      <c r="M742" s="236"/>
    </row>
    <row r="743" spans="1:13" x14ac:dyDescent="0.2">
      <c r="A743" s="237"/>
      <c r="B743" s="302"/>
      <c r="C743" s="302"/>
      <c r="D743" s="302"/>
      <c r="E743" s="303"/>
      <c r="F743" s="302"/>
      <c r="G743" s="302"/>
      <c r="H743" s="302"/>
      <c r="I743" s="303"/>
      <c r="J743" s="302"/>
      <c r="K743" s="302"/>
      <c r="L743" s="302"/>
      <c r="M743" s="236"/>
    </row>
    <row r="744" spans="1:13" x14ac:dyDescent="0.2">
      <c r="A744" s="237"/>
      <c r="B744" s="302"/>
      <c r="C744" s="302"/>
      <c r="D744" s="302"/>
      <c r="E744" s="303"/>
      <c r="F744" s="302"/>
      <c r="G744" s="302"/>
      <c r="H744" s="302"/>
      <c r="I744" s="303"/>
      <c r="J744" s="302"/>
      <c r="K744" s="302"/>
      <c r="L744" s="302"/>
      <c r="M744" s="236"/>
    </row>
    <row r="745" spans="1:13" x14ac:dyDescent="0.2">
      <c r="A745" s="237"/>
      <c r="B745" s="302"/>
      <c r="C745" s="302"/>
      <c r="D745" s="302"/>
      <c r="E745" s="303"/>
      <c r="F745" s="302"/>
      <c r="G745" s="302"/>
      <c r="H745" s="302"/>
      <c r="I745" s="303"/>
      <c r="J745" s="302"/>
      <c r="K745" s="302"/>
      <c r="L745" s="302"/>
      <c r="M745" s="236"/>
    </row>
    <row r="746" spans="1:13" x14ac:dyDescent="0.2">
      <c r="A746" s="237"/>
      <c r="B746" s="302"/>
      <c r="C746" s="302"/>
      <c r="D746" s="302"/>
      <c r="E746" s="303"/>
      <c r="F746" s="302"/>
      <c r="G746" s="302"/>
      <c r="H746" s="302"/>
      <c r="I746" s="303"/>
      <c r="J746" s="302"/>
      <c r="K746" s="302"/>
      <c r="L746" s="302"/>
      <c r="M746" s="236"/>
    </row>
    <row r="747" spans="1:13" x14ac:dyDescent="0.2">
      <c r="A747" s="237"/>
      <c r="B747" s="302"/>
      <c r="C747" s="302"/>
      <c r="D747" s="302"/>
      <c r="E747" s="303"/>
      <c r="F747" s="302"/>
      <c r="G747" s="302"/>
      <c r="H747" s="302"/>
      <c r="I747" s="303"/>
      <c r="J747" s="302"/>
      <c r="K747" s="302"/>
      <c r="L747" s="302"/>
      <c r="M747" s="236"/>
    </row>
    <row r="748" spans="1:13" x14ac:dyDescent="0.2">
      <c r="A748" s="237"/>
      <c r="B748" s="302"/>
      <c r="C748" s="302"/>
      <c r="D748" s="302"/>
      <c r="E748" s="303"/>
      <c r="F748" s="302"/>
      <c r="G748" s="302"/>
      <c r="H748" s="302"/>
      <c r="I748" s="303"/>
      <c r="J748" s="302"/>
      <c r="K748" s="302"/>
      <c r="L748" s="302"/>
      <c r="M748" s="236"/>
    </row>
    <row r="749" spans="1:13" x14ac:dyDescent="0.2">
      <c r="A749" s="237"/>
      <c r="B749" s="302"/>
      <c r="C749" s="302"/>
      <c r="D749" s="302"/>
      <c r="E749" s="303"/>
      <c r="F749" s="302"/>
      <c r="G749" s="302"/>
      <c r="H749" s="302"/>
      <c r="I749" s="303"/>
      <c r="J749" s="302"/>
      <c r="K749" s="302"/>
      <c r="L749" s="302"/>
      <c r="M749" s="236"/>
    </row>
    <row r="750" spans="1:13" x14ac:dyDescent="0.2">
      <c r="A750" s="237"/>
      <c r="B750" s="303"/>
      <c r="C750" s="303"/>
      <c r="D750" s="303"/>
      <c r="E750" s="303"/>
      <c r="F750" s="303"/>
      <c r="G750" s="303"/>
      <c r="H750" s="303"/>
      <c r="I750" s="303"/>
      <c r="J750" s="303"/>
      <c r="K750" s="303"/>
      <c r="L750" s="303"/>
      <c r="M750" s="236"/>
    </row>
    <row r="751" spans="1:13" x14ac:dyDescent="0.2">
      <c r="A751" s="237"/>
      <c r="B751" s="237"/>
      <c r="C751" s="237"/>
      <c r="D751" s="237"/>
      <c r="E751" s="237"/>
      <c r="F751" s="237"/>
      <c r="G751" s="237"/>
      <c r="H751" s="237"/>
      <c r="I751" s="237"/>
      <c r="J751" s="237"/>
      <c r="K751" s="237"/>
      <c r="L751" s="240"/>
      <c r="M751" s="236"/>
    </row>
    <row r="752" spans="1:13" x14ac:dyDescent="0.2">
      <c r="A752" s="237"/>
      <c r="B752" s="237"/>
      <c r="C752" s="237"/>
      <c r="D752" s="237"/>
      <c r="E752" s="237"/>
      <c r="F752" s="237"/>
      <c r="G752" s="237"/>
      <c r="H752" s="237"/>
      <c r="I752" s="237"/>
      <c r="J752" s="237"/>
      <c r="K752" s="237"/>
      <c r="L752" s="284"/>
      <c r="M752" s="236"/>
    </row>
    <row r="753" spans="1:13" x14ac:dyDescent="0.2">
      <c r="A753" s="258"/>
      <c r="B753" s="241"/>
      <c r="C753" s="241"/>
      <c r="D753" s="241"/>
      <c r="E753" s="241"/>
      <c r="F753" s="241"/>
      <c r="G753" s="241"/>
      <c r="H753" s="241"/>
      <c r="I753" s="241"/>
      <c r="J753" s="241"/>
      <c r="K753" s="241"/>
      <c r="L753" s="236"/>
      <c r="M753" s="236"/>
    </row>
    <row r="754" spans="1:13" x14ac:dyDescent="0.2">
      <c r="A754" s="241"/>
      <c r="B754" s="375"/>
      <c r="C754" s="375"/>
      <c r="D754" s="375"/>
      <c r="E754" s="253"/>
      <c r="F754" s="375"/>
      <c r="G754" s="375"/>
      <c r="H754" s="375"/>
      <c r="I754" s="253"/>
      <c r="J754" s="375"/>
      <c r="K754" s="375"/>
      <c r="L754" s="375"/>
      <c r="M754" s="236"/>
    </row>
    <row r="755" spans="1:13" x14ac:dyDescent="0.2">
      <c r="A755" s="258"/>
      <c r="B755" s="259"/>
      <c r="C755" s="259"/>
      <c r="D755" s="259"/>
      <c r="E755" s="259"/>
      <c r="F755" s="259"/>
      <c r="G755" s="259"/>
      <c r="H755" s="259"/>
      <c r="I755" s="259"/>
      <c r="J755" s="259"/>
      <c r="K755" s="259"/>
      <c r="L755" s="259"/>
      <c r="M755" s="236"/>
    </row>
    <row r="756" spans="1:13" x14ac:dyDescent="0.2">
      <c r="A756" s="258"/>
      <c r="B756" s="259"/>
      <c r="C756" s="259"/>
      <c r="D756" s="259"/>
      <c r="E756" s="259"/>
      <c r="F756" s="259"/>
      <c r="G756" s="259"/>
      <c r="H756" s="259"/>
      <c r="I756" s="259"/>
      <c r="J756" s="259"/>
      <c r="K756" s="259"/>
      <c r="L756" s="259"/>
      <c r="M756" s="236"/>
    </row>
    <row r="757" spans="1:13" x14ac:dyDescent="0.2">
      <c r="A757" s="237"/>
      <c r="B757" s="302"/>
      <c r="C757" s="302"/>
      <c r="D757" s="302"/>
      <c r="E757" s="303"/>
      <c r="F757" s="302"/>
      <c r="G757" s="302"/>
      <c r="H757" s="302"/>
      <c r="I757" s="303"/>
      <c r="J757" s="302"/>
      <c r="K757" s="302"/>
      <c r="L757" s="302"/>
      <c r="M757" s="236"/>
    </row>
    <row r="758" spans="1:13" x14ac:dyDescent="0.2">
      <c r="A758" s="237"/>
      <c r="B758" s="302"/>
      <c r="C758" s="302"/>
      <c r="D758" s="302"/>
      <c r="E758" s="303"/>
      <c r="F758" s="302"/>
      <c r="G758" s="302"/>
      <c r="H758" s="302"/>
      <c r="I758" s="303"/>
      <c r="J758" s="302"/>
      <c r="K758" s="302"/>
      <c r="L758" s="302"/>
      <c r="M758" s="236"/>
    </row>
    <row r="759" spans="1:13" x14ac:dyDescent="0.2">
      <c r="A759" s="237"/>
      <c r="B759" s="302"/>
      <c r="C759" s="302"/>
      <c r="D759" s="302"/>
      <c r="E759" s="303"/>
      <c r="F759" s="302"/>
      <c r="G759" s="302"/>
      <c r="H759" s="302"/>
      <c r="I759" s="303"/>
      <c r="J759" s="302"/>
      <c r="K759" s="302"/>
      <c r="L759" s="302"/>
      <c r="M759" s="236"/>
    </row>
    <row r="760" spans="1:13" x14ac:dyDescent="0.2">
      <c r="A760" s="237"/>
      <c r="B760" s="302"/>
      <c r="C760" s="302"/>
      <c r="D760" s="302"/>
      <c r="E760" s="303"/>
      <c r="F760" s="302"/>
      <c r="G760" s="302"/>
      <c r="H760" s="302"/>
      <c r="I760" s="303"/>
      <c r="J760" s="302"/>
      <c r="K760" s="302"/>
      <c r="L760" s="302"/>
      <c r="M760" s="236"/>
    </row>
    <row r="761" spans="1:13" x14ac:dyDescent="0.2">
      <c r="A761" s="237"/>
      <c r="B761" s="302"/>
      <c r="C761" s="302"/>
      <c r="D761" s="302"/>
      <c r="E761" s="303"/>
      <c r="F761" s="302"/>
      <c r="G761" s="302"/>
      <c r="H761" s="302"/>
      <c r="I761" s="303"/>
      <c r="J761" s="302"/>
      <c r="K761" s="302"/>
      <c r="L761" s="302"/>
      <c r="M761" s="236"/>
    </row>
    <row r="762" spans="1:13" x14ac:dyDescent="0.2">
      <c r="A762" s="237"/>
      <c r="B762" s="302"/>
      <c r="C762" s="302"/>
      <c r="D762" s="302"/>
      <c r="E762" s="303"/>
      <c r="F762" s="302"/>
      <c r="G762" s="302"/>
      <c r="H762" s="302"/>
      <c r="I762" s="303"/>
      <c r="J762" s="302"/>
      <c r="K762" s="302"/>
      <c r="L762" s="302"/>
      <c r="M762" s="236"/>
    </row>
    <row r="763" spans="1:13" x14ac:dyDescent="0.2">
      <c r="A763" s="237"/>
      <c r="B763" s="302"/>
      <c r="C763" s="302"/>
      <c r="D763" s="302"/>
      <c r="E763" s="303"/>
      <c r="F763" s="302"/>
      <c r="G763" s="302"/>
      <c r="H763" s="302"/>
      <c r="I763" s="303"/>
      <c r="J763" s="302"/>
      <c r="K763" s="302"/>
      <c r="L763" s="302"/>
      <c r="M763" s="236"/>
    </row>
    <row r="764" spans="1:13" x14ac:dyDescent="0.2">
      <c r="A764" s="237"/>
      <c r="B764" s="302"/>
      <c r="C764" s="302"/>
      <c r="D764" s="302"/>
      <c r="E764" s="303"/>
      <c r="F764" s="302"/>
      <c r="G764" s="302"/>
      <c r="H764" s="302"/>
      <c r="I764" s="303"/>
      <c r="J764" s="302"/>
      <c r="K764" s="302"/>
      <c r="L764" s="302"/>
      <c r="M764" s="236"/>
    </row>
    <row r="765" spans="1:13" x14ac:dyDescent="0.2">
      <c r="A765" s="237"/>
      <c r="B765" s="302"/>
      <c r="C765" s="302"/>
      <c r="D765" s="302"/>
      <c r="E765" s="303"/>
      <c r="F765" s="302"/>
      <c r="G765" s="302"/>
      <c r="H765" s="302"/>
      <c r="I765" s="303"/>
      <c r="J765" s="302"/>
      <c r="K765" s="302"/>
      <c r="L765" s="302"/>
      <c r="M765" s="236"/>
    </row>
    <row r="766" spans="1:13" x14ac:dyDescent="0.2">
      <c r="A766" s="237"/>
      <c r="B766" s="302"/>
      <c r="C766" s="302"/>
      <c r="D766" s="302"/>
      <c r="E766" s="303"/>
      <c r="F766" s="302"/>
      <c r="G766" s="302"/>
      <c r="H766" s="302"/>
      <c r="I766" s="303"/>
      <c r="J766" s="302"/>
      <c r="K766" s="302"/>
      <c r="L766" s="302"/>
      <c r="M766" s="236"/>
    </row>
    <row r="767" spans="1:13" x14ac:dyDescent="0.2">
      <c r="A767" s="237"/>
      <c r="B767" s="303"/>
      <c r="C767" s="303"/>
      <c r="D767" s="303"/>
      <c r="E767" s="303"/>
      <c r="F767" s="303"/>
      <c r="G767" s="303"/>
      <c r="H767" s="303"/>
      <c r="I767" s="303"/>
      <c r="J767" s="303"/>
      <c r="K767" s="303"/>
      <c r="L767" s="303"/>
      <c r="M767" s="236"/>
    </row>
    <row r="768" spans="1:13" x14ac:dyDescent="0.2">
      <c r="A768" s="237"/>
      <c r="B768" s="237"/>
      <c r="C768" s="237"/>
      <c r="D768" s="237"/>
      <c r="E768" s="237"/>
      <c r="F768" s="237"/>
      <c r="G768" s="237"/>
      <c r="H768" s="237"/>
      <c r="I768" s="237"/>
      <c r="J768" s="237"/>
      <c r="K768" s="237"/>
      <c r="L768" s="240"/>
      <c r="M768" s="236"/>
    </row>
    <row r="769" spans="1:13" x14ac:dyDescent="0.2">
      <c r="A769" s="237"/>
      <c r="B769" s="237"/>
      <c r="C769" s="237"/>
      <c r="D769" s="237"/>
      <c r="E769" s="237"/>
      <c r="F769" s="237"/>
      <c r="G769" s="237"/>
      <c r="H769" s="237"/>
      <c r="I769" s="237"/>
      <c r="J769" s="237"/>
      <c r="K769" s="237"/>
      <c r="L769" s="284"/>
      <c r="M769" s="236"/>
    </row>
    <row r="770" spans="1:13" x14ac:dyDescent="0.2">
      <c r="A770" s="258"/>
      <c r="B770" s="241"/>
      <c r="C770" s="241"/>
      <c r="D770" s="241"/>
      <c r="E770" s="241"/>
      <c r="F770" s="241"/>
      <c r="G770" s="241"/>
      <c r="H770" s="241"/>
      <c r="I770" s="241"/>
      <c r="J770" s="241"/>
      <c r="K770" s="241"/>
      <c r="L770" s="236"/>
      <c r="M770" s="236"/>
    </row>
    <row r="771" spans="1:13" x14ac:dyDescent="0.2">
      <c r="A771" s="241"/>
      <c r="B771" s="375"/>
      <c r="C771" s="375"/>
      <c r="D771" s="375"/>
      <c r="E771" s="253"/>
      <c r="F771" s="375"/>
      <c r="G771" s="375"/>
      <c r="H771" s="375"/>
      <c r="I771" s="253"/>
      <c r="J771" s="375"/>
      <c r="K771" s="375"/>
      <c r="L771" s="375"/>
      <c r="M771" s="236"/>
    </row>
    <row r="772" spans="1:13" x14ac:dyDescent="0.2">
      <c r="A772" s="258"/>
      <c r="B772" s="259"/>
      <c r="C772" s="259"/>
      <c r="D772" s="259"/>
      <c r="E772" s="259"/>
      <c r="F772" s="259"/>
      <c r="G772" s="259"/>
      <c r="H772" s="259"/>
      <c r="I772" s="259"/>
      <c r="J772" s="259"/>
      <c r="K772" s="259"/>
      <c r="L772" s="259"/>
      <c r="M772" s="236"/>
    </row>
    <row r="773" spans="1:13" x14ac:dyDescent="0.2">
      <c r="A773" s="258"/>
      <c r="B773" s="259"/>
      <c r="C773" s="259"/>
      <c r="D773" s="259"/>
      <c r="E773" s="259"/>
      <c r="F773" s="259"/>
      <c r="G773" s="259"/>
      <c r="H773" s="259"/>
      <c r="I773" s="259"/>
      <c r="J773" s="259"/>
      <c r="K773" s="259"/>
      <c r="L773" s="259"/>
      <c r="M773" s="236"/>
    </row>
    <row r="774" spans="1:13" x14ac:dyDescent="0.2">
      <c r="A774" s="237"/>
      <c r="B774" s="302"/>
      <c r="C774" s="302"/>
      <c r="D774" s="302"/>
      <c r="E774" s="303"/>
      <c r="F774" s="302"/>
      <c r="G774" s="302"/>
      <c r="H774" s="302"/>
      <c r="I774" s="303"/>
      <c r="J774" s="302"/>
      <c r="K774" s="302"/>
      <c r="L774" s="302"/>
      <c r="M774" s="236"/>
    </row>
    <row r="775" spans="1:13" x14ac:dyDescent="0.2">
      <c r="A775" s="237"/>
      <c r="B775" s="302"/>
      <c r="C775" s="302"/>
      <c r="D775" s="302"/>
      <c r="E775" s="303"/>
      <c r="F775" s="302"/>
      <c r="G775" s="302"/>
      <c r="H775" s="302"/>
      <c r="I775" s="303"/>
      <c r="J775" s="302"/>
      <c r="K775" s="302"/>
      <c r="L775" s="302"/>
      <c r="M775" s="236"/>
    </row>
    <row r="776" spans="1:13" x14ac:dyDescent="0.2">
      <c r="A776" s="237"/>
      <c r="B776" s="302"/>
      <c r="C776" s="302"/>
      <c r="D776" s="302"/>
      <c r="E776" s="303"/>
      <c r="F776" s="302"/>
      <c r="G776" s="302"/>
      <c r="H776" s="302"/>
      <c r="I776" s="303"/>
      <c r="J776" s="302"/>
      <c r="K776" s="302"/>
      <c r="L776" s="302"/>
      <c r="M776" s="236"/>
    </row>
    <row r="777" spans="1:13" x14ac:dyDescent="0.2">
      <c r="A777" s="237"/>
      <c r="B777" s="302"/>
      <c r="C777" s="302"/>
      <c r="D777" s="302"/>
      <c r="E777" s="303"/>
      <c r="F777" s="302"/>
      <c r="G777" s="302"/>
      <c r="H777" s="302"/>
      <c r="I777" s="303"/>
      <c r="J777" s="302"/>
      <c r="K777" s="302"/>
      <c r="L777" s="302"/>
      <c r="M777" s="236"/>
    </row>
    <row r="778" spans="1:13" x14ac:dyDescent="0.2">
      <c r="A778" s="237"/>
      <c r="B778" s="302"/>
      <c r="C778" s="302"/>
      <c r="D778" s="302"/>
      <c r="E778" s="303"/>
      <c r="F778" s="302"/>
      <c r="G778" s="302"/>
      <c r="H778" s="302"/>
      <c r="I778" s="303"/>
      <c r="J778" s="302"/>
      <c r="K778" s="302"/>
      <c r="L778" s="302"/>
      <c r="M778" s="236"/>
    </row>
    <row r="779" spans="1:13" x14ac:dyDescent="0.2">
      <c r="A779" s="237"/>
      <c r="B779" s="302"/>
      <c r="C779" s="302"/>
      <c r="D779" s="302"/>
      <c r="E779" s="303"/>
      <c r="F779" s="302"/>
      <c r="G779" s="302"/>
      <c r="H779" s="302"/>
      <c r="I779" s="303"/>
      <c r="J779" s="302"/>
      <c r="K779" s="302"/>
      <c r="L779" s="302"/>
      <c r="M779" s="236"/>
    </row>
    <row r="780" spans="1:13" x14ac:dyDescent="0.2">
      <c r="A780" s="237"/>
      <c r="B780" s="302"/>
      <c r="C780" s="302"/>
      <c r="D780" s="302"/>
      <c r="E780" s="303"/>
      <c r="F780" s="302"/>
      <c r="G780" s="302"/>
      <c r="H780" s="302"/>
      <c r="I780" s="303"/>
      <c r="J780" s="302"/>
      <c r="K780" s="302"/>
      <c r="L780" s="302"/>
      <c r="M780" s="236"/>
    </row>
    <row r="781" spans="1:13" x14ac:dyDescent="0.2">
      <c r="A781" s="237"/>
      <c r="B781" s="302"/>
      <c r="C781" s="302"/>
      <c r="D781" s="302"/>
      <c r="E781" s="303"/>
      <c r="F781" s="302"/>
      <c r="G781" s="302"/>
      <c r="H781" s="302"/>
      <c r="I781" s="303"/>
      <c r="J781" s="302"/>
      <c r="K781" s="302"/>
      <c r="L781" s="302"/>
      <c r="M781" s="236"/>
    </row>
    <row r="782" spans="1:13" x14ac:dyDescent="0.2">
      <c r="A782" s="237"/>
      <c r="B782" s="302"/>
      <c r="C782" s="302"/>
      <c r="D782" s="302"/>
      <c r="E782" s="303"/>
      <c r="F782" s="302"/>
      <c r="G782" s="302"/>
      <c r="H782" s="302"/>
      <c r="I782" s="303"/>
      <c r="J782" s="302"/>
      <c r="K782" s="302"/>
      <c r="L782" s="302"/>
      <c r="M782" s="236"/>
    </row>
    <row r="783" spans="1:13" x14ac:dyDescent="0.2">
      <c r="A783" s="237"/>
      <c r="B783" s="302"/>
      <c r="C783" s="302"/>
      <c r="D783" s="302"/>
      <c r="E783" s="303"/>
      <c r="F783" s="302"/>
      <c r="G783" s="302"/>
      <c r="H783" s="302"/>
      <c r="I783" s="303"/>
      <c r="J783" s="302"/>
      <c r="K783" s="302"/>
      <c r="L783" s="302"/>
      <c r="M783" s="236"/>
    </row>
    <row r="784" spans="1:13" x14ac:dyDescent="0.2">
      <c r="A784" s="237"/>
      <c r="B784" s="303"/>
      <c r="C784" s="303"/>
      <c r="D784" s="303"/>
      <c r="E784" s="303"/>
      <c r="F784" s="303"/>
      <c r="G784" s="303"/>
      <c r="H784" s="303"/>
      <c r="I784" s="303"/>
      <c r="J784" s="303"/>
      <c r="K784" s="303"/>
      <c r="L784" s="303"/>
      <c r="M784" s="236"/>
    </row>
    <row r="785" spans="1:13" x14ac:dyDescent="0.2">
      <c r="A785" s="237"/>
      <c r="B785" s="237"/>
      <c r="C785" s="237"/>
      <c r="D785" s="237"/>
      <c r="E785" s="237"/>
      <c r="F785" s="237"/>
      <c r="G785" s="237"/>
      <c r="H785" s="237"/>
      <c r="I785" s="237"/>
      <c r="J785" s="237"/>
      <c r="K785" s="237"/>
      <c r="L785" s="240"/>
      <c r="M785" s="236"/>
    </row>
    <row r="786" spans="1:13" x14ac:dyDescent="0.2">
      <c r="A786" s="237"/>
      <c r="B786" s="237"/>
      <c r="C786" s="237"/>
      <c r="D786" s="237"/>
      <c r="E786" s="237"/>
      <c r="F786" s="237"/>
      <c r="G786" s="237"/>
      <c r="H786" s="237"/>
      <c r="I786" s="237"/>
      <c r="J786" s="237"/>
      <c r="K786" s="237"/>
      <c r="L786" s="284"/>
      <c r="M786" s="236"/>
    </row>
    <row r="787" spans="1:13" x14ac:dyDescent="0.2">
      <c r="A787" s="258"/>
      <c r="B787" s="241"/>
      <c r="C787" s="241"/>
      <c r="D787" s="241"/>
      <c r="E787" s="241"/>
      <c r="F787" s="241"/>
      <c r="G787" s="241"/>
      <c r="H787" s="241"/>
      <c r="I787" s="241"/>
      <c r="J787" s="241"/>
      <c r="K787" s="241"/>
      <c r="L787" s="236"/>
      <c r="M787" s="236"/>
    </row>
    <row r="788" spans="1:13" x14ac:dyDescent="0.2">
      <c r="A788" s="241"/>
      <c r="B788" s="375"/>
      <c r="C788" s="375"/>
      <c r="D788" s="375"/>
      <c r="E788" s="253"/>
      <c r="F788" s="375"/>
      <c r="G788" s="375"/>
      <c r="H788" s="375"/>
      <c r="I788" s="253"/>
      <c r="J788" s="375"/>
      <c r="K788" s="375"/>
      <c r="L788" s="375"/>
      <c r="M788" s="236"/>
    </row>
    <row r="789" spans="1:13" x14ac:dyDescent="0.2">
      <c r="A789" s="258"/>
      <c r="B789" s="259"/>
      <c r="C789" s="259"/>
      <c r="D789" s="259"/>
      <c r="E789" s="259"/>
      <c r="F789" s="259"/>
      <c r="G789" s="259"/>
      <c r="H789" s="259"/>
      <c r="I789" s="259"/>
      <c r="J789" s="259"/>
      <c r="K789" s="259"/>
      <c r="L789" s="259"/>
      <c r="M789" s="236"/>
    </row>
    <row r="790" spans="1:13" x14ac:dyDescent="0.2">
      <c r="A790" s="258"/>
      <c r="B790" s="259"/>
      <c r="C790" s="259"/>
      <c r="D790" s="259"/>
      <c r="E790" s="259"/>
      <c r="F790" s="259"/>
      <c r="G790" s="259"/>
      <c r="H790" s="259"/>
      <c r="I790" s="259"/>
      <c r="J790" s="259"/>
      <c r="K790" s="259"/>
      <c r="L790" s="259"/>
      <c r="M790" s="236"/>
    </row>
    <row r="791" spans="1:13" x14ac:dyDescent="0.2">
      <c r="A791" s="237"/>
      <c r="B791" s="302"/>
      <c r="C791" s="302"/>
      <c r="D791" s="302"/>
      <c r="E791" s="303"/>
      <c r="F791" s="302"/>
      <c r="G791" s="302"/>
      <c r="H791" s="302"/>
      <c r="I791" s="303"/>
      <c r="J791" s="302"/>
      <c r="K791" s="302"/>
      <c r="L791" s="302"/>
      <c r="M791" s="236"/>
    </row>
    <row r="792" spans="1:13" x14ac:dyDescent="0.2">
      <c r="A792" s="237"/>
      <c r="B792" s="302"/>
      <c r="C792" s="302"/>
      <c r="D792" s="302"/>
      <c r="E792" s="303"/>
      <c r="F792" s="302"/>
      <c r="G792" s="302"/>
      <c r="H792" s="302"/>
      <c r="I792" s="303"/>
      <c r="J792" s="302"/>
      <c r="K792" s="302"/>
      <c r="L792" s="302"/>
      <c r="M792" s="236"/>
    </row>
    <row r="793" spans="1:13" x14ac:dyDescent="0.2">
      <c r="A793" s="237"/>
      <c r="B793" s="302"/>
      <c r="C793" s="302"/>
      <c r="D793" s="302"/>
      <c r="E793" s="303"/>
      <c r="F793" s="302"/>
      <c r="G793" s="302"/>
      <c r="H793" s="302"/>
      <c r="I793" s="303"/>
      <c r="J793" s="302"/>
      <c r="K793" s="302"/>
      <c r="L793" s="302"/>
      <c r="M793" s="236"/>
    </row>
    <row r="794" spans="1:13" x14ac:dyDescent="0.2">
      <c r="A794" s="237"/>
      <c r="B794" s="302"/>
      <c r="C794" s="302"/>
      <c r="D794" s="302"/>
      <c r="E794" s="303"/>
      <c r="F794" s="302"/>
      <c r="G794" s="302"/>
      <c r="H794" s="302"/>
      <c r="I794" s="303"/>
      <c r="J794" s="302"/>
      <c r="K794" s="302"/>
      <c r="L794" s="302"/>
      <c r="M794" s="236"/>
    </row>
    <row r="795" spans="1:13" x14ac:dyDescent="0.2">
      <c r="A795" s="237"/>
      <c r="B795" s="302"/>
      <c r="C795" s="302"/>
      <c r="D795" s="302"/>
      <c r="E795" s="303"/>
      <c r="F795" s="302"/>
      <c r="G795" s="302"/>
      <c r="H795" s="302"/>
      <c r="I795" s="303"/>
      <c r="J795" s="302"/>
      <c r="K795" s="302"/>
      <c r="L795" s="302"/>
      <c r="M795" s="236"/>
    </row>
    <row r="796" spans="1:13" x14ac:dyDescent="0.2">
      <c r="A796" s="237"/>
      <c r="B796" s="302"/>
      <c r="C796" s="302"/>
      <c r="D796" s="302"/>
      <c r="E796" s="303"/>
      <c r="F796" s="302"/>
      <c r="G796" s="302"/>
      <c r="H796" s="302"/>
      <c r="I796" s="303"/>
      <c r="J796" s="302"/>
      <c r="K796" s="302"/>
      <c r="L796" s="302"/>
      <c r="M796" s="236"/>
    </row>
    <row r="797" spans="1:13" x14ac:dyDescent="0.2">
      <c r="A797" s="237"/>
      <c r="B797" s="302"/>
      <c r="C797" s="302"/>
      <c r="D797" s="302"/>
      <c r="E797" s="303"/>
      <c r="F797" s="302"/>
      <c r="G797" s="302"/>
      <c r="H797" s="302"/>
      <c r="I797" s="303"/>
      <c r="J797" s="302"/>
      <c r="K797" s="302"/>
      <c r="L797" s="302"/>
      <c r="M797" s="236"/>
    </row>
    <row r="798" spans="1:13" x14ac:dyDescent="0.2">
      <c r="A798" s="237"/>
      <c r="B798" s="302"/>
      <c r="C798" s="302"/>
      <c r="D798" s="302"/>
      <c r="E798" s="303"/>
      <c r="F798" s="302"/>
      <c r="G798" s="302"/>
      <c r="H798" s="302"/>
      <c r="I798" s="303"/>
      <c r="J798" s="302"/>
      <c r="K798" s="302"/>
      <c r="L798" s="302"/>
      <c r="M798" s="236"/>
    </row>
    <row r="799" spans="1:13" x14ac:dyDescent="0.2">
      <c r="A799" s="237"/>
      <c r="B799" s="302"/>
      <c r="C799" s="302"/>
      <c r="D799" s="302"/>
      <c r="E799" s="303"/>
      <c r="F799" s="302"/>
      <c r="G799" s="302"/>
      <c r="H799" s="302"/>
      <c r="I799" s="303"/>
      <c r="J799" s="302"/>
      <c r="K799" s="302"/>
      <c r="L799" s="302"/>
      <c r="M799" s="236"/>
    </row>
    <row r="800" spans="1:13" x14ac:dyDescent="0.2">
      <c r="A800" s="237"/>
      <c r="B800" s="302"/>
      <c r="C800" s="302"/>
      <c r="D800" s="302"/>
      <c r="E800" s="303"/>
      <c r="F800" s="302"/>
      <c r="G800" s="302"/>
      <c r="H800" s="302"/>
      <c r="I800" s="303"/>
      <c r="J800" s="302"/>
      <c r="K800" s="302"/>
      <c r="L800" s="302"/>
      <c r="M800" s="236"/>
    </row>
    <row r="801" spans="1:13" x14ac:dyDescent="0.2">
      <c r="A801" s="237"/>
      <c r="B801" s="303"/>
      <c r="C801" s="303"/>
      <c r="D801" s="303"/>
      <c r="E801" s="303"/>
      <c r="F801" s="303"/>
      <c r="G801" s="303"/>
      <c r="H801" s="303"/>
      <c r="I801" s="303"/>
      <c r="J801" s="303"/>
      <c r="K801" s="303"/>
      <c r="L801" s="303"/>
      <c r="M801" s="236"/>
    </row>
    <row r="802" spans="1:13" x14ac:dyDescent="0.2">
      <c r="A802" s="237"/>
      <c r="B802" s="237"/>
      <c r="C802" s="237"/>
      <c r="D802" s="237"/>
      <c r="E802" s="237"/>
      <c r="F802" s="237"/>
      <c r="G802" s="237"/>
      <c r="H802" s="237"/>
      <c r="I802" s="237"/>
      <c r="J802" s="237"/>
      <c r="K802" s="237"/>
      <c r="L802" s="240"/>
      <c r="M802" s="236"/>
    </row>
    <row r="803" spans="1:13" x14ac:dyDescent="0.2">
      <c r="A803" s="237"/>
      <c r="B803" s="237"/>
      <c r="C803" s="237"/>
      <c r="D803" s="237"/>
      <c r="E803" s="237"/>
      <c r="F803" s="237"/>
      <c r="G803" s="237"/>
      <c r="H803" s="237"/>
      <c r="I803" s="237"/>
      <c r="J803" s="237"/>
      <c r="K803" s="237"/>
      <c r="L803" s="284"/>
      <c r="M803" s="236"/>
    </row>
    <row r="804" spans="1:13" x14ac:dyDescent="0.2">
      <c r="A804" s="258"/>
      <c r="B804" s="241"/>
      <c r="C804" s="241"/>
      <c r="D804" s="241"/>
      <c r="E804" s="241"/>
      <c r="F804" s="241"/>
      <c r="G804" s="241"/>
      <c r="H804" s="241"/>
      <c r="I804" s="241"/>
      <c r="J804" s="241"/>
      <c r="K804" s="241"/>
      <c r="L804" s="236"/>
      <c r="M804" s="236"/>
    </row>
    <row r="805" spans="1:13" x14ac:dyDescent="0.2">
      <c r="A805" s="241"/>
      <c r="B805" s="375"/>
      <c r="C805" s="375"/>
      <c r="D805" s="375"/>
      <c r="E805" s="253"/>
      <c r="F805" s="375"/>
      <c r="G805" s="375"/>
      <c r="H805" s="375"/>
      <c r="I805" s="253"/>
      <c r="J805" s="375"/>
      <c r="K805" s="375"/>
      <c r="L805" s="375"/>
      <c r="M805" s="236"/>
    </row>
    <row r="806" spans="1:13" x14ac:dyDescent="0.2">
      <c r="A806" s="258"/>
      <c r="B806" s="259"/>
      <c r="C806" s="259"/>
      <c r="D806" s="259"/>
      <c r="E806" s="259"/>
      <c r="F806" s="259"/>
      <c r="G806" s="259"/>
      <c r="H806" s="259"/>
      <c r="I806" s="259"/>
      <c r="J806" s="259"/>
      <c r="K806" s="259"/>
      <c r="L806" s="259"/>
      <c r="M806" s="236"/>
    </row>
    <row r="807" spans="1:13" x14ac:dyDescent="0.2">
      <c r="A807" s="258"/>
      <c r="B807" s="259"/>
      <c r="C807" s="259"/>
      <c r="D807" s="259"/>
      <c r="E807" s="259"/>
      <c r="F807" s="259"/>
      <c r="G807" s="259"/>
      <c r="H807" s="259"/>
      <c r="I807" s="259"/>
      <c r="J807" s="259"/>
      <c r="K807" s="259"/>
      <c r="L807" s="259"/>
      <c r="M807" s="236"/>
    </row>
    <row r="808" spans="1:13" x14ac:dyDescent="0.2">
      <c r="A808" s="237"/>
      <c r="B808" s="302"/>
      <c r="C808" s="302"/>
      <c r="D808" s="302"/>
      <c r="E808" s="303"/>
      <c r="F808" s="302"/>
      <c r="G808" s="302"/>
      <c r="H808" s="302"/>
      <c r="I808" s="303"/>
      <c r="J808" s="302"/>
      <c r="K808" s="302"/>
      <c r="L808" s="302"/>
      <c r="M808" s="236"/>
    </row>
    <row r="809" spans="1:13" x14ac:dyDescent="0.2">
      <c r="A809" s="237"/>
      <c r="B809" s="302"/>
      <c r="C809" s="302"/>
      <c r="D809" s="302"/>
      <c r="E809" s="303"/>
      <c r="F809" s="302"/>
      <c r="G809" s="302"/>
      <c r="H809" s="302"/>
      <c r="I809" s="303"/>
      <c r="J809" s="302"/>
      <c r="K809" s="302"/>
      <c r="L809" s="302"/>
      <c r="M809" s="236"/>
    </row>
    <row r="810" spans="1:13" x14ac:dyDescent="0.2">
      <c r="A810" s="237"/>
      <c r="B810" s="302"/>
      <c r="C810" s="302"/>
      <c r="D810" s="302"/>
      <c r="E810" s="303"/>
      <c r="F810" s="302"/>
      <c r="G810" s="302"/>
      <c r="H810" s="302"/>
      <c r="I810" s="303"/>
      <c r="J810" s="302"/>
      <c r="K810" s="302"/>
      <c r="L810" s="302"/>
      <c r="M810" s="236"/>
    </row>
    <row r="811" spans="1:13" x14ac:dyDescent="0.2">
      <c r="A811" s="237"/>
      <c r="B811" s="302"/>
      <c r="C811" s="302"/>
      <c r="D811" s="302"/>
      <c r="E811" s="303"/>
      <c r="F811" s="302"/>
      <c r="G811" s="302"/>
      <c r="H811" s="302"/>
      <c r="I811" s="303"/>
      <c r="J811" s="302"/>
      <c r="K811" s="302"/>
      <c r="L811" s="302"/>
      <c r="M811" s="236"/>
    </row>
    <row r="812" spans="1:13" x14ac:dyDescent="0.2">
      <c r="A812" s="237"/>
      <c r="B812" s="302"/>
      <c r="C812" s="302"/>
      <c r="D812" s="302"/>
      <c r="E812" s="303"/>
      <c r="F812" s="302"/>
      <c r="G812" s="302"/>
      <c r="H812" s="302"/>
      <c r="I812" s="303"/>
      <c r="J812" s="302"/>
      <c r="K812" s="302"/>
      <c r="L812" s="302"/>
      <c r="M812" s="236"/>
    </row>
    <row r="813" spans="1:13" x14ac:dyDescent="0.2">
      <c r="A813" s="237"/>
      <c r="B813" s="302"/>
      <c r="C813" s="302"/>
      <c r="D813" s="302"/>
      <c r="E813" s="303"/>
      <c r="F813" s="302"/>
      <c r="G813" s="302"/>
      <c r="H813" s="302"/>
      <c r="I813" s="303"/>
      <c r="J813" s="302"/>
      <c r="K813" s="302"/>
      <c r="L813" s="302"/>
      <c r="M813" s="236"/>
    </row>
    <row r="814" spans="1:13" x14ac:dyDescent="0.2">
      <c r="A814" s="237"/>
      <c r="B814" s="302"/>
      <c r="C814" s="302"/>
      <c r="D814" s="302"/>
      <c r="E814" s="303"/>
      <c r="F814" s="302"/>
      <c r="G814" s="302"/>
      <c r="H814" s="302"/>
      <c r="I814" s="303"/>
      <c r="J814" s="302"/>
      <c r="K814" s="302"/>
      <c r="L814" s="302"/>
      <c r="M814" s="236"/>
    </row>
    <row r="815" spans="1:13" x14ac:dyDescent="0.2">
      <c r="A815" s="237"/>
      <c r="B815" s="302"/>
      <c r="C815" s="302"/>
      <c r="D815" s="302"/>
      <c r="E815" s="303"/>
      <c r="F815" s="302"/>
      <c r="G815" s="302"/>
      <c r="H815" s="302"/>
      <c r="I815" s="303"/>
      <c r="J815" s="302"/>
      <c r="K815" s="302"/>
      <c r="L815" s="302"/>
      <c r="M815" s="236"/>
    </row>
    <row r="816" spans="1:13" x14ac:dyDescent="0.2">
      <c r="A816" s="237"/>
      <c r="B816" s="302"/>
      <c r="C816" s="302"/>
      <c r="D816" s="302"/>
      <c r="E816" s="303"/>
      <c r="F816" s="302"/>
      <c r="G816" s="302"/>
      <c r="H816" s="302"/>
      <c r="I816" s="303"/>
      <c r="J816" s="302"/>
      <c r="K816" s="302"/>
      <c r="L816" s="302"/>
      <c r="M816" s="236"/>
    </row>
    <row r="817" spans="1:13" x14ac:dyDescent="0.2">
      <c r="A817" s="237"/>
      <c r="B817" s="302"/>
      <c r="C817" s="302"/>
      <c r="D817" s="302"/>
      <c r="E817" s="303"/>
      <c r="F817" s="302"/>
      <c r="G817" s="302"/>
      <c r="H817" s="302"/>
      <c r="I817" s="303"/>
      <c r="J817" s="302"/>
      <c r="K817" s="302"/>
      <c r="L817" s="302"/>
      <c r="M817" s="236"/>
    </row>
    <row r="818" spans="1:13" x14ac:dyDescent="0.2">
      <c r="A818" s="237"/>
      <c r="B818" s="303"/>
      <c r="C818" s="303"/>
      <c r="D818" s="303"/>
      <c r="E818" s="303"/>
      <c r="F818" s="303"/>
      <c r="G818" s="303"/>
      <c r="H818" s="303"/>
      <c r="I818" s="303"/>
      <c r="J818" s="303"/>
      <c r="K818" s="303"/>
      <c r="L818" s="303"/>
      <c r="M818" s="236"/>
    </row>
    <row r="819" spans="1:13" x14ac:dyDescent="0.2">
      <c r="A819" s="237"/>
      <c r="B819" s="237"/>
      <c r="C819" s="237"/>
      <c r="D819" s="237"/>
      <c r="E819" s="237"/>
      <c r="F819" s="237"/>
      <c r="G819" s="237"/>
      <c r="H819" s="237"/>
      <c r="I819" s="237"/>
      <c r="J819" s="237"/>
      <c r="K819" s="237"/>
      <c r="L819" s="240"/>
      <c r="M819" s="236"/>
    </row>
    <row r="820" spans="1:13" x14ac:dyDescent="0.2">
      <c r="A820" s="237"/>
      <c r="B820" s="237"/>
      <c r="C820" s="237"/>
      <c r="D820" s="237"/>
      <c r="E820" s="237"/>
      <c r="F820" s="237"/>
      <c r="G820" s="237"/>
      <c r="H820" s="237"/>
      <c r="I820" s="237"/>
      <c r="J820" s="237"/>
      <c r="K820" s="237"/>
      <c r="L820" s="284"/>
      <c r="M820" s="236"/>
    </row>
    <row r="821" spans="1:13" x14ac:dyDescent="0.2">
      <c r="A821" s="258"/>
      <c r="B821" s="241"/>
      <c r="C821" s="241"/>
      <c r="D821" s="241"/>
      <c r="E821" s="241"/>
      <c r="F821" s="241"/>
      <c r="G821" s="241"/>
      <c r="H821" s="241"/>
      <c r="I821" s="241"/>
      <c r="J821" s="241"/>
      <c r="K821" s="241"/>
      <c r="L821" s="236"/>
      <c r="M821" s="236"/>
    </row>
    <row r="822" spans="1:13" x14ac:dyDescent="0.2">
      <c r="A822" s="241"/>
      <c r="B822" s="375"/>
      <c r="C822" s="375"/>
      <c r="D822" s="375"/>
      <c r="E822" s="253"/>
      <c r="F822" s="375"/>
      <c r="G822" s="375"/>
      <c r="H822" s="375"/>
      <c r="I822" s="253"/>
      <c r="J822" s="375"/>
      <c r="K822" s="375"/>
      <c r="L822" s="375"/>
      <c r="M822" s="236"/>
    </row>
    <row r="823" spans="1:13" x14ac:dyDescent="0.2">
      <c r="A823" s="258"/>
      <c r="B823" s="259"/>
      <c r="C823" s="259"/>
      <c r="D823" s="259"/>
      <c r="E823" s="259"/>
      <c r="F823" s="259"/>
      <c r="G823" s="259"/>
      <c r="H823" s="259"/>
      <c r="I823" s="259"/>
      <c r="J823" s="259"/>
      <c r="K823" s="259"/>
      <c r="L823" s="259"/>
      <c r="M823" s="236"/>
    </row>
    <row r="824" spans="1:13" x14ac:dyDescent="0.2">
      <c r="A824" s="258"/>
      <c r="B824" s="259"/>
      <c r="C824" s="259"/>
      <c r="D824" s="259"/>
      <c r="E824" s="259"/>
      <c r="F824" s="259"/>
      <c r="G824" s="259"/>
      <c r="H824" s="259"/>
      <c r="I824" s="259"/>
      <c r="J824" s="259"/>
      <c r="K824" s="259"/>
      <c r="L824" s="259"/>
      <c r="M824" s="236"/>
    </row>
    <row r="825" spans="1:13" x14ac:dyDescent="0.2">
      <c r="A825" s="237"/>
      <c r="B825" s="302"/>
      <c r="C825" s="302"/>
      <c r="D825" s="302"/>
      <c r="E825" s="303"/>
      <c r="F825" s="302"/>
      <c r="G825" s="302"/>
      <c r="H825" s="302"/>
      <c r="I825" s="303"/>
      <c r="J825" s="302"/>
      <c r="K825" s="302"/>
      <c r="L825" s="302"/>
      <c r="M825" s="236"/>
    </row>
    <row r="826" spans="1:13" x14ac:dyDescent="0.2">
      <c r="A826" s="237"/>
      <c r="B826" s="302"/>
      <c r="C826" s="302"/>
      <c r="D826" s="302"/>
      <c r="E826" s="303"/>
      <c r="F826" s="302"/>
      <c r="G826" s="302"/>
      <c r="H826" s="302"/>
      <c r="I826" s="303"/>
      <c r="J826" s="302"/>
      <c r="K826" s="302"/>
      <c r="L826" s="302"/>
      <c r="M826" s="236"/>
    </row>
    <row r="827" spans="1:13" x14ac:dyDescent="0.2">
      <c r="A827" s="237"/>
      <c r="B827" s="302"/>
      <c r="C827" s="302"/>
      <c r="D827" s="302"/>
      <c r="E827" s="303"/>
      <c r="F827" s="302"/>
      <c r="G827" s="302"/>
      <c r="H827" s="302"/>
      <c r="I827" s="303"/>
      <c r="J827" s="302"/>
      <c r="K827" s="302"/>
      <c r="L827" s="302"/>
      <c r="M827" s="236"/>
    </row>
    <row r="828" spans="1:13" x14ac:dyDescent="0.2">
      <c r="A828" s="237"/>
      <c r="B828" s="302"/>
      <c r="C828" s="302"/>
      <c r="D828" s="302"/>
      <c r="E828" s="303"/>
      <c r="F828" s="302"/>
      <c r="G828" s="302"/>
      <c r="H828" s="302"/>
      <c r="I828" s="303"/>
      <c r="J828" s="302"/>
      <c r="K828" s="302"/>
      <c r="L828" s="302"/>
      <c r="M828" s="236"/>
    </row>
    <row r="829" spans="1:13" x14ac:dyDescent="0.2">
      <c r="A829" s="237"/>
      <c r="B829" s="302"/>
      <c r="C829" s="302"/>
      <c r="D829" s="302"/>
      <c r="E829" s="303"/>
      <c r="F829" s="302"/>
      <c r="G829" s="302"/>
      <c r="H829" s="302"/>
      <c r="I829" s="303"/>
      <c r="J829" s="302"/>
      <c r="K829" s="302"/>
      <c r="L829" s="302"/>
      <c r="M829" s="236"/>
    </row>
    <row r="830" spans="1:13" x14ac:dyDescent="0.2">
      <c r="A830" s="237"/>
      <c r="B830" s="302"/>
      <c r="C830" s="302"/>
      <c r="D830" s="302"/>
      <c r="E830" s="303"/>
      <c r="F830" s="302"/>
      <c r="G830" s="302"/>
      <c r="H830" s="302"/>
      <c r="I830" s="303"/>
      <c r="J830" s="302"/>
      <c r="K830" s="302"/>
      <c r="L830" s="302"/>
      <c r="M830" s="236"/>
    </row>
    <row r="831" spans="1:13" x14ac:dyDescent="0.2">
      <c r="A831" s="237"/>
      <c r="B831" s="302"/>
      <c r="C831" s="302"/>
      <c r="D831" s="302"/>
      <c r="E831" s="303"/>
      <c r="F831" s="302"/>
      <c r="G831" s="302"/>
      <c r="H831" s="302"/>
      <c r="I831" s="303"/>
      <c r="J831" s="302"/>
      <c r="K831" s="302"/>
      <c r="L831" s="302"/>
      <c r="M831" s="236"/>
    </row>
    <row r="832" spans="1:13" x14ac:dyDescent="0.2">
      <c r="A832" s="237"/>
      <c r="B832" s="302"/>
      <c r="C832" s="302"/>
      <c r="D832" s="302"/>
      <c r="E832" s="303"/>
      <c r="F832" s="302"/>
      <c r="G832" s="302"/>
      <c r="H832" s="302"/>
      <c r="I832" s="303"/>
      <c r="J832" s="302"/>
      <c r="K832" s="302"/>
      <c r="L832" s="302"/>
      <c r="M832" s="236"/>
    </row>
    <row r="833" spans="1:13" x14ac:dyDescent="0.2">
      <c r="A833" s="237"/>
      <c r="B833" s="302"/>
      <c r="C833" s="302"/>
      <c r="D833" s="302"/>
      <c r="E833" s="303"/>
      <c r="F833" s="302"/>
      <c r="G833" s="302"/>
      <c r="H833" s="302"/>
      <c r="I833" s="303"/>
      <c r="J833" s="302"/>
      <c r="K833" s="302"/>
      <c r="L833" s="302"/>
      <c r="M833" s="236"/>
    </row>
    <row r="834" spans="1:13" x14ac:dyDescent="0.2">
      <c r="A834" s="237"/>
      <c r="B834" s="302"/>
      <c r="C834" s="302"/>
      <c r="D834" s="302"/>
      <c r="E834" s="303"/>
      <c r="F834" s="302"/>
      <c r="G834" s="302"/>
      <c r="H834" s="302"/>
      <c r="I834" s="303"/>
      <c r="J834" s="302"/>
      <c r="K834" s="302"/>
      <c r="L834" s="302"/>
      <c r="M834" s="236"/>
    </row>
    <row r="835" spans="1:13" x14ac:dyDescent="0.2">
      <c r="A835" s="237"/>
      <c r="B835" s="303"/>
      <c r="C835" s="303"/>
      <c r="D835" s="303"/>
      <c r="E835" s="303"/>
      <c r="F835" s="303"/>
      <c r="G835" s="303"/>
      <c r="H835" s="303"/>
      <c r="I835" s="303"/>
      <c r="J835" s="303"/>
      <c r="K835" s="303"/>
      <c r="L835" s="303"/>
      <c r="M835" s="236"/>
    </row>
    <row r="836" spans="1:13" x14ac:dyDescent="0.2">
      <c r="A836" s="237"/>
      <c r="B836" s="237"/>
      <c r="C836" s="237"/>
      <c r="D836" s="237"/>
      <c r="E836" s="237"/>
      <c r="F836" s="237"/>
      <c r="G836" s="237"/>
      <c r="H836" s="237"/>
      <c r="I836" s="237"/>
      <c r="J836" s="237"/>
      <c r="K836" s="237"/>
      <c r="L836" s="240"/>
      <c r="M836" s="236"/>
    </row>
    <row r="837" spans="1:13" x14ac:dyDescent="0.2">
      <c r="A837" s="237"/>
      <c r="B837" s="237"/>
      <c r="C837" s="237"/>
      <c r="D837" s="237"/>
      <c r="E837" s="237"/>
      <c r="F837" s="237"/>
      <c r="G837" s="237"/>
      <c r="H837" s="237"/>
      <c r="I837" s="237"/>
      <c r="J837" s="237"/>
      <c r="K837" s="237"/>
      <c r="L837" s="284"/>
      <c r="M837" s="236"/>
    </row>
    <row r="838" spans="1:13" x14ac:dyDescent="0.2">
      <c r="A838" s="258"/>
      <c r="B838" s="241"/>
      <c r="C838" s="241"/>
      <c r="D838" s="241"/>
      <c r="E838" s="241"/>
      <c r="F838" s="241"/>
      <c r="G838" s="241"/>
      <c r="H838" s="241"/>
      <c r="I838" s="241"/>
      <c r="J838" s="241"/>
      <c r="K838" s="241"/>
      <c r="L838" s="236"/>
      <c r="M838" s="236"/>
    </row>
    <row r="839" spans="1:13" x14ac:dyDescent="0.2">
      <c r="A839" s="241"/>
      <c r="B839" s="375"/>
      <c r="C839" s="375"/>
      <c r="D839" s="375"/>
      <c r="E839" s="253"/>
      <c r="F839" s="375"/>
      <c r="G839" s="375"/>
      <c r="H839" s="375"/>
      <c r="I839" s="253"/>
      <c r="J839" s="375"/>
      <c r="K839" s="375"/>
      <c r="L839" s="375"/>
      <c r="M839" s="236"/>
    </row>
    <row r="840" spans="1:13" x14ac:dyDescent="0.2">
      <c r="A840" s="258"/>
      <c r="B840" s="259"/>
      <c r="C840" s="259"/>
      <c r="D840" s="259"/>
      <c r="E840" s="259"/>
      <c r="F840" s="259"/>
      <c r="G840" s="259"/>
      <c r="H840" s="259"/>
      <c r="I840" s="259"/>
      <c r="J840" s="259"/>
      <c r="K840" s="259"/>
      <c r="L840" s="259"/>
      <c r="M840" s="236"/>
    </row>
    <row r="841" spans="1:13" x14ac:dyDescent="0.2">
      <c r="A841" s="258"/>
      <c r="B841" s="259"/>
      <c r="C841" s="259"/>
      <c r="D841" s="259"/>
      <c r="E841" s="259"/>
      <c r="F841" s="259"/>
      <c r="G841" s="259"/>
      <c r="H841" s="259"/>
      <c r="I841" s="259"/>
      <c r="J841" s="259"/>
      <c r="K841" s="259"/>
      <c r="L841" s="259"/>
      <c r="M841" s="236"/>
    </row>
    <row r="842" spans="1:13" x14ac:dyDescent="0.2">
      <c r="A842" s="237"/>
      <c r="B842" s="302"/>
      <c r="C842" s="302"/>
      <c r="D842" s="302"/>
      <c r="E842" s="303"/>
      <c r="F842" s="302"/>
      <c r="G842" s="302"/>
      <c r="H842" s="302"/>
      <c r="I842" s="303"/>
      <c r="J842" s="302"/>
      <c r="K842" s="302"/>
      <c r="L842" s="302"/>
      <c r="M842" s="236"/>
    </row>
    <row r="843" spans="1:13" x14ac:dyDescent="0.2">
      <c r="A843" s="237"/>
      <c r="B843" s="302"/>
      <c r="C843" s="302"/>
      <c r="D843" s="302"/>
      <c r="E843" s="303"/>
      <c r="F843" s="302"/>
      <c r="G843" s="302"/>
      <c r="H843" s="302"/>
      <c r="I843" s="303"/>
      <c r="J843" s="302"/>
      <c r="K843" s="302"/>
      <c r="L843" s="302"/>
      <c r="M843" s="236"/>
    </row>
    <row r="844" spans="1:13" x14ac:dyDescent="0.2">
      <c r="A844" s="237"/>
      <c r="B844" s="302"/>
      <c r="C844" s="302"/>
      <c r="D844" s="302"/>
      <c r="E844" s="303"/>
      <c r="F844" s="302"/>
      <c r="G844" s="302"/>
      <c r="H844" s="302"/>
      <c r="I844" s="303"/>
      <c r="J844" s="302"/>
      <c r="K844" s="302"/>
      <c r="L844" s="302"/>
      <c r="M844" s="236"/>
    </row>
    <row r="845" spans="1:13" x14ac:dyDescent="0.2">
      <c r="A845" s="237"/>
      <c r="B845" s="302"/>
      <c r="C845" s="302"/>
      <c r="D845" s="302"/>
      <c r="E845" s="303"/>
      <c r="F845" s="302"/>
      <c r="G845" s="302"/>
      <c r="H845" s="302"/>
      <c r="I845" s="303"/>
      <c r="J845" s="302"/>
      <c r="K845" s="302"/>
      <c r="L845" s="302"/>
      <c r="M845" s="236"/>
    </row>
    <row r="846" spans="1:13" x14ac:dyDescent="0.2">
      <c r="A846" s="237"/>
      <c r="B846" s="302"/>
      <c r="C846" s="302"/>
      <c r="D846" s="302"/>
      <c r="E846" s="303"/>
      <c r="F846" s="302"/>
      <c r="G846" s="302"/>
      <c r="H846" s="302"/>
      <c r="I846" s="303"/>
      <c r="J846" s="302"/>
      <c r="K846" s="302"/>
      <c r="L846" s="302"/>
      <c r="M846" s="236"/>
    </row>
    <row r="847" spans="1:13" x14ac:dyDescent="0.2">
      <c r="A847" s="237"/>
      <c r="B847" s="302"/>
      <c r="C847" s="302"/>
      <c r="D847" s="302"/>
      <c r="E847" s="303"/>
      <c r="F847" s="302"/>
      <c r="G847" s="302"/>
      <c r="H847" s="302"/>
      <c r="I847" s="303"/>
      <c r="J847" s="302"/>
      <c r="K847" s="302"/>
      <c r="L847" s="302"/>
      <c r="M847" s="236"/>
    </row>
    <row r="848" spans="1:13" x14ac:dyDescent="0.2">
      <c r="A848" s="237"/>
      <c r="B848" s="302"/>
      <c r="C848" s="302"/>
      <c r="D848" s="302"/>
      <c r="E848" s="303"/>
      <c r="F848" s="302"/>
      <c r="G848" s="302"/>
      <c r="H848" s="302"/>
      <c r="I848" s="303"/>
      <c r="J848" s="302"/>
      <c r="K848" s="302"/>
      <c r="L848" s="302"/>
      <c r="M848" s="236"/>
    </row>
    <row r="849" spans="1:13" x14ac:dyDescent="0.2">
      <c r="A849" s="237"/>
      <c r="B849" s="302"/>
      <c r="C849" s="302"/>
      <c r="D849" s="302"/>
      <c r="E849" s="303"/>
      <c r="F849" s="302"/>
      <c r="G849" s="302"/>
      <c r="H849" s="302"/>
      <c r="I849" s="303"/>
      <c r="J849" s="302"/>
      <c r="K849" s="302"/>
      <c r="L849" s="302"/>
      <c r="M849" s="236"/>
    </row>
    <row r="850" spans="1:13" x14ac:dyDescent="0.2">
      <c r="A850" s="237"/>
      <c r="B850" s="302"/>
      <c r="C850" s="302"/>
      <c r="D850" s="302"/>
      <c r="E850" s="303"/>
      <c r="F850" s="302"/>
      <c r="G850" s="302"/>
      <c r="H850" s="302"/>
      <c r="I850" s="303"/>
      <c r="J850" s="302"/>
      <c r="K850" s="302"/>
      <c r="L850" s="302"/>
      <c r="M850" s="236"/>
    </row>
    <row r="851" spans="1:13" x14ac:dyDescent="0.2">
      <c r="A851" s="237"/>
      <c r="B851" s="302"/>
      <c r="C851" s="302"/>
      <c r="D851" s="302"/>
      <c r="E851" s="303"/>
      <c r="F851" s="302"/>
      <c r="G851" s="302"/>
      <c r="H851" s="302"/>
      <c r="I851" s="303"/>
      <c r="J851" s="302"/>
      <c r="K851" s="302"/>
      <c r="L851" s="302"/>
      <c r="M851" s="236"/>
    </row>
    <row r="852" spans="1:13" x14ac:dyDescent="0.2">
      <c r="A852" s="237"/>
      <c r="B852" s="303"/>
      <c r="C852" s="303"/>
      <c r="D852" s="303"/>
      <c r="E852" s="303"/>
      <c r="F852" s="303"/>
      <c r="G852" s="303"/>
      <c r="H852" s="303"/>
      <c r="I852" s="303"/>
      <c r="J852" s="303"/>
      <c r="K852" s="303"/>
      <c r="L852" s="303"/>
      <c r="M852" s="236"/>
    </row>
    <row r="853" spans="1:13" x14ac:dyDescent="0.2">
      <c r="A853" s="237"/>
      <c r="B853" s="237"/>
      <c r="C853" s="237"/>
      <c r="D853" s="237"/>
      <c r="E853" s="237"/>
      <c r="F853" s="237"/>
      <c r="G853" s="237"/>
      <c r="H853" s="237"/>
      <c r="I853" s="237"/>
      <c r="J853" s="237"/>
      <c r="K853" s="237"/>
      <c r="L853" s="240"/>
      <c r="M853" s="236"/>
    </row>
    <row r="854" spans="1:13" x14ac:dyDescent="0.2">
      <c r="A854" s="237"/>
      <c r="B854" s="237"/>
      <c r="C854" s="237"/>
      <c r="D854" s="237"/>
      <c r="E854" s="237"/>
      <c r="F854" s="237"/>
      <c r="G854" s="237"/>
      <c r="H854" s="237"/>
      <c r="I854" s="237"/>
      <c r="J854" s="237"/>
      <c r="K854" s="237"/>
      <c r="L854" s="284"/>
      <c r="M854" s="236"/>
    </row>
    <row r="855" spans="1:13" x14ac:dyDescent="0.2">
      <c r="A855" s="258"/>
      <c r="B855" s="241"/>
      <c r="C855" s="241"/>
      <c r="D855" s="241"/>
      <c r="E855" s="241"/>
      <c r="F855" s="241"/>
      <c r="G855" s="241"/>
      <c r="H855" s="241"/>
      <c r="I855" s="241"/>
      <c r="J855" s="241"/>
      <c r="K855" s="241"/>
      <c r="L855" s="236"/>
      <c r="M855" s="236"/>
    </row>
    <row r="856" spans="1:13" x14ac:dyDescent="0.2">
      <c r="A856" s="241"/>
      <c r="B856" s="375"/>
      <c r="C856" s="375"/>
      <c r="D856" s="375"/>
      <c r="E856" s="253"/>
      <c r="F856" s="375"/>
      <c r="G856" s="375"/>
      <c r="H856" s="375"/>
      <c r="I856" s="253"/>
      <c r="J856" s="375"/>
      <c r="K856" s="375"/>
      <c r="L856" s="375"/>
      <c r="M856" s="236"/>
    </row>
    <row r="857" spans="1:13" x14ac:dyDescent="0.2">
      <c r="A857" s="258"/>
      <c r="B857" s="259"/>
      <c r="C857" s="259"/>
      <c r="D857" s="259"/>
      <c r="E857" s="259"/>
      <c r="F857" s="259"/>
      <c r="G857" s="259"/>
      <c r="H857" s="259"/>
      <c r="I857" s="259"/>
      <c r="J857" s="259"/>
      <c r="K857" s="259"/>
      <c r="L857" s="259"/>
      <c r="M857" s="236"/>
    </row>
    <row r="858" spans="1:13" x14ac:dyDescent="0.2">
      <c r="A858" s="258"/>
      <c r="B858" s="259"/>
      <c r="C858" s="259"/>
      <c r="D858" s="259"/>
      <c r="E858" s="259"/>
      <c r="F858" s="259"/>
      <c r="G858" s="259"/>
      <c r="H858" s="259"/>
      <c r="I858" s="259"/>
      <c r="J858" s="259"/>
      <c r="K858" s="259"/>
      <c r="L858" s="259"/>
      <c r="M858" s="236"/>
    </row>
    <row r="859" spans="1:13" x14ac:dyDescent="0.2">
      <c r="A859" s="237"/>
      <c r="B859" s="302"/>
      <c r="C859" s="302"/>
      <c r="D859" s="302"/>
      <c r="E859" s="303"/>
      <c r="F859" s="302"/>
      <c r="G859" s="302"/>
      <c r="H859" s="302"/>
      <c r="I859" s="303"/>
      <c r="J859" s="302"/>
      <c r="K859" s="302"/>
      <c r="L859" s="302"/>
      <c r="M859" s="236"/>
    </row>
    <row r="860" spans="1:13" x14ac:dyDescent="0.2">
      <c r="A860" s="237"/>
      <c r="B860" s="302"/>
      <c r="C860" s="302"/>
      <c r="D860" s="302"/>
      <c r="E860" s="303"/>
      <c r="F860" s="302"/>
      <c r="G860" s="302"/>
      <c r="H860" s="302"/>
      <c r="I860" s="303"/>
      <c r="J860" s="302"/>
      <c r="K860" s="302"/>
      <c r="L860" s="302"/>
      <c r="M860" s="236"/>
    </row>
    <row r="861" spans="1:13" x14ac:dyDescent="0.2">
      <c r="A861" s="237"/>
      <c r="B861" s="302"/>
      <c r="C861" s="302"/>
      <c r="D861" s="302"/>
      <c r="E861" s="303"/>
      <c r="F861" s="302"/>
      <c r="G861" s="302"/>
      <c r="H861" s="302"/>
      <c r="I861" s="303"/>
      <c r="J861" s="302"/>
      <c r="K861" s="302"/>
      <c r="L861" s="302"/>
      <c r="M861" s="236"/>
    </row>
    <row r="862" spans="1:13" x14ac:dyDescent="0.2">
      <c r="A862" s="237"/>
      <c r="B862" s="302"/>
      <c r="C862" s="302"/>
      <c r="D862" s="302"/>
      <c r="E862" s="303"/>
      <c r="F862" s="302"/>
      <c r="G862" s="302"/>
      <c r="H862" s="302"/>
      <c r="I862" s="303"/>
      <c r="J862" s="302"/>
      <c r="K862" s="302"/>
      <c r="L862" s="302"/>
      <c r="M862" s="236"/>
    </row>
    <row r="863" spans="1:13" x14ac:dyDescent="0.2">
      <c r="A863" s="237"/>
      <c r="B863" s="302"/>
      <c r="C863" s="302"/>
      <c r="D863" s="302"/>
      <c r="E863" s="303"/>
      <c r="F863" s="302"/>
      <c r="G863" s="302"/>
      <c r="H863" s="302"/>
      <c r="I863" s="303"/>
      <c r="J863" s="302"/>
      <c r="K863" s="302"/>
      <c r="L863" s="302"/>
      <c r="M863" s="236"/>
    </row>
    <row r="864" spans="1:13" x14ac:dyDescent="0.2">
      <c r="A864" s="237"/>
      <c r="B864" s="302"/>
      <c r="C864" s="302"/>
      <c r="D864" s="302"/>
      <c r="E864" s="303"/>
      <c r="F864" s="302"/>
      <c r="G864" s="302"/>
      <c r="H864" s="302"/>
      <c r="I864" s="303"/>
      <c r="J864" s="302"/>
      <c r="K864" s="302"/>
      <c r="L864" s="302"/>
      <c r="M864" s="236"/>
    </row>
    <row r="865" spans="1:13" x14ac:dyDescent="0.2">
      <c r="A865" s="237"/>
      <c r="B865" s="302"/>
      <c r="C865" s="302"/>
      <c r="D865" s="302"/>
      <c r="E865" s="303"/>
      <c r="F865" s="302"/>
      <c r="G865" s="302"/>
      <c r="H865" s="302"/>
      <c r="I865" s="303"/>
      <c r="J865" s="302"/>
      <c r="K865" s="302"/>
      <c r="L865" s="302"/>
      <c r="M865" s="236"/>
    </row>
    <row r="866" spans="1:13" x14ac:dyDescent="0.2">
      <c r="A866" s="237"/>
      <c r="B866" s="302"/>
      <c r="C866" s="302"/>
      <c r="D866" s="302"/>
      <c r="E866" s="303"/>
      <c r="F866" s="302"/>
      <c r="G866" s="302"/>
      <c r="H866" s="302"/>
      <c r="I866" s="303"/>
      <c r="J866" s="302"/>
      <c r="K866" s="302"/>
      <c r="L866" s="302"/>
      <c r="M866" s="236"/>
    </row>
    <row r="867" spans="1:13" x14ac:dyDescent="0.2">
      <c r="A867" s="237"/>
      <c r="B867" s="302"/>
      <c r="C867" s="302"/>
      <c r="D867" s="302"/>
      <c r="E867" s="303"/>
      <c r="F867" s="302"/>
      <c r="G867" s="302"/>
      <c r="H867" s="302"/>
      <c r="I867" s="303"/>
      <c r="J867" s="302"/>
      <c r="K867" s="302"/>
      <c r="L867" s="302"/>
      <c r="M867" s="236"/>
    </row>
    <row r="868" spans="1:13" x14ac:dyDescent="0.2">
      <c r="A868" s="237"/>
      <c r="B868" s="302"/>
      <c r="C868" s="302"/>
      <c r="D868" s="302"/>
      <c r="E868" s="303"/>
      <c r="F868" s="302"/>
      <c r="G868" s="302"/>
      <c r="H868" s="302"/>
      <c r="I868" s="303"/>
      <c r="J868" s="302"/>
      <c r="K868" s="302"/>
      <c r="L868" s="302"/>
      <c r="M868" s="236"/>
    </row>
    <row r="869" spans="1:13" x14ac:dyDescent="0.2">
      <c r="A869" s="237"/>
      <c r="B869" s="303"/>
      <c r="C869" s="303"/>
      <c r="D869" s="303"/>
      <c r="E869" s="303"/>
      <c r="F869" s="303"/>
      <c r="G869" s="303"/>
      <c r="H869" s="303"/>
      <c r="I869" s="303"/>
      <c r="J869" s="303"/>
      <c r="K869" s="303"/>
      <c r="L869" s="303"/>
      <c r="M869" s="236"/>
    </row>
    <row r="870" spans="1:13" x14ac:dyDescent="0.2">
      <c r="A870" s="237"/>
      <c r="B870" s="237"/>
      <c r="C870" s="237"/>
      <c r="D870" s="237"/>
      <c r="E870" s="237"/>
      <c r="F870" s="237"/>
      <c r="G870" s="237"/>
      <c r="H870" s="237"/>
      <c r="I870" s="237"/>
      <c r="J870" s="237"/>
      <c r="K870" s="237"/>
      <c r="L870" s="240"/>
      <c r="M870" s="236"/>
    </row>
    <row r="871" spans="1:13" x14ac:dyDescent="0.2">
      <c r="A871" s="237"/>
      <c r="B871" s="237"/>
      <c r="C871" s="237"/>
      <c r="D871" s="237"/>
      <c r="E871" s="237"/>
      <c r="F871" s="237"/>
      <c r="G871" s="237"/>
      <c r="H871" s="237"/>
      <c r="I871" s="237"/>
      <c r="J871" s="237"/>
      <c r="K871" s="237"/>
      <c r="L871" s="284"/>
      <c r="M871" s="236"/>
    </row>
    <row r="872" spans="1:13" x14ac:dyDescent="0.2">
      <c r="A872" s="258"/>
      <c r="B872" s="241"/>
      <c r="C872" s="241"/>
      <c r="D872" s="241"/>
      <c r="E872" s="241"/>
      <c r="F872" s="241"/>
      <c r="G872" s="241"/>
      <c r="H872" s="241"/>
      <c r="I872" s="241"/>
      <c r="J872" s="241"/>
      <c r="K872" s="241"/>
      <c r="L872" s="236"/>
      <c r="M872" s="236"/>
    </row>
    <row r="873" spans="1:13" x14ac:dyDescent="0.2">
      <c r="A873" s="241"/>
      <c r="B873" s="375"/>
      <c r="C873" s="375"/>
      <c r="D873" s="375"/>
      <c r="E873" s="253"/>
      <c r="F873" s="375"/>
      <c r="G873" s="375"/>
      <c r="H873" s="375"/>
      <c r="I873" s="253"/>
      <c r="J873" s="375"/>
      <c r="K873" s="375"/>
      <c r="L873" s="375"/>
      <c r="M873" s="236"/>
    </row>
    <row r="874" spans="1:13" x14ac:dyDescent="0.2">
      <c r="A874" s="258"/>
      <c r="B874" s="259"/>
      <c r="C874" s="259"/>
      <c r="D874" s="259"/>
      <c r="E874" s="259"/>
      <c r="F874" s="259"/>
      <c r="G874" s="259"/>
      <c r="H874" s="259"/>
      <c r="I874" s="259"/>
      <c r="J874" s="259"/>
      <c r="K874" s="259"/>
      <c r="L874" s="259"/>
      <c r="M874" s="236"/>
    </row>
    <row r="875" spans="1:13" x14ac:dyDescent="0.2">
      <c r="A875" s="258"/>
      <c r="B875" s="259"/>
      <c r="C875" s="259"/>
      <c r="D875" s="259"/>
      <c r="E875" s="259"/>
      <c r="F875" s="259"/>
      <c r="G875" s="259"/>
      <c r="H875" s="259"/>
      <c r="I875" s="259"/>
      <c r="J875" s="259"/>
      <c r="K875" s="259"/>
      <c r="L875" s="259"/>
      <c r="M875" s="236"/>
    </row>
    <row r="876" spans="1:13" x14ac:dyDescent="0.2">
      <c r="A876" s="237"/>
      <c r="B876" s="302"/>
      <c r="C876" s="302"/>
      <c r="D876" s="302"/>
      <c r="E876" s="303"/>
      <c r="F876" s="302"/>
      <c r="G876" s="302"/>
      <c r="H876" s="302"/>
      <c r="I876" s="303"/>
      <c r="J876" s="302"/>
      <c r="K876" s="302"/>
      <c r="L876" s="302"/>
      <c r="M876" s="236"/>
    </row>
    <row r="877" spans="1:13" x14ac:dyDescent="0.2">
      <c r="A877" s="237"/>
      <c r="B877" s="302"/>
      <c r="C877" s="302"/>
      <c r="D877" s="302"/>
      <c r="E877" s="303"/>
      <c r="F877" s="302"/>
      <c r="G877" s="302"/>
      <c r="H877" s="302"/>
      <c r="I877" s="303"/>
      <c r="J877" s="302"/>
      <c r="K877" s="302"/>
      <c r="L877" s="302"/>
      <c r="M877" s="236"/>
    </row>
    <row r="878" spans="1:13" x14ac:dyDescent="0.2">
      <c r="A878" s="237"/>
      <c r="B878" s="302"/>
      <c r="C878" s="302"/>
      <c r="D878" s="302"/>
      <c r="E878" s="303"/>
      <c r="F878" s="302"/>
      <c r="G878" s="302"/>
      <c r="H878" s="302"/>
      <c r="I878" s="303"/>
      <c r="J878" s="302"/>
      <c r="K878" s="302"/>
      <c r="L878" s="302"/>
      <c r="M878" s="236"/>
    </row>
    <row r="879" spans="1:13" x14ac:dyDescent="0.2">
      <c r="A879" s="237"/>
      <c r="B879" s="302"/>
      <c r="C879" s="302"/>
      <c r="D879" s="302"/>
      <c r="E879" s="303"/>
      <c r="F879" s="302"/>
      <c r="G879" s="302"/>
      <c r="H879" s="302"/>
      <c r="I879" s="303"/>
      <c r="J879" s="302"/>
      <c r="K879" s="302"/>
      <c r="L879" s="302"/>
      <c r="M879" s="236"/>
    </row>
    <row r="880" spans="1:13" x14ac:dyDescent="0.2">
      <c r="A880" s="237"/>
      <c r="B880" s="302"/>
      <c r="C880" s="302"/>
      <c r="D880" s="302"/>
      <c r="E880" s="303"/>
      <c r="F880" s="302"/>
      <c r="G880" s="302"/>
      <c r="H880" s="302"/>
      <c r="I880" s="303"/>
      <c r="J880" s="302"/>
      <c r="K880" s="302"/>
      <c r="L880" s="302"/>
      <c r="M880" s="236"/>
    </row>
    <row r="881" spans="1:13" x14ac:dyDescent="0.2">
      <c r="A881" s="237"/>
      <c r="B881" s="302"/>
      <c r="C881" s="302"/>
      <c r="D881" s="302"/>
      <c r="E881" s="303"/>
      <c r="F881" s="302"/>
      <c r="G881" s="302"/>
      <c r="H881" s="302"/>
      <c r="I881" s="303"/>
      <c r="J881" s="302"/>
      <c r="K881" s="302"/>
      <c r="L881" s="302"/>
      <c r="M881" s="236"/>
    </row>
    <row r="882" spans="1:13" x14ac:dyDescent="0.2">
      <c r="A882" s="237"/>
      <c r="B882" s="302"/>
      <c r="C882" s="302"/>
      <c r="D882" s="302"/>
      <c r="E882" s="303"/>
      <c r="F882" s="302"/>
      <c r="G882" s="302"/>
      <c r="H882" s="302"/>
      <c r="I882" s="303"/>
      <c r="J882" s="302"/>
      <c r="K882" s="302"/>
      <c r="L882" s="302"/>
      <c r="M882" s="236"/>
    </row>
    <row r="883" spans="1:13" x14ac:dyDescent="0.2">
      <c r="A883" s="237"/>
      <c r="B883" s="302"/>
      <c r="C883" s="302"/>
      <c r="D883" s="302"/>
      <c r="E883" s="303"/>
      <c r="F883" s="302"/>
      <c r="G883" s="302"/>
      <c r="H883" s="302"/>
      <c r="I883" s="303"/>
      <c r="J883" s="302"/>
      <c r="K883" s="302"/>
      <c r="L883" s="302"/>
      <c r="M883" s="236"/>
    </row>
    <row r="884" spans="1:13" x14ac:dyDescent="0.2">
      <c r="A884" s="237"/>
      <c r="B884" s="302"/>
      <c r="C884" s="302"/>
      <c r="D884" s="302"/>
      <c r="E884" s="303"/>
      <c r="F884" s="302"/>
      <c r="G884" s="302"/>
      <c r="H884" s="302"/>
      <c r="I884" s="303"/>
      <c r="J884" s="302"/>
      <c r="K884" s="302"/>
      <c r="L884" s="302"/>
      <c r="M884" s="236"/>
    </row>
    <row r="885" spans="1:13" x14ac:dyDescent="0.2">
      <c r="A885" s="237"/>
      <c r="B885" s="302"/>
      <c r="C885" s="302"/>
      <c r="D885" s="302"/>
      <c r="E885" s="303"/>
      <c r="F885" s="302"/>
      <c r="G885" s="302"/>
      <c r="H885" s="302"/>
      <c r="I885" s="303"/>
      <c r="J885" s="302"/>
      <c r="K885" s="302"/>
      <c r="L885" s="302"/>
      <c r="M885" s="236"/>
    </row>
    <row r="886" spans="1:13" x14ac:dyDescent="0.2">
      <c r="A886" s="237"/>
      <c r="B886" s="303"/>
      <c r="C886" s="303"/>
      <c r="D886" s="303"/>
      <c r="E886" s="303"/>
      <c r="F886" s="303"/>
      <c r="G886" s="303"/>
      <c r="H886" s="303"/>
      <c r="I886" s="303"/>
      <c r="J886" s="303"/>
      <c r="K886" s="303"/>
      <c r="L886" s="303"/>
      <c r="M886" s="236"/>
    </row>
    <row r="887" spans="1:13" x14ac:dyDescent="0.2">
      <c r="A887" s="237"/>
      <c r="B887" s="237"/>
      <c r="C887" s="237"/>
      <c r="D887" s="237"/>
      <c r="E887" s="237"/>
      <c r="F887" s="237"/>
      <c r="G887" s="237"/>
      <c r="H887" s="237"/>
      <c r="I887" s="237"/>
      <c r="J887" s="237"/>
      <c r="K887" s="237"/>
      <c r="L887" s="240"/>
      <c r="M887" s="236"/>
    </row>
    <row r="888" spans="1:13" x14ac:dyDescent="0.2">
      <c r="A888" s="237"/>
      <c r="B888" s="237"/>
      <c r="C888" s="237"/>
      <c r="D888" s="237"/>
      <c r="E888" s="237"/>
      <c r="F888" s="237"/>
      <c r="G888" s="237"/>
      <c r="H888" s="237"/>
      <c r="I888" s="237"/>
      <c r="J888" s="237"/>
      <c r="K888" s="237"/>
      <c r="L888" s="284"/>
      <c r="M888" s="236"/>
    </row>
    <row r="889" spans="1:13" x14ac:dyDescent="0.2">
      <c r="A889" s="258"/>
      <c r="B889" s="241"/>
      <c r="C889" s="241"/>
      <c r="D889" s="241"/>
      <c r="E889" s="241"/>
      <c r="F889" s="241"/>
      <c r="G889" s="241"/>
      <c r="H889" s="241"/>
      <c r="I889" s="241"/>
      <c r="J889" s="241"/>
      <c r="K889" s="241"/>
      <c r="L889" s="236"/>
      <c r="M889" s="236"/>
    </row>
    <row r="890" spans="1:13" x14ac:dyDescent="0.2">
      <c r="A890" s="241"/>
      <c r="B890" s="375"/>
      <c r="C890" s="375"/>
      <c r="D890" s="375"/>
      <c r="E890" s="253"/>
      <c r="F890" s="375"/>
      <c r="G890" s="375"/>
      <c r="H890" s="375"/>
      <c r="I890" s="253"/>
      <c r="J890" s="375"/>
      <c r="K890" s="375"/>
      <c r="L890" s="375"/>
      <c r="M890" s="236"/>
    </row>
    <row r="891" spans="1:13" x14ac:dyDescent="0.2">
      <c r="A891" s="258"/>
      <c r="B891" s="259"/>
      <c r="C891" s="259"/>
      <c r="D891" s="259"/>
      <c r="E891" s="259"/>
      <c r="F891" s="259"/>
      <c r="G891" s="259"/>
      <c r="H891" s="259"/>
      <c r="I891" s="259"/>
      <c r="J891" s="259"/>
      <c r="K891" s="259"/>
      <c r="L891" s="259"/>
      <c r="M891" s="236"/>
    </row>
    <row r="892" spans="1:13" x14ac:dyDescent="0.2">
      <c r="A892" s="258"/>
      <c r="B892" s="259"/>
      <c r="C892" s="259"/>
      <c r="D892" s="259"/>
      <c r="E892" s="259"/>
      <c r="F892" s="259"/>
      <c r="G892" s="259"/>
      <c r="H892" s="259"/>
      <c r="I892" s="259"/>
      <c r="J892" s="259"/>
      <c r="K892" s="259"/>
      <c r="L892" s="259"/>
      <c r="M892" s="236"/>
    </row>
    <row r="893" spans="1:13" x14ac:dyDescent="0.2">
      <c r="A893" s="237"/>
      <c r="B893" s="302"/>
      <c r="C893" s="302"/>
      <c r="D893" s="302"/>
      <c r="E893" s="303"/>
      <c r="F893" s="302"/>
      <c r="G893" s="302"/>
      <c r="H893" s="302"/>
      <c r="I893" s="303"/>
      <c r="J893" s="302"/>
      <c r="K893" s="302"/>
      <c r="L893" s="302"/>
      <c r="M893" s="236"/>
    </row>
    <row r="894" spans="1:13" x14ac:dyDescent="0.2">
      <c r="A894" s="237"/>
      <c r="B894" s="302"/>
      <c r="C894" s="302"/>
      <c r="D894" s="302"/>
      <c r="E894" s="303"/>
      <c r="F894" s="302"/>
      <c r="G894" s="302"/>
      <c r="H894" s="302"/>
      <c r="I894" s="303"/>
      <c r="J894" s="302"/>
      <c r="K894" s="302"/>
      <c r="L894" s="302"/>
      <c r="M894" s="236"/>
    </row>
    <row r="895" spans="1:13" x14ac:dyDescent="0.2">
      <c r="A895" s="237"/>
      <c r="B895" s="302"/>
      <c r="C895" s="302"/>
      <c r="D895" s="302"/>
      <c r="E895" s="303"/>
      <c r="F895" s="302"/>
      <c r="G895" s="302"/>
      <c r="H895" s="302"/>
      <c r="I895" s="303"/>
      <c r="J895" s="302"/>
      <c r="K895" s="302"/>
      <c r="L895" s="302"/>
      <c r="M895" s="236"/>
    </row>
    <row r="896" spans="1:13" x14ac:dyDescent="0.2">
      <c r="A896" s="237"/>
      <c r="B896" s="302"/>
      <c r="C896" s="302"/>
      <c r="D896" s="302"/>
      <c r="E896" s="303"/>
      <c r="F896" s="302"/>
      <c r="G896" s="302"/>
      <c r="H896" s="302"/>
      <c r="I896" s="303"/>
      <c r="J896" s="302"/>
      <c r="K896" s="302"/>
      <c r="L896" s="302"/>
      <c r="M896" s="236"/>
    </row>
    <row r="897" spans="1:13" x14ac:dyDescent="0.2">
      <c r="A897" s="237"/>
      <c r="B897" s="302"/>
      <c r="C897" s="302"/>
      <c r="D897" s="302"/>
      <c r="E897" s="303"/>
      <c r="F897" s="302"/>
      <c r="G897" s="302"/>
      <c r="H897" s="302"/>
      <c r="I897" s="303"/>
      <c r="J897" s="302"/>
      <c r="K897" s="302"/>
      <c r="L897" s="302"/>
      <c r="M897" s="236"/>
    </row>
    <row r="898" spans="1:13" x14ac:dyDescent="0.2">
      <c r="A898" s="237"/>
      <c r="B898" s="302"/>
      <c r="C898" s="302"/>
      <c r="D898" s="302"/>
      <c r="E898" s="303"/>
      <c r="F898" s="302"/>
      <c r="G898" s="302"/>
      <c r="H898" s="302"/>
      <c r="I898" s="303"/>
      <c r="J898" s="302"/>
      <c r="K898" s="302"/>
      <c r="L898" s="302"/>
      <c r="M898" s="236"/>
    </row>
    <row r="899" spans="1:13" x14ac:dyDescent="0.2">
      <c r="A899" s="237"/>
      <c r="B899" s="302"/>
      <c r="C899" s="302"/>
      <c r="D899" s="302"/>
      <c r="E899" s="303"/>
      <c r="F899" s="302"/>
      <c r="G899" s="302"/>
      <c r="H899" s="302"/>
      <c r="I899" s="303"/>
      <c r="J899" s="302"/>
      <c r="K899" s="302"/>
      <c r="L899" s="302"/>
      <c r="M899" s="236"/>
    </row>
    <row r="900" spans="1:13" x14ac:dyDescent="0.2">
      <c r="A900" s="237"/>
      <c r="B900" s="302"/>
      <c r="C900" s="302"/>
      <c r="D900" s="302"/>
      <c r="E900" s="303"/>
      <c r="F900" s="302"/>
      <c r="G900" s="302"/>
      <c r="H900" s="302"/>
      <c r="I900" s="303"/>
      <c r="J900" s="302"/>
      <c r="K900" s="302"/>
      <c r="L900" s="302"/>
      <c r="M900" s="236"/>
    </row>
    <row r="901" spans="1:13" x14ac:dyDescent="0.2">
      <c r="A901" s="237"/>
      <c r="B901" s="302"/>
      <c r="C901" s="302"/>
      <c r="D901" s="302"/>
      <c r="E901" s="303"/>
      <c r="F901" s="302"/>
      <c r="G901" s="302"/>
      <c r="H901" s="302"/>
      <c r="I901" s="303"/>
      <c r="J901" s="302"/>
      <c r="K901" s="302"/>
      <c r="L901" s="302"/>
      <c r="M901" s="236"/>
    </row>
    <row r="902" spans="1:13" x14ac:dyDescent="0.2">
      <c r="A902" s="237"/>
      <c r="B902" s="302"/>
      <c r="C902" s="302"/>
      <c r="D902" s="302"/>
      <c r="E902" s="303"/>
      <c r="F902" s="302"/>
      <c r="G902" s="302"/>
      <c r="H902" s="302"/>
      <c r="I902" s="303"/>
      <c r="J902" s="302"/>
      <c r="K902" s="302"/>
      <c r="L902" s="302"/>
      <c r="M902" s="236"/>
    </row>
    <row r="903" spans="1:13" x14ac:dyDescent="0.2">
      <c r="A903" s="237"/>
      <c r="B903" s="303"/>
      <c r="C903" s="303"/>
      <c r="D903" s="303"/>
      <c r="E903" s="303"/>
      <c r="F903" s="303"/>
      <c r="G903" s="303"/>
      <c r="H903" s="303"/>
      <c r="I903" s="303"/>
      <c r="J903" s="303"/>
      <c r="K903" s="303"/>
      <c r="L903" s="303"/>
      <c r="M903" s="236"/>
    </row>
    <row r="904" spans="1:13" x14ac:dyDescent="0.2">
      <c r="A904" s="237"/>
      <c r="B904" s="237"/>
      <c r="C904" s="237"/>
      <c r="D904" s="237"/>
      <c r="E904" s="237"/>
      <c r="F904" s="237"/>
      <c r="G904" s="237"/>
      <c r="H904" s="237"/>
      <c r="I904" s="237"/>
      <c r="J904" s="237"/>
      <c r="K904" s="237"/>
      <c r="L904" s="240"/>
      <c r="M904" s="236"/>
    </row>
    <row r="905" spans="1:13" x14ac:dyDescent="0.2">
      <c r="A905" s="237"/>
      <c r="B905" s="237"/>
      <c r="C905" s="237"/>
      <c r="D905" s="237"/>
      <c r="E905" s="237"/>
      <c r="F905" s="237"/>
      <c r="G905" s="237"/>
      <c r="H905" s="237"/>
      <c r="I905" s="237"/>
      <c r="J905" s="237"/>
      <c r="K905" s="237"/>
      <c r="L905" s="284"/>
      <c r="M905" s="236"/>
    </row>
    <row r="906" spans="1:13" x14ac:dyDescent="0.2">
      <c r="A906" s="258"/>
      <c r="B906" s="241"/>
      <c r="C906" s="241"/>
      <c r="D906" s="241"/>
      <c r="E906" s="241"/>
      <c r="F906" s="241"/>
      <c r="G906" s="241"/>
      <c r="H906" s="241"/>
      <c r="I906" s="241"/>
      <c r="J906" s="241"/>
      <c r="K906" s="241"/>
      <c r="L906" s="236"/>
      <c r="M906" s="236"/>
    </row>
    <row r="907" spans="1:13" x14ac:dyDescent="0.2">
      <c r="A907" s="241"/>
      <c r="B907" s="375"/>
      <c r="C907" s="375"/>
      <c r="D907" s="375"/>
      <c r="E907" s="253"/>
      <c r="F907" s="375"/>
      <c r="G907" s="375"/>
      <c r="H907" s="375"/>
      <c r="I907" s="253"/>
      <c r="J907" s="375"/>
      <c r="K907" s="375"/>
      <c r="L907" s="375"/>
      <c r="M907" s="236"/>
    </row>
    <row r="908" spans="1:13" x14ac:dyDescent="0.2">
      <c r="A908" s="258"/>
      <c r="B908" s="259"/>
      <c r="C908" s="259"/>
      <c r="D908" s="259"/>
      <c r="E908" s="259"/>
      <c r="F908" s="259"/>
      <c r="G908" s="259"/>
      <c r="H908" s="259"/>
      <c r="I908" s="259"/>
      <c r="J908" s="259"/>
      <c r="K908" s="259"/>
      <c r="L908" s="259"/>
      <c r="M908" s="236"/>
    </row>
    <row r="909" spans="1:13" x14ac:dyDescent="0.2">
      <c r="A909" s="258"/>
      <c r="B909" s="259"/>
      <c r="C909" s="259"/>
      <c r="D909" s="259"/>
      <c r="E909" s="259"/>
      <c r="F909" s="259"/>
      <c r="G909" s="259"/>
      <c r="H909" s="259"/>
      <c r="I909" s="259"/>
      <c r="J909" s="259"/>
      <c r="K909" s="259"/>
      <c r="L909" s="259"/>
      <c r="M909" s="236"/>
    </row>
    <row r="910" spans="1:13" x14ac:dyDescent="0.2">
      <c r="A910" s="237"/>
      <c r="B910" s="302"/>
      <c r="C910" s="302"/>
      <c r="D910" s="302"/>
      <c r="E910" s="303"/>
      <c r="F910" s="302"/>
      <c r="G910" s="302"/>
      <c r="H910" s="302"/>
      <c r="I910" s="303"/>
      <c r="J910" s="302"/>
      <c r="K910" s="302"/>
      <c r="L910" s="302"/>
      <c r="M910" s="236"/>
    </row>
    <row r="911" spans="1:13" x14ac:dyDescent="0.2">
      <c r="A911" s="237"/>
      <c r="B911" s="302"/>
      <c r="C911" s="302"/>
      <c r="D911" s="302"/>
      <c r="E911" s="303"/>
      <c r="F911" s="302"/>
      <c r="G911" s="302"/>
      <c r="H911" s="302"/>
      <c r="I911" s="303"/>
      <c r="J911" s="302"/>
      <c r="K911" s="302"/>
      <c r="L911" s="302"/>
      <c r="M911" s="236"/>
    </row>
    <row r="912" spans="1:13" x14ac:dyDescent="0.2">
      <c r="A912" s="237"/>
      <c r="B912" s="302"/>
      <c r="C912" s="302"/>
      <c r="D912" s="302"/>
      <c r="E912" s="303"/>
      <c r="F912" s="302"/>
      <c r="G912" s="302"/>
      <c r="H912" s="302"/>
      <c r="I912" s="303"/>
      <c r="J912" s="302"/>
      <c r="K912" s="302"/>
      <c r="L912" s="302"/>
      <c r="M912" s="236"/>
    </row>
    <row r="913" spans="1:13" x14ac:dyDescent="0.2">
      <c r="A913" s="237"/>
      <c r="B913" s="302"/>
      <c r="C913" s="302"/>
      <c r="D913" s="302"/>
      <c r="E913" s="303"/>
      <c r="F913" s="302"/>
      <c r="G913" s="302"/>
      <c r="H913" s="302"/>
      <c r="I913" s="303"/>
      <c r="J913" s="302"/>
      <c r="K913" s="302"/>
      <c r="L913" s="302"/>
      <c r="M913" s="236"/>
    </row>
    <row r="914" spans="1:13" x14ac:dyDescent="0.2">
      <c r="A914" s="237"/>
      <c r="B914" s="302"/>
      <c r="C914" s="302"/>
      <c r="D914" s="302"/>
      <c r="E914" s="303"/>
      <c r="F914" s="302"/>
      <c r="G914" s="302"/>
      <c r="H914" s="302"/>
      <c r="I914" s="303"/>
      <c r="J914" s="302"/>
      <c r="K914" s="302"/>
      <c r="L914" s="302"/>
      <c r="M914" s="236"/>
    </row>
    <row r="915" spans="1:13" x14ac:dyDescent="0.2">
      <c r="A915" s="237"/>
      <c r="B915" s="302"/>
      <c r="C915" s="302"/>
      <c r="D915" s="302"/>
      <c r="E915" s="303"/>
      <c r="F915" s="302"/>
      <c r="G915" s="302"/>
      <c r="H915" s="302"/>
      <c r="I915" s="303"/>
      <c r="J915" s="302"/>
      <c r="K915" s="302"/>
      <c r="L915" s="302"/>
      <c r="M915" s="236"/>
    </row>
    <row r="916" spans="1:13" x14ac:dyDescent="0.2">
      <c r="A916" s="237"/>
      <c r="B916" s="302"/>
      <c r="C916" s="302"/>
      <c r="D916" s="302"/>
      <c r="E916" s="303"/>
      <c r="F916" s="302"/>
      <c r="G916" s="302"/>
      <c r="H916" s="302"/>
      <c r="I916" s="303"/>
      <c r="J916" s="302"/>
      <c r="K916" s="302"/>
      <c r="L916" s="302"/>
      <c r="M916" s="236"/>
    </row>
    <row r="917" spans="1:13" x14ac:dyDescent="0.2">
      <c r="A917" s="237"/>
      <c r="B917" s="302"/>
      <c r="C917" s="302"/>
      <c r="D917" s="302"/>
      <c r="E917" s="303"/>
      <c r="F917" s="302"/>
      <c r="G917" s="302"/>
      <c r="H917" s="302"/>
      <c r="I917" s="303"/>
      <c r="J917" s="302"/>
      <c r="K917" s="302"/>
      <c r="L917" s="302"/>
      <c r="M917" s="236"/>
    </row>
    <row r="918" spans="1:13" x14ac:dyDescent="0.2">
      <c r="A918" s="237"/>
      <c r="B918" s="302"/>
      <c r="C918" s="302"/>
      <c r="D918" s="302"/>
      <c r="E918" s="303"/>
      <c r="F918" s="302"/>
      <c r="G918" s="302"/>
      <c r="H918" s="302"/>
      <c r="I918" s="303"/>
      <c r="J918" s="302"/>
      <c r="K918" s="302"/>
      <c r="L918" s="302"/>
      <c r="M918" s="236"/>
    </row>
    <row r="919" spans="1:13" x14ac:dyDescent="0.2">
      <c r="A919" s="237"/>
      <c r="B919" s="302"/>
      <c r="C919" s="302"/>
      <c r="D919" s="302"/>
      <c r="E919" s="303"/>
      <c r="F919" s="302"/>
      <c r="G919" s="302"/>
      <c r="H919" s="302"/>
      <c r="I919" s="303"/>
      <c r="J919" s="302"/>
      <c r="K919" s="302"/>
      <c r="L919" s="302"/>
      <c r="M919" s="236"/>
    </row>
    <row r="920" spans="1:13" x14ac:dyDescent="0.2">
      <c r="A920" s="237"/>
      <c r="B920" s="303"/>
      <c r="C920" s="303"/>
      <c r="D920" s="303"/>
      <c r="E920" s="303"/>
      <c r="F920" s="303"/>
      <c r="G920" s="303"/>
      <c r="H920" s="303"/>
      <c r="I920" s="303"/>
      <c r="J920" s="303"/>
      <c r="K920" s="303"/>
      <c r="L920" s="303"/>
      <c r="M920" s="236"/>
    </row>
    <row r="921" spans="1:13" x14ac:dyDescent="0.2">
      <c r="A921" s="237"/>
      <c r="B921" s="237"/>
      <c r="C921" s="237"/>
      <c r="D921" s="237"/>
      <c r="E921" s="237"/>
      <c r="F921" s="237"/>
      <c r="G921" s="237"/>
      <c r="H921" s="237"/>
      <c r="I921" s="237"/>
      <c r="J921" s="237"/>
      <c r="K921" s="237"/>
      <c r="L921" s="240"/>
      <c r="M921" s="236"/>
    </row>
    <row r="922" spans="1:13" x14ac:dyDescent="0.2">
      <c r="A922" s="237"/>
      <c r="B922" s="237"/>
      <c r="C922" s="237"/>
      <c r="D922" s="237"/>
      <c r="E922" s="237"/>
      <c r="F922" s="237"/>
      <c r="G922" s="237"/>
      <c r="H922" s="237"/>
      <c r="I922" s="237"/>
      <c r="J922" s="237"/>
      <c r="K922" s="237"/>
      <c r="L922" s="284"/>
      <c r="M922" s="236"/>
    </row>
    <row r="923" spans="1:13" x14ac:dyDescent="0.2">
      <c r="A923" s="258"/>
      <c r="B923" s="241"/>
      <c r="C923" s="241"/>
      <c r="D923" s="241"/>
      <c r="E923" s="241"/>
      <c r="F923" s="241"/>
      <c r="G923" s="241"/>
      <c r="H923" s="241"/>
      <c r="I923" s="241"/>
      <c r="J923" s="241"/>
      <c r="K923" s="241"/>
      <c r="L923" s="236"/>
      <c r="M923" s="236"/>
    </row>
    <row r="924" spans="1:13" x14ac:dyDescent="0.2">
      <c r="A924" s="241"/>
      <c r="B924" s="375"/>
      <c r="C924" s="375"/>
      <c r="D924" s="375"/>
      <c r="E924" s="253"/>
      <c r="F924" s="375"/>
      <c r="G924" s="375"/>
      <c r="H924" s="375"/>
      <c r="I924" s="253"/>
      <c r="J924" s="375"/>
      <c r="K924" s="375"/>
      <c r="L924" s="375"/>
      <c r="M924" s="236"/>
    </row>
    <row r="925" spans="1:13" x14ac:dyDescent="0.2">
      <c r="A925" s="258"/>
      <c r="B925" s="259"/>
      <c r="C925" s="259"/>
      <c r="D925" s="259"/>
      <c r="E925" s="259"/>
      <c r="F925" s="259"/>
      <c r="G925" s="259"/>
      <c r="H925" s="259"/>
      <c r="I925" s="259"/>
      <c r="J925" s="259"/>
      <c r="K925" s="259"/>
      <c r="L925" s="259"/>
      <c r="M925" s="236"/>
    </row>
    <row r="926" spans="1:13" x14ac:dyDescent="0.2">
      <c r="A926" s="258"/>
      <c r="B926" s="259"/>
      <c r="C926" s="259"/>
      <c r="D926" s="259"/>
      <c r="E926" s="259"/>
      <c r="F926" s="259"/>
      <c r="G926" s="259"/>
      <c r="H926" s="259"/>
      <c r="I926" s="259"/>
      <c r="J926" s="259"/>
      <c r="K926" s="259"/>
      <c r="L926" s="259"/>
      <c r="M926" s="236"/>
    </row>
    <row r="927" spans="1:13" x14ac:dyDescent="0.2">
      <c r="A927" s="237"/>
      <c r="B927" s="302"/>
      <c r="C927" s="302"/>
      <c r="D927" s="302"/>
      <c r="E927" s="303"/>
      <c r="F927" s="302"/>
      <c r="G927" s="302"/>
      <c r="H927" s="302"/>
      <c r="I927" s="303"/>
      <c r="J927" s="302"/>
      <c r="K927" s="302"/>
      <c r="L927" s="302"/>
      <c r="M927" s="236"/>
    </row>
    <row r="928" spans="1:13" x14ac:dyDescent="0.2">
      <c r="A928" s="237"/>
      <c r="B928" s="302"/>
      <c r="C928" s="302"/>
      <c r="D928" s="302"/>
      <c r="E928" s="303"/>
      <c r="F928" s="302"/>
      <c r="G928" s="302"/>
      <c r="H928" s="302"/>
      <c r="I928" s="303"/>
      <c r="J928" s="302"/>
      <c r="K928" s="302"/>
      <c r="L928" s="302"/>
      <c r="M928" s="236"/>
    </row>
    <row r="929" spans="1:13" x14ac:dyDescent="0.2">
      <c r="A929" s="237"/>
      <c r="B929" s="302"/>
      <c r="C929" s="302"/>
      <c r="D929" s="302"/>
      <c r="E929" s="303"/>
      <c r="F929" s="302"/>
      <c r="G929" s="302"/>
      <c r="H929" s="302"/>
      <c r="I929" s="303"/>
      <c r="J929" s="302"/>
      <c r="K929" s="302"/>
      <c r="L929" s="302"/>
      <c r="M929" s="236"/>
    </row>
    <row r="930" spans="1:13" x14ac:dyDescent="0.2">
      <c r="A930" s="237"/>
      <c r="B930" s="302"/>
      <c r="C930" s="302"/>
      <c r="D930" s="302"/>
      <c r="E930" s="303"/>
      <c r="F930" s="302"/>
      <c r="G930" s="302"/>
      <c r="H930" s="302"/>
      <c r="I930" s="303"/>
      <c r="J930" s="302"/>
      <c r="K930" s="302"/>
      <c r="L930" s="302"/>
      <c r="M930" s="236"/>
    </row>
    <row r="931" spans="1:13" x14ac:dyDescent="0.2">
      <c r="A931" s="237"/>
      <c r="B931" s="302"/>
      <c r="C931" s="302"/>
      <c r="D931" s="302"/>
      <c r="E931" s="303"/>
      <c r="F931" s="302"/>
      <c r="G931" s="302"/>
      <c r="H931" s="302"/>
      <c r="I931" s="303"/>
      <c r="J931" s="302"/>
      <c r="K931" s="302"/>
      <c r="L931" s="302"/>
      <c r="M931" s="236"/>
    </row>
    <row r="932" spans="1:13" x14ac:dyDescent="0.2">
      <c r="A932" s="237"/>
      <c r="B932" s="302"/>
      <c r="C932" s="302"/>
      <c r="D932" s="302"/>
      <c r="E932" s="303"/>
      <c r="F932" s="302"/>
      <c r="G932" s="302"/>
      <c r="H932" s="302"/>
      <c r="I932" s="303"/>
      <c r="J932" s="302"/>
      <c r="K932" s="302"/>
      <c r="L932" s="302"/>
      <c r="M932" s="236"/>
    </row>
    <row r="933" spans="1:13" x14ac:dyDescent="0.2">
      <c r="A933" s="237"/>
      <c r="B933" s="302"/>
      <c r="C933" s="302"/>
      <c r="D933" s="302"/>
      <c r="E933" s="303"/>
      <c r="F933" s="302"/>
      <c r="G933" s="302"/>
      <c r="H933" s="302"/>
      <c r="I933" s="303"/>
      <c r="J933" s="302"/>
      <c r="K933" s="302"/>
      <c r="L933" s="302"/>
      <c r="M933" s="236"/>
    </row>
    <row r="934" spans="1:13" x14ac:dyDescent="0.2">
      <c r="A934" s="237"/>
      <c r="B934" s="302"/>
      <c r="C934" s="302"/>
      <c r="D934" s="302"/>
      <c r="E934" s="303"/>
      <c r="F934" s="302"/>
      <c r="G934" s="302"/>
      <c r="H934" s="302"/>
      <c r="I934" s="303"/>
      <c r="J934" s="302"/>
      <c r="K934" s="302"/>
      <c r="L934" s="302"/>
      <c r="M934" s="236"/>
    </row>
    <row r="935" spans="1:13" x14ac:dyDescent="0.2">
      <c r="A935" s="237"/>
      <c r="B935" s="302"/>
      <c r="C935" s="302"/>
      <c r="D935" s="302"/>
      <c r="E935" s="303"/>
      <c r="F935" s="302"/>
      <c r="G935" s="302"/>
      <c r="H935" s="302"/>
      <c r="I935" s="303"/>
      <c r="J935" s="302"/>
      <c r="K935" s="302"/>
      <c r="L935" s="302"/>
      <c r="M935" s="236"/>
    </row>
    <row r="936" spans="1:13" x14ac:dyDescent="0.2">
      <c r="A936" s="237"/>
      <c r="B936" s="302"/>
      <c r="C936" s="302"/>
      <c r="D936" s="302"/>
      <c r="E936" s="303"/>
      <c r="F936" s="302"/>
      <c r="G936" s="302"/>
      <c r="H936" s="302"/>
      <c r="I936" s="303"/>
      <c r="J936" s="302"/>
      <c r="K936" s="302"/>
      <c r="L936" s="302"/>
      <c r="M936" s="236"/>
    </row>
    <row r="937" spans="1:13" x14ac:dyDescent="0.2">
      <c r="A937" s="237"/>
      <c r="B937" s="303"/>
      <c r="C937" s="303"/>
      <c r="D937" s="303"/>
      <c r="E937" s="303"/>
      <c r="F937" s="303"/>
      <c r="G937" s="303"/>
      <c r="H937" s="303"/>
      <c r="I937" s="303"/>
      <c r="J937" s="303"/>
      <c r="K937" s="303"/>
      <c r="L937" s="303"/>
      <c r="M937" s="236"/>
    </row>
    <row r="938" spans="1:13" x14ac:dyDescent="0.2">
      <c r="A938" s="237"/>
      <c r="B938" s="237"/>
      <c r="C938" s="237"/>
      <c r="D938" s="237"/>
      <c r="E938" s="237"/>
      <c r="F938" s="237"/>
      <c r="G938" s="237"/>
      <c r="H938" s="237"/>
      <c r="I938" s="237"/>
      <c r="J938" s="237"/>
      <c r="K938" s="237"/>
      <c r="L938" s="240"/>
      <c r="M938" s="236"/>
    </row>
    <row r="939" spans="1:13" x14ac:dyDescent="0.2">
      <c r="A939" s="237"/>
      <c r="B939" s="237"/>
      <c r="C939" s="237"/>
      <c r="D939" s="237"/>
      <c r="E939" s="237"/>
      <c r="F939" s="237"/>
      <c r="G939" s="237"/>
      <c r="H939" s="237"/>
      <c r="I939" s="237"/>
      <c r="J939" s="237"/>
      <c r="K939" s="237"/>
      <c r="L939" s="284"/>
      <c r="M939" s="236"/>
    </row>
    <row r="940" spans="1:13" x14ac:dyDescent="0.2">
      <c r="A940" s="258"/>
      <c r="B940" s="241"/>
      <c r="C940" s="241"/>
      <c r="D940" s="241"/>
      <c r="E940" s="241"/>
      <c r="F940" s="241"/>
      <c r="G940" s="241"/>
      <c r="H940" s="241"/>
      <c r="I940" s="241"/>
      <c r="J940" s="241"/>
      <c r="K940" s="241"/>
      <c r="L940" s="236"/>
      <c r="M940" s="236"/>
    </row>
    <row r="941" spans="1:13" x14ac:dyDescent="0.2">
      <c r="A941" s="241"/>
      <c r="B941" s="375"/>
      <c r="C941" s="375"/>
      <c r="D941" s="375"/>
      <c r="E941" s="253"/>
      <c r="F941" s="375"/>
      <c r="G941" s="375"/>
      <c r="H941" s="375"/>
      <c r="I941" s="253"/>
      <c r="J941" s="375"/>
      <c r="K941" s="375"/>
      <c r="L941" s="375"/>
      <c r="M941" s="236"/>
    </row>
    <row r="942" spans="1:13" x14ac:dyDescent="0.2">
      <c r="A942" s="258"/>
      <c r="B942" s="259"/>
      <c r="C942" s="259"/>
      <c r="D942" s="259"/>
      <c r="E942" s="259"/>
      <c r="F942" s="259"/>
      <c r="G942" s="259"/>
      <c r="H942" s="259"/>
      <c r="I942" s="259"/>
      <c r="J942" s="259"/>
      <c r="K942" s="259"/>
      <c r="L942" s="259"/>
      <c r="M942" s="236"/>
    </row>
    <row r="943" spans="1:13" x14ac:dyDescent="0.2">
      <c r="A943" s="258"/>
      <c r="B943" s="259"/>
      <c r="C943" s="259"/>
      <c r="D943" s="259"/>
      <c r="E943" s="259"/>
      <c r="F943" s="259"/>
      <c r="G943" s="259"/>
      <c r="H943" s="259"/>
      <c r="I943" s="259"/>
      <c r="J943" s="259"/>
      <c r="K943" s="259"/>
      <c r="L943" s="259"/>
      <c r="M943" s="236"/>
    </row>
    <row r="944" spans="1:13" x14ac:dyDescent="0.2">
      <c r="A944" s="237"/>
      <c r="B944" s="302"/>
      <c r="C944" s="302"/>
      <c r="D944" s="302"/>
      <c r="E944" s="303"/>
      <c r="F944" s="302"/>
      <c r="G944" s="302"/>
      <c r="H944" s="302"/>
      <c r="I944" s="303"/>
      <c r="J944" s="302"/>
      <c r="K944" s="302"/>
      <c r="L944" s="302"/>
      <c r="M944" s="236"/>
    </row>
    <row r="945" spans="1:13" x14ac:dyDescent="0.2">
      <c r="A945" s="237"/>
      <c r="B945" s="302"/>
      <c r="C945" s="302"/>
      <c r="D945" s="302"/>
      <c r="E945" s="303"/>
      <c r="F945" s="302"/>
      <c r="G945" s="302"/>
      <c r="H945" s="302"/>
      <c r="I945" s="303"/>
      <c r="J945" s="302"/>
      <c r="K945" s="302"/>
      <c r="L945" s="302"/>
      <c r="M945" s="236"/>
    </row>
    <row r="946" spans="1:13" x14ac:dyDescent="0.2">
      <c r="A946" s="237"/>
      <c r="B946" s="302"/>
      <c r="C946" s="302"/>
      <c r="D946" s="302"/>
      <c r="E946" s="303"/>
      <c r="F946" s="302"/>
      <c r="G946" s="302"/>
      <c r="H946" s="302"/>
      <c r="I946" s="303"/>
      <c r="J946" s="302"/>
      <c r="K946" s="302"/>
      <c r="L946" s="302"/>
      <c r="M946" s="236"/>
    </row>
    <row r="947" spans="1:13" x14ac:dyDescent="0.2">
      <c r="A947" s="237"/>
      <c r="B947" s="302"/>
      <c r="C947" s="302"/>
      <c r="D947" s="302"/>
      <c r="E947" s="303"/>
      <c r="F947" s="302"/>
      <c r="G947" s="302"/>
      <c r="H947" s="302"/>
      <c r="I947" s="303"/>
      <c r="J947" s="302"/>
      <c r="K947" s="302"/>
      <c r="L947" s="302"/>
      <c r="M947" s="236"/>
    </row>
    <row r="948" spans="1:13" x14ac:dyDescent="0.2">
      <c r="A948" s="237"/>
      <c r="B948" s="302"/>
      <c r="C948" s="302"/>
      <c r="D948" s="302"/>
      <c r="E948" s="303"/>
      <c r="F948" s="302"/>
      <c r="G948" s="302"/>
      <c r="H948" s="302"/>
      <c r="I948" s="303"/>
      <c r="J948" s="302"/>
      <c r="K948" s="302"/>
      <c r="L948" s="302"/>
      <c r="M948" s="236"/>
    </row>
    <row r="949" spans="1:13" x14ac:dyDescent="0.2">
      <c r="A949" s="237"/>
      <c r="B949" s="302"/>
      <c r="C949" s="302"/>
      <c r="D949" s="302"/>
      <c r="E949" s="303"/>
      <c r="F949" s="302"/>
      <c r="G949" s="302"/>
      <c r="H949" s="302"/>
      <c r="I949" s="303"/>
      <c r="J949" s="302"/>
      <c r="K949" s="302"/>
      <c r="L949" s="302"/>
      <c r="M949" s="236"/>
    </row>
    <row r="950" spans="1:13" x14ac:dyDescent="0.2">
      <c r="A950" s="237"/>
      <c r="B950" s="302"/>
      <c r="C950" s="302"/>
      <c r="D950" s="302"/>
      <c r="E950" s="303"/>
      <c r="F950" s="302"/>
      <c r="G950" s="302"/>
      <c r="H950" s="302"/>
      <c r="I950" s="303"/>
      <c r="J950" s="302"/>
      <c r="K950" s="302"/>
      <c r="L950" s="302"/>
      <c r="M950" s="236"/>
    </row>
    <row r="951" spans="1:13" x14ac:dyDescent="0.2">
      <c r="A951" s="237"/>
      <c r="B951" s="302"/>
      <c r="C951" s="302"/>
      <c r="D951" s="302"/>
      <c r="E951" s="303"/>
      <c r="F951" s="302"/>
      <c r="G951" s="302"/>
      <c r="H951" s="302"/>
      <c r="I951" s="303"/>
      <c r="J951" s="302"/>
      <c r="K951" s="302"/>
      <c r="L951" s="302"/>
      <c r="M951" s="236"/>
    </row>
    <row r="952" spans="1:13" x14ac:dyDescent="0.2">
      <c r="A952" s="237"/>
      <c r="B952" s="302"/>
      <c r="C952" s="302"/>
      <c r="D952" s="302"/>
      <c r="E952" s="303"/>
      <c r="F952" s="302"/>
      <c r="G952" s="302"/>
      <c r="H952" s="302"/>
      <c r="I952" s="303"/>
      <c r="J952" s="302"/>
      <c r="K952" s="302"/>
      <c r="L952" s="302"/>
      <c r="M952" s="236"/>
    </row>
    <row r="953" spans="1:13" x14ac:dyDescent="0.2">
      <c r="A953" s="237"/>
      <c r="B953" s="302"/>
      <c r="C953" s="302"/>
      <c r="D953" s="302"/>
      <c r="E953" s="303"/>
      <c r="F953" s="302"/>
      <c r="G953" s="302"/>
      <c r="H953" s="302"/>
      <c r="I953" s="303"/>
      <c r="J953" s="302"/>
      <c r="K953" s="302"/>
      <c r="L953" s="302"/>
      <c r="M953" s="236"/>
    </row>
    <row r="954" spans="1:13" x14ac:dyDescent="0.2">
      <c r="A954" s="237"/>
      <c r="B954" s="303"/>
      <c r="C954" s="303"/>
      <c r="D954" s="303"/>
      <c r="E954" s="303"/>
      <c r="F954" s="303"/>
      <c r="G954" s="303"/>
      <c r="H954" s="303"/>
      <c r="I954" s="303"/>
      <c r="J954" s="303"/>
      <c r="K954" s="303"/>
      <c r="L954" s="303"/>
      <c r="M954" s="236"/>
    </row>
    <row r="955" spans="1:13" x14ac:dyDescent="0.2">
      <c r="A955" s="237"/>
      <c r="B955" s="237"/>
      <c r="C955" s="237"/>
      <c r="D955" s="237"/>
      <c r="E955" s="237"/>
      <c r="F955" s="237"/>
      <c r="G955" s="237"/>
      <c r="H955" s="237"/>
      <c r="I955" s="237"/>
      <c r="J955" s="237"/>
      <c r="K955" s="237"/>
      <c r="L955" s="240"/>
      <c r="M955" s="236"/>
    </row>
    <row r="956" spans="1:13" x14ac:dyDescent="0.2">
      <c r="A956" s="237"/>
      <c r="B956" s="237"/>
      <c r="C956" s="237"/>
      <c r="D956" s="237"/>
      <c r="E956" s="237"/>
      <c r="F956" s="237"/>
      <c r="G956" s="237"/>
      <c r="H956" s="237"/>
      <c r="I956" s="237"/>
      <c r="J956" s="237"/>
      <c r="K956" s="237"/>
      <c r="L956" s="284"/>
      <c r="M956" s="236"/>
    </row>
    <row r="957" spans="1:13" x14ac:dyDescent="0.2">
      <c r="A957" s="258"/>
      <c r="B957" s="241"/>
      <c r="C957" s="241"/>
      <c r="D957" s="241"/>
      <c r="E957" s="241"/>
      <c r="F957" s="241"/>
      <c r="G957" s="241"/>
      <c r="H957" s="241"/>
      <c r="I957" s="241"/>
      <c r="J957" s="241"/>
      <c r="K957" s="241"/>
      <c r="L957" s="236"/>
      <c r="M957" s="236"/>
    </row>
    <row r="958" spans="1:13" x14ac:dyDescent="0.2">
      <c r="A958" s="241"/>
      <c r="B958" s="375"/>
      <c r="C958" s="375"/>
      <c r="D958" s="375"/>
      <c r="E958" s="253"/>
      <c r="F958" s="375"/>
      <c r="G958" s="375"/>
      <c r="H958" s="375"/>
      <c r="I958" s="253"/>
      <c r="J958" s="375"/>
      <c r="K958" s="375"/>
      <c r="L958" s="375"/>
      <c r="M958" s="236"/>
    </row>
    <row r="959" spans="1:13" x14ac:dyDescent="0.2">
      <c r="A959" s="258"/>
      <c r="B959" s="259"/>
      <c r="C959" s="259"/>
      <c r="D959" s="259"/>
      <c r="E959" s="259"/>
      <c r="F959" s="259"/>
      <c r="G959" s="259"/>
      <c r="H959" s="259"/>
      <c r="I959" s="259"/>
      <c r="J959" s="259"/>
      <c r="K959" s="259"/>
      <c r="L959" s="259"/>
      <c r="M959" s="236"/>
    </row>
    <row r="960" spans="1:13" x14ac:dyDescent="0.2">
      <c r="A960" s="258"/>
      <c r="B960" s="259"/>
      <c r="C960" s="259"/>
      <c r="D960" s="259"/>
      <c r="E960" s="259"/>
      <c r="F960" s="259"/>
      <c r="G960" s="259"/>
      <c r="H960" s="259"/>
      <c r="I960" s="259"/>
      <c r="J960" s="259"/>
      <c r="K960" s="259"/>
      <c r="L960" s="259"/>
      <c r="M960" s="236"/>
    </row>
    <row r="961" spans="1:13" x14ac:dyDescent="0.2">
      <c r="A961" s="237"/>
      <c r="B961" s="302"/>
      <c r="C961" s="302"/>
      <c r="D961" s="302"/>
      <c r="E961" s="303"/>
      <c r="F961" s="302"/>
      <c r="G961" s="302"/>
      <c r="H961" s="302"/>
      <c r="I961" s="303"/>
      <c r="J961" s="302"/>
      <c r="K961" s="302"/>
      <c r="L961" s="302"/>
      <c r="M961" s="236"/>
    </row>
    <row r="962" spans="1:13" x14ac:dyDescent="0.2">
      <c r="A962" s="237"/>
      <c r="B962" s="302"/>
      <c r="C962" s="302"/>
      <c r="D962" s="302"/>
      <c r="E962" s="303"/>
      <c r="F962" s="302"/>
      <c r="G962" s="302"/>
      <c r="H962" s="302"/>
      <c r="I962" s="303"/>
      <c r="J962" s="302"/>
      <c r="K962" s="302"/>
      <c r="L962" s="302"/>
      <c r="M962" s="236"/>
    </row>
    <row r="963" spans="1:13" x14ac:dyDescent="0.2">
      <c r="A963" s="237"/>
      <c r="B963" s="302"/>
      <c r="C963" s="302"/>
      <c r="D963" s="302"/>
      <c r="E963" s="303"/>
      <c r="F963" s="302"/>
      <c r="G963" s="302"/>
      <c r="H963" s="302"/>
      <c r="I963" s="303"/>
      <c r="J963" s="302"/>
      <c r="K963" s="302"/>
      <c r="L963" s="302"/>
      <c r="M963" s="236"/>
    </row>
    <row r="964" spans="1:13" x14ac:dyDescent="0.2">
      <c r="A964" s="237"/>
      <c r="B964" s="302"/>
      <c r="C964" s="302"/>
      <c r="D964" s="302"/>
      <c r="E964" s="303"/>
      <c r="F964" s="302"/>
      <c r="G964" s="302"/>
      <c r="H964" s="302"/>
      <c r="I964" s="303"/>
      <c r="J964" s="302"/>
      <c r="K964" s="302"/>
      <c r="L964" s="302"/>
      <c r="M964" s="236"/>
    </row>
    <row r="965" spans="1:13" x14ac:dyDescent="0.2">
      <c r="A965" s="237"/>
      <c r="B965" s="302"/>
      <c r="C965" s="302"/>
      <c r="D965" s="302"/>
      <c r="E965" s="303"/>
      <c r="F965" s="302"/>
      <c r="G965" s="302"/>
      <c r="H965" s="302"/>
      <c r="I965" s="303"/>
      <c r="J965" s="302"/>
      <c r="K965" s="302"/>
      <c r="L965" s="302"/>
      <c r="M965" s="236"/>
    </row>
    <row r="966" spans="1:13" x14ac:dyDescent="0.2">
      <c r="A966" s="237"/>
      <c r="B966" s="302"/>
      <c r="C966" s="302"/>
      <c r="D966" s="302"/>
      <c r="E966" s="303"/>
      <c r="F966" s="302"/>
      <c r="G966" s="302"/>
      <c r="H966" s="302"/>
      <c r="I966" s="303"/>
      <c r="J966" s="302"/>
      <c r="K966" s="302"/>
      <c r="L966" s="302"/>
      <c r="M966" s="236"/>
    </row>
    <row r="967" spans="1:13" x14ac:dyDescent="0.2">
      <c r="A967" s="237"/>
      <c r="B967" s="302"/>
      <c r="C967" s="302"/>
      <c r="D967" s="302"/>
      <c r="E967" s="303"/>
      <c r="F967" s="302"/>
      <c r="G967" s="302"/>
      <c r="H967" s="302"/>
      <c r="I967" s="303"/>
      <c r="J967" s="302"/>
      <c r="K967" s="302"/>
      <c r="L967" s="302"/>
      <c r="M967" s="236"/>
    </row>
    <row r="968" spans="1:13" x14ac:dyDescent="0.2">
      <c r="A968" s="237"/>
      <c r="B968" s="302"/>
      <c r="C968" s="302"/>
      <c r="D968" s="302"/>
      <c r="E968" s="303"/>
      <c r="F968" s="302"/>
      <c r="G968" s="302"/>
      <c r="H968" s="302"/>
      <c r="I968" s="303"/>
      <c r="J968" s="302"/>
      <c r="K968" s="302"/>
      <c r="L968" s="302"/>
      <c r="M968" s="236"/>
    </row>
    <row r="969" spans="1:13" x14ac:dyDescent="0.2">
      <c r="A969" s="237"/>
      <c r="B969" s="302"/>
      <c r="C969" s="302"/>
      <c r="D969" s="302"/>
      <c r="E969" s="303"/>
      <c r="F969" s="302"/>
      <c r="G969" s="302"/>
      <c r="H969" s="302"/>
      <c r="I969" s="303"/>
      <c r="J969" s="302"/>
      <c r="K969" s="302"/>
      <c r="L969" s="302"/>
      <c r="M969" s="236"/>
    </row>
    <row r="970" spans="1:13" x14ac:dyDescent="0.2">
      <c r="A970" s="237"/>
      <c r="B970" s="302"/>
      <c r="C970" s="302"/>
      <c r="D970" s="302"/>
      <c r="E970" s="303"/>
      <c r="F970" s="302"/>
      <c r="G970" s="302"/>
      <c r="H970" s="302"/>
      <c r="I970" s="303"/>
      <c r="J970" s="302"/>
      <c r="K970" s="302"/>
      <c r="L970" s="302"/>
      <c r="M970" s="236"/>
    </row>
    <row r="971" spans="1:13" x14ac:dyDescent="0.2">
      <c r="A971" s="237"/>
      <c r="B971" s="303"/>
      <c r="C971" s="303"/>
      <c r="D971" s="303"/>
      <c r="E971" s="303"/>
      <c r="F971" s="303"/>
      <c r="G971" s="303"/>
      <c r="H971" s="303"/>
      <c r="I971" s="303"/>
      <c r="J971" s="303"/>
      <c r="K971" s="303"/>
      <c r="L971" s="303"/>
      <c r="M971" s="236"/>
    </row>
    <row r="972" spans="1:13" x14ac:dyDescent="0.2">
      <c r="A972" s="237"/>
      <c r="B972" s="237"/>
      <c r="C972" s="237"/>
      <c r="D972" s="237"/>
      <c r="E972" s="237"/>
      <c r="F972" s="237"/>
      <c r="G972" s="237"/>
      <c r="H972" s="237"/>
      <c r="I972" s="237"/>
      <c r="J972" s="237"/>
      <c r="K972" s="237"/>
      <c r="L972" s="240"/>
      <c r="M972" s="236"/>
    </row>
    <row r="973" spans="1:13" x14ac:dyDescent="0.2">
      <c r="A973" s="237"/>
      <c r="B973" s="237"/>
      <c r="C973" s="237"/>
      <c r="D973" s="237"/>
      <c r="E973" s="237"/>
      <c r="F973" s="237"/>
      <c r="G973" s="237"/>
      <c r="H973" s="237"/>
      <c r="I973" s="237"/>
      <c r="J973" s="237"/>
      <c r="K973" s="237"/>
      <c r="L973" s="284"/>
      <c r="M973" s="236"/>
    </row>
    <row r="974" spans="1:13" x14ac:dyDescent="0.2">
      <c r="A974" s="258"/>
      <c r="B974" s="241"/>
      <c r="C974" s="241"/>
      <c r="D974" s="241"/>
      <c r="E974" s="241"/>
      <c r="F974" s="241"/>
      <c r="G974" s="241"/>
      <c r="H974" s="241"/>
      <c r="I974" s="241"/>
      <c r="J974" s="241"/>
      <c r="K974" s="241"/>
      <c r="L974" s="236"/>
      <c r="M974" s="236"/>
    </row>
    <row r="975" spans="1:13" x14ac:dyDescent="0.2">
      <c r="A975" s="241"/>
      <c r="B975" s="375"/>
      <c r="C975" s="375"/>
      <c r="D975" s="375"/>
      <c r="E975" s="253"/>
      <c r="F975" s="375"/>
      <c r="G975" s="375"/>
      <c r="H975" s="375"/>
      <c r="I975" s="253"/>
      <c r="J975" s="375"/>
      <c r="K975" s="375"/>
      <c r="L975" s="375"/>
      <c r="M975" s="236"/>
    </row>
    <row r="976" spans="1:13" x14ac:dyDescent="0.2">
      <c r="A976" s="258"/>
      <c r="B976" s="259"/>
      <c r="C976" s="259"/>
      <c r="D976" s="259"/>
      <c r="E976" s="259"/>
      <c r="F976" s="259"/>
      <c r="G976" s="259"/>
      <c r="H976" s="259"/>
      <c r="I976" s="259"/>
      <c r="J976" s="259"/>
      <c r="K976" s="259"/>
      <c r="L976" s="259"/>
      <c r="M976" s="236"/>
    </row>
    <row r="977" spans="1:13" x14ac:dyDescent="0.2">
      <c r="A977" s="258"/>
      <c r="B977" s="259"/>
      <c r="C977" s="259"/>
      <c r="D977" s="259"/>
      <c r="E977" s="259"/>
      <c r="F977" s="259"/>
      <c r="G977" s="259"/>
      <c r="H977" s="259"/>
      <c r="I977" s="259"/>
      <c r="J977" s="259"/>
      <c r="K977" s="259"/>
      <c r="L977" s="259"/>
      <c r="M977" s="236"/>
    </row>
    <row r="978" spans="1:13" x14ac:dyDescent="0.2">
      <c r="A978" s="237"/>
      <c r="B978" s="302"/>
      <c r="C978" s="302"/>
      <c r="D978" s="302"/>
      <c r="E978" s="303"/>
      <c r="F978" s="302"/>
      <c r="G978" s="302"/>
      <c r="H978" s="302"/>
      <c r="I978" s="303"/>
      <c r="J978" s="302"/>
      <c r="K978" s="302"/>
      <c r="L978" s="302"/>
      <c r="M978" s="236"/>
    </row>
    <row r="979" spans="1:13" x14ac:dyDescent="0.2">
      <c r="A979" s="237"/>
      <c r="B979" s="302"/>
      <c r="C979" s="302"/>
      <c r="D979" s="302"/>
      <c r="E979" s="303"/>
      <c r="F979" s="302"/>
      <c r="G979" s="302"/>
      <c r="H979" s="302"/>
      <c r="I979" s="303"/>
      <c r="J979" s="302"/>
      <c r="K979" s="302"/>
      <c r="L979" s="302"/>
      <c r="M979" s="236"/>
    </row>
    <row r="980" spans="1:13" x14ac:dyDescent="0.2">
      <c r="A980" s="237"/>
      <c r="B980" s="302"/>
      <c r="C980" s="302"/>
      <c r="D980" s="302"/>
      <c r="E980" s="303"/>
      <c r="F980" s="302"/>
      <c r="G980" s="302"/>
      <c r="H980" s="302"/>
      <c r="I980" s="303"/>
      <c r="J980" s="302"/>
      <c r="K980" s="302"/>
      <c r="L980" s="302"/>
      <c r="M980" s="236"/>
    </row>
    <row r="981" spans="1:13" x14ac:dyDescent="0.2">
      <c r="A981" s="237"/>
      <c r="B981" s="302"/>
      <c r="C981" s="302"/>
      <c r="D981" s="302"/>
      <c r="E981" s="303"/>
      <c r="F981" s="302"/>
      <c r="G981" s="302"/>
      <c r="H981" s="302"/>
      <c r="I981" s="303"/>
      <c r="J981" s="302"/>
      <c r="K981" s="302"/>
      <c r="L981" s="302"/>
      <c r="M981" s="236"/>
    </row>
    <row r="982" spans="1:13" x14ac:dyDescent="0.2">
      <c r="A982" s="237"/>
      <c r="B982" s="302"/>
      <c r="C982" s="302"/>
      <c r="D982" s="302"/>
      <c r="E982" s="303"/>
      <c r="F982" s="302"/>
      <c r="G982" s="302"/>
      <c r="H982" s="302"/>
      <c r="I982" s="303"/>
      <c r="J982" s="302"/>
      <c r="K982" s="302"/>
      <c r="L982" s="302"/>
      <c r="M982" s="236"/>
    </row>
    <row r="983" spans="1:13" x14ac:dyDescent="0.2">
      <c r="A983" s="237"/>
      <c r="B983" s="302"/>
      <c r="C983" s="302"/>
      <c r="D983" s="302"/>
      <c r="E983" s="303"/>
      <c r="F983" s="302"/>
      <c r="G983" s="302"/>
      <c r="H983" s="302"/>
      <c r="I983" s="303"/>
      <c r="J983" s="302"/>
      <c r="K983" s="302"/>
      <c r="L983" s="302"/>
      <c r="M983" s="236"/>
    </row>
    <row r="984" spans="1:13" x14ac:dyDescent="0.2">
      <c r="A984" s="237"/>
      <c r="B984" s="302"/>
      <c r="C984" s="302"/>
      <c r="D984" s="302"/>
      <c r="E984" s="303"/>
      <c r="F984" s="302"/>
      <c r="G984" s="302"/>
      <c r="H984" s="302"/>
      <c r="I984" s="303"/>
      <c r="J984" s="302"/>
      <c r="K984" s="302"/>
      <c r="L984" s="302"/>
      <c r="M984" s="236"/>
    </row>
    <row r="985" spans="1:13" x14ac:dyDescent="0.2">
      <c r="A985" s="237"/>
      <c r="B985" s="302"/>
      <c r="C985" s="302"/>
      <c r="D985" s="302"/>
      <c r="E985" s="303"/>
      <c r="F985" s="302"/>
      <c r="G985" s="302"/>
      <c r="H985" s="302"/>
      <c r="I985" s="303"/>
      <c r="J985" s="302"/>
      <c r="K985" s="302"/>
      <c r="L985" s="302"/>
      <c r="M985" s="236"/>
    </row>
    <row r="986" spans="1:13" x14ac:dyDescent="0.2">
      <c r="A986" s="237"/>
      <c r="B986" s="302"/>
      <c r="C986" s="302"/>
      <c r="D986" s="302"/>
      <c r="E986" s="303"/>
      <c r="F986" s="302"/>
      <c r="G986" s="302"/>
      <c r="H986" s="302"/>
      <c r="I986" s="303"/>
      <c r="J986" s="302"/>
      <c r="K986" s="302"/>
      <c r="L986" s="302"/>
      <c r="M986" s="236"/>
    </row>
    <row r="987" spans="1:13" x14ac:dyDescent="0.2">
      <c r="A987" s="237"/>
      <c r="B987" s="302"/>
      <c r="C987" s="302"/>
      <c r="D987" s="302"/>
      <c r="E987" s="303"/>
      <c r="F987" s="302"/>
      <c r="G987" s="302"/>
      <c r="H987" s="302"/>
      <c r="I987" s="303"/>
      <c r="J987" s="302"/>
      <c r="K987" s="302"/>
      <c r="L987" s="302"/>
      <c r="M987" s="236"/>
    </row>
    <row r="988" spans="1:13" x14ac:dyDescent="0.2">
      <c r="A988" s="237"/>
      <c r="B988" s="303"/>
      <c r="C988" s="303"/>
      <c r="D988" s="303"/>
      <c r="E988" s="303"/>
      <c r="F988" s="303"/>
      <c r="G988" s="303"/>
      <c r="H988" s="303"/>
      <c r="I988" s="303"/>
      <c r="J988" s="303"/>
      <c r="K988" s="303"/>
      <c r="L988" s="303"/>
      <c r="M988" s="236"/>
    </row>
    <row r="989" spans="1:13" x14ac:dyDescent="0.2">
      <c r="A989" s="237"/>
      <c r="B989" s="237"/>
      <c r="C989" s="237"/>
      <c r="D989" s="237"/>
      <c r="E989" s="237"/>
      <c r="F989" s="237"/>
      <c r="G989" s="237"/>
      <c r="H989" s="237"/>
      <c r="I989" s="237"/>
      <c r="J989" s="237"/>
      <c r="K989" s="237"/>
      <c r="L989" s="240"/>
      <c r="M989" s="236"/>
    </row>
    <row r="990" spans="1:13" x14ac:dyDescent="0.2">
      <c r="A990" s="237"/>
      <c r="B990" s="237"/>
      <c r="C990" s="237"/>
      <c r="D990" s="237"/>
      <c r="E990" s="237"/>
      <c r="F990" s="237"/>
      <c r="G990" s="237"/>
      <c r="H990" s="237"/>
      <c r="I990" s="237"/>
      <c r="J990" s="237"/>
      <c r="K990" s="237"/>
      <c r="L990" s="284"/>
      <c r="M990" s="236"/>
    </row>
    <row r="991" spans="1:13" x14ac:dyDescent="0.2">
      <c r="A991" s="258"/>
      <c r="B991" s="241"/>
      <c r="C991" s="241"/>
      <c r="D991" s="241"/>
      <c r="E991" s="241"/>
      <c r="F991" s="241"/>
      <c r="G991" s="241"/>
      <c r="H991" s="241"/>
      <c r="I991" s="241"/>
      <c r="J991" s="241"/>
      <c r="K991" s="241"/>
      <c r="L991" s="236"/>
      <c r="M991" s="236"/>
    </row>
    <row r="992" spans="1:13" x14ac:dyDescent="0.2">
      <c r="A992" s="241"/>
      <c r="B992" s="375"/>
      <c r="C992" s="375"/>
      <c r="D992" s="375"/>
      <c r="E992" s="253"/>
      <c r="F992" s="375"/>
      <c r="G992" s="375"/>
      <c r="H992" s="375"/>
      <c r="I992" s="253"/>
      <c r="J992" s="375"/>
      <c r="K992" s="375"/>
      <c r="L992" s="375"/>
      <c r="M992" s="236"/>
    </row>
    <row r="993" spans="1:13" x14ac:dyDescent="0.2">
      <c r="A993" s="258"/>
      <c r="B993" s="259"/>
      <c r="C993" s="259"/>
      <c r="D993" s="259"/>
      <c r="E993" s="259"/>
      <c r="F993" s="259"/>
      <c r="G993" s="259"/>
      <c r="H993" s="259"/>
      <c r="I993" s="259"/>
      <c r="J993" s="259"/>
      <c r="K993" s="259"/>
      <c r="L993" s="259"/>
      <c r="M993" s="236"/>
    </row>
    <row r="994" spans="1:13" x14ac:dyDescent="0.2">
      <c r="A994" s="258"/>
      <c r="B994" s="259"/>
      <c r="C994" s="259"/>
      <c r="D994" s="259"/>
      <c r="E994" s="259"/>
      <c r="F994" s="259"/>
      <c r="G994" s="259"/>
      <c r="H994" s="259"/>
      <c r="I994" s="259"/>
      <c r="J994" s="259"/>
      <c r="K994" s="259"/>
      <c r="L994" s="259"/>
      <c r="M994" s="236"/>
    </row>
    <row r="995" spans="1:13" x14ac:dyDescent="0.2">
      <c r="A995" s="237"/>
      <c r="B995" s="302"/>
      <c r="C995" s="302"/>
      <c r="D995" s="302"/>
      <c r="E995" s="303"/>
      <c r="F995" s="302"/>
      <c r="G995" s="302"/>
      <c r="H995" s="302"/>
      <c r="I995" s="303"/>
      <c r="J995" s="302"/>
      <c r="K995" s="302"/>
      <c r="L995" s="302"/>
      <c r="M995" s="236"/>
    </row>
    <row r="996" spans="1:13" x14ac:dyDescent="0.2">
      <c r="A996" s="237"/>
      <c r="B996" s="302"/>
      <c r="C996" s="302"/>
      <c r="D996" s="302"/>
      <c r="E996" s="303"/>
      <c r="F996" s="302"/>
      <c r="G996" s="302"/>
      <c r="H996" s="302"/>
      <c r="I996" s="303"/>
      <c r="J996" s="302"/>
      <c r="K996" s="302"/>
      <c r="L996" s="302"/>
      <c r="M996" s="236"/>
    </row>
    <row r="997" spans="1:13" x14ac:dyDescent="0.2">
      <c r="A997" s="237"/>
      <c r="B997" s="302"/>
      <c r="C997" s="302"/>
      <c r="D997" s="302"/>
      <c r="E997" s="303"/>
      <c r="F997" s="302"/>
      <c r="G997" s="302"/>
      <c r="H997" s="302"/>
      <c r="I997" s="303"/>
      <c r="J997" s="302"/>
      <c r="K997" s="302"/>
      <c r="L997" s="302"/>
      <c r="M997" s="236"/>
    </row>
    <row r="998" spans="1:13" x14ac:dyDescent="0.2">
      <c r="A998" s="237"/>
      <c r="B998" s="302"/>
      <c r="C998" s="302"/>
      <c r="D998" s="302"/>
      <c r="E998" s="303"/>
      <c r="F998" s="302"/>
      <c r="G998" s="302"/>
      <c r="H998" s="302"/>
      <c r="I998" s="303"/>
      <c r="J998" s="302"/>
      <c r="K998" s="302"/>
      <c r="L998" s="302"/>
      <c r="M998" s="236"/>
    </row>
    <row r="999" spans="1:13" x14ac:dyDescent="0.2">
      <c r="A999" s="237"/>
      <c r="B999" s="302"/>
      <c r="C999" s="302"/>
      <c r="D999" s="302"/>
      <c r="E999" s="303"/>
      <c r="F999" s="302"/>
      <c r="G999" s="302"/>
      <c r="H999" s="302"/>
      <c r="I999" s="303"/>
      <c r="J999" s="302"/>
      <c r="K999" s="302"/>
      <c r="L999" s="302"/>
      <c r="M999" s="236"/>
    </row>
    <row r="1000" spans="1:13" x14ac:dyDescent="0.2">
      <c r="A1000" s="237"/>
      <c r="B1000" s="302"/>
      <c r="C1000" s="302"/>
      <c r="D1000" s="302"/>
      <c r="E1000" s="303"/>
      <c r="F1000" s="302"/>
      <c r="G1000" s="302"/>
      <c r="H1000" s="302"/>
      <c r="I1000" s="303"/>
      <c r="J1000" s="302"/>
      <c r="K1000" s="302"/>
      <c r="L1000" s="302"/>
      <c r="M1000" s="236"/>
    </row>
    <row r="1001" spans="1:13" x14ac:dyDescent="0.2">
      <c r="A1001" s="237"/>
      <c r="B1001" s="302"/>
      <c r="C1001" s="302"/>
      <c r="D1001" s="302"/>
      <c r="E1001" s="303"/>
      <c r="F1001" s="302"/>
      <c r="G1001" s="302"/>
      <c r="H1001" s="302"/>
      <c r="I1001" s="303"/>
      <c r="J1001" s="302"/>
      <c r="K1001" s="302"/>
      <c r="L1001" s="302"/>
      <c r="M1001" s="236"/>
    </row>
    <row r="1002" spans="1:13" x14ac:dyDescent="0.2">
      <c r="A1002" s="237"/>
      <c r="B1002" s="302"/>
      <c r="C1002" s="302"/>
      <c r="D1002" s="302"/>
      <c r="E1002" s="303"/>
      <c r="F1002" s="302"/>
      <c r="G1002" s="302"/>
      <c r="H1002" s="302"/>
      <c r="I1002" s="303"/>
      <c r="J1002" s="302"/>
      <c r="K1002" s="302"/>
      <c r="L1002" s="302"/>
      <c r="M1002" s="236"/>
    </row>
    <row r="1003" spans="1:13" x14ac:dyDescent="0.2">
      <c r="A1003" s="237"/>
      <c r="B1003" s="302"/>
      <c r="C1003" s="302"/>
      <c r="D1003" s="302"/>
      <c r="E1003" s="303"/>
      <c r="F1003" s="302"/>
      <c r="G1003" s="302"/>
      <c r="H1003" s="302"/>
      <c r="I1003" s="303"/>
      <c r="J1003" s="302"/>
      <c r="K1003" s="302"/>
      <c r="L1003" s="302"/>
      <c r="M1003" s="236"/>
    </row>
    <row r="1004" spans="1:13" x14ac:dyDescent="0.2">
      <c r="A1004" s="237"/>
      <c r="B1004" s="302"/>
      <c r="C1004" s="302"/>
      <c r="D1004" s="302"/>
      <c r="E1004" s="303"/>
      <c r="F1004" s="302"/>
      <c r="G1004" s="302"/>
      <c r="H1004" s="302"/>
      <c r="I1004" s="303"/>
      <c r="J1004" s="302"/>
      <c r="K1004" s="302"/>
      <c r="L1004" s="302"/>
      <c r="M1004" s="236"/>
    </row>
    <row r="1005" spans="1:13" x14ac:dyDescent="0.2">
      <c r="A1005" s="237"/>
      <c r="B1005" s="303"/>
      <c r="C1005" s="303"/>
      <c r="D1005" s="303"/>
      <c r="E1005" s="303"/>
      <c r="F1005" s="303"/>
      <c r="G1005" s="303"/>
      <c r="H1005" s="303"/>
      <c r="I1005" s="303"/>
      <c r="J1005" s="303"/>
      <c r="K1005" s="303"/>
      <c r="L1005" s="303"/>
      <c r="M1005" s="236"/>
    </row>
    <row r="1006" spans="1:13" x14ac:dyDescent="0.2">
      <c r="A1006" s="237"/>
      <c r="B1006" s="237"/>
      <c r="C1006" s="237"/>
      <c r="D1006" s="237"/>
      <c r="E1006" s="237"/>
      <c r="F1006" s="237"/>
      <c r="G1006" s="237"/>
      <c r="H1006" s="237"/>
      <c r="I1006" s="237"/>
      <c r="J1006" s="237"/>
      <c r="K1006" s="237"/>
      <c r="L1006" s="240"/>
      <c r="M1006" s="236"/>
    </row>
    <row r="1007" spans="1:13" x14ac:dyDescent="0.2">
      <c r="A1007" s="237"/>
      <c r="B1007" s="237"/>
      <c r="C1007" s="237"/>
      <c r="D1007" s="237"/>
      <c r="E1007" s="237"/>
      <c r="F1007" s="237"/>
      <c r="G1007" s="237"/>
      <c r="H1007" s="237"/>
      <c r="I1007" s="237"/>
      <c r="J1007" s="237"/>
      <c r="K1007" s="237"/>
      <c r="L1007" s="284"/>
      <c r="M1007" s="236"/>
    </row>
    <row r="1008" spans="1:13" x14ac:dyDescent="0.2">
      <c r="A1008" s="258"/>
      <c r="B1008" s="241"/>
      <c r="C1008" s="241"/>
      <c r="D1008" s="241"/>
      <c r="E1008" s="241"/>
      <c r="F1008" s="241"/>
      <c r="G1008" s="241"/>
      <c r="H1008" s="241"/>
      <c r="I1008" s="241"/>
      <c r="J1008" s="241"/>
      <c r="K1008" s="241"/>
      <c r="L1008" s="236"/>
      <c r="M1008" s="236"/>
    </row>
    <row r="1009" spans="1:13" x14ac:dyDescent="0.2">
      <c r="A1009" s="241"/>
      <c r="B1009" s="375"/>
      <c r="C1009" s="375"/>
      <c r="D1009" s="375"/>
      <c r="E1009" s="253"/>
      <c r="F1009" s="375"/>
      <c r="G1009" s="375"/>
      <c r="H1009" s="375"/>
      <c r="I1009" s="253"/>
      <c r="J1009" s="375"/>
      <c r="K1009" s="375"/>
      <c r="L1009" s="375"/>
      <c r="M1009" s="236"/>
    </row>
    <row r="1010" spans="1:13" x14ac:dyDescent="0.2">
      <c r="A1010" s="258"/>
      <c r="B1010" s="259"/>
      <c r="C1010" s="259"/>
      <c r="D1010" s="259"/>
      <c r="E1010" s="259"/>
      <c r="F1010" s="259"/>
      <c r="G1010" s="259"/>
      <c r="H1010" s="259"/>
      <c r="I1010" s="259"/>
      <c r="J1010" s="259"/>
      <c r="K1010" s="259"/>
      <c r="L1010" s="259"/>
      <c r="M1010" s="236"/>
    </row>
    <row r="1011" spans="1:13" x14ac:dyDescent="0.2">
      <c r="A1011" s="258"/>
      <c r="B1011" s="259"/>
      <c r="C1011" s="259"/>
      <c r="D1011" s="259"/>
      <c r="E1011" s="259"/>
      <c r="F1011" s="259"/>
      <c r="G1011" s="259"/>
      <c r="H1011" s="259"/>
      <c r="I1011" s="259"/>
      <c r="J1011" s="259"/>
      <c r="K1011" s="259"/>
      <c r="L1011" s="259"/>
      <c r="M1011" s="236"/>
    </row>
    <row r="1012" spans="1:13" x14ac:dyDescent="0.2">
      <c r="A1012" s="237"/>
      <c r="B1012" s="302"/>
      <c r="C1012" s="302"/>
      <c r="D1012" s="302"/>
      <c r="E1012" s="303"/>
      <c r="F1012" s="302"/>
      <c r="G1012" s="302"/>
      <c r="H1012" s="302"/>
      <c r="I1012" s="303"/>
      <c r="J1012" s="302"/>
      <c r="K1012" s="302"/>
      <c r="L1012" s="302"/>
      <c r="M1012" s="236"/>
    </row>
    <row r="1013" spans="1:13" x14ac:dyDescent="0.2">
      <c r="A1013" s="237"/>
      <c r="B1013" s="302"/>
      <c r="C1013" s="302"/>
      <c r="D1013" s="302"/>
      <c r="E1013" s="303"/>
      <c r="F1013" s="302"/>
      <c r="G1013" s="302"/>
      <c r="H1013" s="302"/>
      <c r="I1013" s="303"/>
      <c r="J1013" s="302"/>
      <c r="K1013" s="302"/>
      <c r="L1013" s="302"/>
      <c r="M1013" s="236"/>
    </row>
    <row r="1014" spans="1:13" x14ac:dyDescent="0.2">
      <c r="A1014" s="237"/>
      <c r="B1014" s="302"/>
      <c r="C1014" s="302"/>
      <c r="D1014" s="302"/>
      <c r="E1014" s="303"/>
      <c r="F1014" s="302"/>
      <c r="G1014" s="302"/>
      <c r="H1014" s="302"/>
      <c r="I1014" s="303"/>
      <c r="J1014" s="302"/>
      <c r="K1014" s="302"/>
      <c r="L1014" s="302"/>
      <c r="M1014" s="236"/>
    </row>
    <row r="1015" spans="1:13" x14ac:dyDescent="0.2">
      <c r="A1015" s="237"/>
      <c r="B1015" s="302"/>
      <c r="C1015" s="302"/>
      <c r="D1015" s="302"/>
      <c r="E1015" s="303"/>
      <c r="F1015" s="302"/>
      <c r="G1015" s="302"/>
      <c r="H1015" s="302"/>
      <c r="I1015" s="303"/>
      <c r="J1015" s="302"/>
      <c r="K1015" s="302"/>
      <c r="L1015" s="302"/>
      <c r="M1015" s="236"/>
    </row>
    <row r="1016" spans="1:13" x14ac:dyDescent="0.2">
      <c r="A1016" s="237"/>
      <c r="B1016" s="302"/>
      <c r="C1016" s="302"/>
      <c r="D1016" s="302"/>
      <c r="E1016" s="303"/>
      <c r="F1016" s="302"/>
      <c r="G1016" s="302"/>
      <c r="H1016" s="302"/>
      <c r="I1016" s="303"/>
      <c r="J1016" s="302"/>
      <c r="K1016" s="302"/>
      <c r="L1016" s="302"/>
      <c r="M1016" s="236"/>
    </row>
    <row r="1017" spans="1:13" x14ac:dyDescent="0.2">
      <c r="A1017" s="237"/>
      <c r="B1017" s="302"/>
      <c r="C1017" s="302"/>
      <c r="D1017" s="302"/>
      <c r="E1017" s="303"/>
      <c r="F1017" s="302"/>
      <c r="G1017" s="302"/>
      <c r="H1017" s="302"/>
      <c r="I1017" s="303"/>
      <c r="J1017" s="302"/>
      <c r="K1017" s="302"/>
      <c r="L1017" s="302"/>
      <c r="M1017" s="236"/>
    </row>
    <row r="1018" spans="1:13" x14ac:dyDescent="0.2">
      <c r="A1018" s="237"/>
      <c r="B1018" s="302"/>
      <c r="C1018" s="302"/>
      <c r="D1018" s="302"/>
      <c r="E1018" s="303"/>
      <c r="F1018" s="302"/>
      <c r="G1018" s="302"/>
      <c r="H1018" s="302"/>
      <c r="I1018" s="303"/>
      <c r="J1018" s="302"/>
      <c r="K1018" s="302"/>
      <c r="L1018" s="302"/>
      <c r="M1018" s="236"/>
    </row>
    <row r="1019" spans="1:13" x14ac:dyDescent="0.2">
      <c r="A1019" s="237"/>
      <c r="B1019" s="302"/>
      <c r="C1019" s="302"/>
      <c r="D1019" s="302"/>
      <c r="E1019" s="303"/>
      <c r="F1019" s="302"/>
      <c r="G1019" s="302"/>
      <c r="H1019" s="302"/>
      <c r="I1019" s="303"/>
      <c r="J1019" s="302"/>
      <c r="K1019" s="302"/>
      <c r="L1019" s="302"/>
      <c r="M1019" s="236"/>
    </row>
    <row r="1020" spans="1:13" x14ac:dyDescent="0.2">
      <c r="A1020" s="237"/>
      <c r="B1020" s="302"/>
      <c r="C1020" s="302"/>
      <c r="D1020" s="302"/>
      <c r="E1020" s="303"/>
      <c r="F1020" s="302"/>
      <c r="G1020" s="302"/>
      <c r="H1020" s="302"/>
      <c r="I1020" s="303"/>
      <c r="J1020" s="302"/>
      <c r="K1020" s="302"/>
      <c r="L1020" s="302"/>
      <c r="M1020" s="236"/>
    </row>
    <row r="1021" spans="1:13" x14ac:dyDescent="0.2">
      <c r="A1021" s="237"/>
      <c r="B1021" s="302"/>
      <c r="C1021" s="302"/>
      <c r="D1021" s="302"/>
      <c r="E1021" s="303"/>
      <c r="F1021" s="302"/>
      <c r="G1021" s="302"/>
      <c r="H1021" s="302"/>
      <c r="I1021" s="303"/>
      <c r="J1021" s="302"/>
      <c r="K1021" s="302"/>
      <c r="L1021" s="302"/>
      <c r="M1021" s="236"/>
    </row>
    <row r="1022" spans="1:13" x14ac:dyDescent="0.2">
      <c r="A1022" s="237"/>
      <c r="B1022" s="303"/>
      <c r="C1022" s="303"/>
      <c r="D1022" s="303"/>
      <c r="E1022" s="303"/>
      <c r="F1022" s="303"/>
      <c r="G1022" s="303"/>
      <c r="H1022" s="303"/>
      <c r="I1022" s="303"/>
      <c r="J1022" s="303"/>
      <c r="K1022" s="303"/>
      <c r="L1022" s="303"/>
      <c r="M1022" s="236"/>
    </row>
    <row r="1023" spans="1:13" x14ac:dyDescent="0.2">
      <c r="A1023" s="237"/>
      <c r="B1023" s="237"/>
      <c r="C1023" s="237"/>
      <c r="D1023" s="237"/>
      <c r="E1023" s="237"/>
      <c r="F1023" s="237"/>
      <c r="G1023" s="237"/>
      <c r="H1023" s="237"/>
      <c r="I1023" s="237"/>
      <c r="J1023" s="237"/>
      <c r="K1023" s="237"/>
      <c r="L1023" s="240"/>
      <c r="M1023" s="236"/>
    </row>
    <row r="1024" spans="1:13" x14ac:dyDescent="0.2">
      <c r="A1024" s="237"/>
      <c r="B1024" s="237"/>
      <c r="C1024" s="237"/>
      <c r="D1024" s="237"/>
      <c r="E1024" s="237"/>
      <c r="F1024" s="237"/>
      <c r="G1024" s="237"/>
      <c r="H1024" s="237"/>
      <c r="I1024" s="237"/>
      <c r="J1024" s="237"/>
      <c r="K1024" s="237"/>
      <c r="L1024" s="284"/>
      <c r="M1024" s="236"/>
    </row>
    <row r="1025" spans="1:13" x14ac:dyDescent="0.2">
      <c r="A1025" s="258"/>
      <c r="B1025" s="241"/>
      <c r="C1025" s="241"/>
      <c r="D1025" s="241"/>
      <c r="E1025" s="241"/>
      <c r="F1025" s="241"/>
      <c r="G1025" s="241"/>
      <c r="H1025" s="241"/>
      <c r="I1025" s="241"/>
      <c r="J1025" s="241"/>
      <c r="K1025" s="241"/>
      <c r="L1025" s="236"/>
      <c r="M1025" s="236"/>
    </row>
    <row r="1026" spans="1:13" x14ac:dyDescent="0.2">
      <c r="A1026" s="241"/>
      <c r="B1026" s="375"/>
      <c r="C1026" s="375"/>
      <c r="D1026" s="375"/>
      <c r="E1026" s="253"/>
      <c r="F1026" s="375"/>
      <c r="G1026" s="375"/>
      <c r="H1026" s="375"/>
      <c r="I1026" s="253"/>
      <c r="J1026" s="375"/>
      <c r="K1026" s="375"/>
      <c r="L1026" s="375"/>
      <c r="M1026" s="236"/>
    </row>
    <row r="1027" spans="1:13" x14ac:dyDescent="0.2">
      <c r="A1027" s="258"/>
      <c r="B1027" s="259"/>
      <c r="C1027" s="259"/>
      <c r="D1027" s="259"/>
      <c r="E1027" s="259"/>
      <c r="F1027" s="259"/>
      <c r="G1027" s="259"/>
      <c r="H1027" s="259"/>
      <c r="I1027" s="259"/>
      <c r="J1027" s="259"/>
      <c r="K1027" s="259"/>
      <c r="L1027" s="259"/>
      <c r="M1027" s="236"/>
    </row>
    <row r="1028" spans="1:13" x14ac:dyDescent="0.2">
      <c r="A1028" s="258"/>
      <c r="B1028" s="259"/>
      <c r="C1028" s="259"/>
      <c r="D1028" s="259"/>
      <c r="E1028" s="259"/>
      <c r="F1028" s="259"/>
      <c r="G1028" s="259"/>
      <c r="H1028" s="259"/>
      <c r="I1028" s="259"/>
      <c r="J1028" s="259"/>
      <c r="K1028" s="259"/>
      <c r="L1028" s="259"/>
      <c r="M1028" s="236"/>
    </row>
    <row r="1029" spans="1:13" x14ac:dyDescent="0.2">
      <c r="A1029" s="237"/>
      <c r="B1029" s="302"/>
      <c r="C1029" s="302"/>
      <c r="D1029" s="302"/>
      <c r="E1029" s="303"/>
      <c r="F1029" s="302"/>
      <c r="G1029" s="302"/>
      <c r="H1029" s="302"/>
      <c r="I1029" s="303"/>
      <c r="J1029" s="302"/>
      <c r="K1029" s="302"/>
      <c r="L1029" s="302"/>
      <c r="M1029" s="236"/>
    </row>
    <row r="1030" spans="1:13" x14ac:dyDescent="0.2">
      <c r="A1030" s="237"/>
      <c r="B1030" s="302"/>
      <c r="C1030" s="302"/>
      <c r="D1030" s="302"/>
      <c r="E1030" s="303"/>
      <c r="F1030" s="302"/>
      <c r="G1030" s="302"/>
      <c r="H1030" s="302"/>
      <c r="I1030" s="303"/>
      <c r="J1030" s="302"/>
      <c r="K1030" s="302"/>
      <c r="L1030" s="302"/>
      <c r="M1030" s="236"/>
    </row>
    <row r="1031" spans="1:13" x14ac:dyDescent="0.2">
      <c r="A1031" s="237"/>
      <c r="B1031" s="302"/>
      <c r="C1031" s="302"/>
      <c r="D1031" s="302"/>
      <c r="E1031" s="303"/>
      <c r="F1031" s="302"/>
      <c r="G1031" s="302"/>
      <c r="H1031" s="302"/>
      <c r="I1031" s="303"/>
      <c r="J1031" s="302"/>
      <c r="K1031" s="302"/>
      <c r="L1031" s="302"/>
      <c r="M1031" s="236"/>
    </row>
    <row r="1032" spans="1:13" x14ac:dyDescent="0.2">
      <c r="A1032" s="237"/>
      <c r="B1032" s="302"/>
      <c r="C1032" s="302"/>
      <c r="D1032" s="302"/>
      <c r="E1032" s="303"/>
      <c r="F1032" s="302"/>
      <c r="G1032" s="302"/>
      <c r="H1032" s="302"/>
      <c r="I1032" s="303"/>
      <c r="J1032" s="302"/>
      <c r="K1032" s="302"/>
      <c r="L1032" s="302"/>
      <c r="M1032" s="236"/>
    </row>
    <row r="1033" spans="1:13" x14ac:dyDescent="0.2">
      <c r="A1033" s="237"/>
      <c r="B1033" s="302"/>
      <c r="C1033" s="302"/>
      <c r="D1033" s="302"/>
      <c r="E1033" s="303"/>
      <c r="F1033" s="302"/>
      <c r="G1033" s="302"/>
      <c r="H1033" s="302"/>
      <c r="I1033" s="303"/>
      <c r="J1033" s="302"/>
      <c r="K1033" s="302"/>
      <c r="L1033" s="302"/>
      <c r="M1033" s="236"/>
    </row>
    <row r="1034" spans="1:13" x14ac:dyDescent="0.2">
      <c r="A1034" s="237"/>
      <c r="B1034" s="302"/>
      <c r="C1034" s="302"/>
      <c r="D1034" s="302"/>
      <c r="E1034" s="303"/>
      <c r="F1034" s="302"/>
      <c r="G1034" s="302"/>
      <c r="H1034" s="302"/>
      <c r="I1034" s="303"/>
      <c r="J1034" s="302"/>
      <c r="K1034" s="302"/>
      <c r="L1034" s="302"/>
      <c r="M1034" s="236"/>
    </row>
    <row r="1035" spans="1:13" x14ac:dyDescent="0.2">
      <c r="A1035" s="237"/>
      <c r="B1035" s="302"/>
      <c r="C1035" s="302"/>
      <c r="D1035" s="302"/>
      <c r="E1035" s="303"/>
      <c r="F1035" s="302"/>
      <c r="G1035" s="302"/>
      <c r="H1035" s="302"/>
      <c r="I1035" s="303"/>
      <c r="J1035" s="302"/>
      <c r="K1035" s="302"/>
      <c r="L1035" s="302"/>
      <c r="M1035" s="236"/>
    </row>
    <row r="1036" spans="1:13" x14ac:dyDescent="0.2">
      <c r="A1036" s="237"/>
      <c r="B1036" s="302"/>
      <c r="C1036" s="302"/>
      <c r="D1036" s="302"/>
      <c r="E1036" s="303"/>
      <c r="F1036" s="302"/>
      <c r="G1036" s="302"/>
      <c r="H1036" s="302"/>
      <c r="I1036" s="303"/>
      <c r="J1036" s="302"/>
      <c r="K1036" s="302"/>
      <c r="L1036" s="302"/>
      <c r="M1036" s="236"/>
    </row>
    <row r="1037" spans="1:13" ht="13.5" customHeight="1" x14ac:dyDescent="0.2">
      <c r="A1037" s="237"/>
      <c r="B1037" s="302"/>
      <c r="C1037" s="302"/>
      <c r="D1037" s="302"/>
      <c r="E1037" s="303"/>
      <c r="F1037" s="302"/>
      <c r="G1037" s="302"/>
      <c r="H1037" s="302"/>
      <c r="I1037" s="303"/>
      <c r="J1037" s="302"/>
      <c r="K1037" s="302"/>
      <c r="L1037" s="302"/>
      <c r="M1037" s="236"/>
    </row>
    <row r="1038" spans="1:13" ht="13.5" customHeight="1" x14ac:dyDescent="0.2">
      <c r="A1038" s="237"/>
      <c r="B1038" s="302"/>
      <c r="C1038" s="302"/>
      <c r="D1038" s="302"/>
      <c r="E1038" s="303"/>
      <c r="F1038" s="302"/>
      <c r="G1038" s="302"/>
      <c r="H1038" s="302"/>
      <c r="I1038" s="303"/>
      <c r="J1038" s="302"/>
      <c r="K1038" s="302"/>
      <c r="L1038" s="302"/>
      <c r="M1038" s="236"/>
    </row>
    <row r="1039" spans="1:13" x14ac:dyDescent="0.2">
      <c r="A1039" s="237"/>
      <c r="B1039" s="303"/>
      <c r="C1039" s="303"/>
      <c r="D1039" s="303"/>
      <c r="E1039" s="303"/>
      <c r="F1039" s="303"/>
      <c r="G1039" s="303"/>
      <c r="H1039" s="303"/>
      <c r="I1039" s="303"/>
      <c r="J1039" s="303"/>
      <c r="K1039" s="303"/>
      <c r="L1039" s="303"/>
      <c r="M1039" s="236"/>
    </row>
    <row r="1040" spans="1:13" x14ac:dyDescent="0.2">
      <c r="A1040" s="237"/>
      <c r="B1040" s="237"/>
      <c r="C1040" s="237"/>
      <c r="D1040" s="237"/>
      <c r="E1040" s="237"/>
      <c r="F1040" s="237"/>
      <c r="G1040" s="237"/>
      <c r="H1040" s="237"/>
      <c r="I1040" s="237"/>
      <c r="J1040" s="237"/>
      <c r="K1040" s="237"/>
      <c r="L1040" s="240"/>
      <c r="M1040" s="236"/>
    </row>
    <row r="1041" spans="1:13" x14ac:dyDescent="0.2">
      <c r="A1041" s="237"/>
      <c r="B1041" s="237"/>
      <c r="C1041" s="237"/>
      <c r="D1041" s="237"/>
      <c r="E1041" s="237"/>
      <c r="F1041" s="237"/>
      <c r="G1041" s="237"/>
      <c r="H1041" s="237"/>
      <c r="I1041" s="237"/>
      <c r="J1041" s="237"/>
      <c r="K1041" s="237"/>
      <c r="L1041" s="284"/>
      <c r="M1041" s="236"/>
    </row>
    <row r="1042" spans="1:13" x14ac:dyDescent="0.2">
      <c r="A1042" s="258"/>
      <c r="B1042" s="241"/>
      <c r="C1042" s="241"/>
      <c r="D1042" s="241"/>
      <c r="E1042" s="241"/>
      <c r="F1042" s="241"/>
      <c r="G1042" s="241"/>
      <c r="H1042" s="241"/>
      <c r="I1042" s="241"/>
      <c r="J1042" s="241"/>
      <c r="K1042" s="241"/>
      <c r="L1042" s="236"/>
      <c r="M1042" s="236"/>
    </row>
    <row r="1043" spans="1:13" x14ac:dyDescent="0.2">
      <c r="A1043" s="241"/>
      <c r="B1043" s="375"/>
      <c r="C1043" s="375"/>
      <c r="D1043" s="375"/>
      <c r="E1043" s="253"/>
      <c r="F1043" s="375"/>
      <c r="G1043" s="375"/>
      <c r="H1043" s="375"/>
      <c r="I1043" s="253"/>
      <c r="J1043" s="375"/>
      <c r="K1043" s="375"/>
      <c r="L1043" s="375"/>
      <c r="M1043" s="236"/>
    </row>
    <row r="1044" spans="1:13" x14ac:dyDescent="0.2">
      <c r="A1044" s="258"/>
      <c r="B1044" s="259"/>
      <c r="C1044" s="259"/>
      <c r="D1044" s="259"/>
      <c r="E1044" s="259"/>
      <c r="F1044" s="259"/>
      <c r="G1044" s="259"/>
      <c r="H1044" s="259"/>
      <c r="I1044" s="259"/>
      <c r="J1044" s="259"/>
      <c r="K1044" s="259"/>
      <c r="L1044" s="259"/>
      <c r="M1044" s="236"/>
    </row>
    <row r="1045" spans="1:13" x14ac:dyDescent="0.2">
      <c r="A1045" s="258"/>
      <c r="B1045" s="259"/>
      <c r="C1045" s="259"/>
      <c r="D1045" s="259"/>
      <c r="E1045" s="259"/>
      <c r="F1045" s="259"/>
      <c r="G1045" s="259"/>
      <c r="H1045" s="259"/>
      <c r="I1045" s="259"/>
      <c r="J1045" s="259"/>
      <c r="K1045" s="259"/>
      <c r="L1045" s="259"/>
      <c r="M1045" s="236"/>
    </row>
    <row r="1046" spans="1:13" x14ac:dyDescent="0.2">
      <c r="A1046" s="237"/>
      <c r="B1046" s="302"/>
      <c r="C1046" s="302"/>
      <c r="D1046" s="302"/>
      <c r="E1046" s="303"/>
      <c r="F1046" s="302"/>
      <c r="G1046" s="302"/>
      <c r="H1046" s="302"/>
      <c r="I1046" s="303"/>
      <c r="J1046" s="302"/>
      <c r="K1046" s="302"/>
      <c r="L1046" s="302"/>
      <c r="M1046" s="236"/>
    </row>
    <row r="1047" spans="1:13" x14ac:dyDescent="0.2">
      <c r="A1047" s="237"/>
      <c r="B1047" s="302"/>
      <c r="C1047" s="302"/>
      <c r="D1047" s="302"/>
      <c r="E1047" s="303"/>
      <c r="F1047" s="302"/>
      <c r="G1047" s="302"/>
      <c r="H1047" s="302"/>
      <c r="I1047" s="303"/>
      <c r="J1047" s="302"/>
      <c r="K1047" s="302"/>
      <c r="L1047" s="302"/>
      <c r="M1047" s="236"/>
    </row>
    <row r="1048" spans="1:13" x14ac:dyDescent="0.2">
      <c r="A1048" s="237"/>
      <c r="B1048" s="302"/>
      <c r="C1048" s="302"/>
      <c r="D1048" s="302"/>
      <c r="E1048" s="303"/>
      <c r="F1048" s="302"/>
      <c r="G1048" s="302"/>
      <c r="H1048" s="302"/>
      <c r="I1048" s="303"/>
      <c r="J1048" s="302"/>
      <c r="K1048" s="302"/>
      <c r="L1048" s="302"/>
      <c r="M1048" s="236"/>
    </row>
    <row r="1049" spans="1:13" x14ac:dyDescent="0.2">
      <c r="A1049" s="237"/>
      <c r="B1049" s="302"/>
      <c r="C1049" s="302"/>
      <c r="D1049" s="302"/>
      <c r="E1049" s="303"/>
      <c r="F1049" s="302"/>
      <c r="G1049" s="302"/>
      <c r="H1049" s="302"/>
      <c r="I1049" s="303"/>
      <c r="J1049" s="302"/>
      <c r="K1049" s="302"/>
      <c r="L1049" s="302"/>
      <c r="M1049" s="236"/>
    </row>
    <row r="1050" spans="1:13" x14ac:dyDescent="0.2">
      <c r="A1050" s="237"/>
      <c r="B1050" s="302"/>
      <c r="C1050" s="302"/>
      <c r="D1050" s="302"/>
      <c r="E1050" s="303"/>
      <c r="F1050" s="302"/>
      <c r="G1050" s="302"/>
      <c r="H1050" s="302"/>
      <c r="I1050" s="303"/>
      <c r="J1050" s="302"/>
      <c r="K1050" s="302"/>
      <c r="L1050" s="302"/>
      <c r="M1050" s="236"/>
    </row>
    <row r="1051" spans="1:13" x14ac:dyDescent="0.2">
      <c r="A1051" s="237"/>
      <c r="B1051" s="302"/>
      <c r="C1051" s="302"/>
      <c r="D1051" s="302"/>
      <c r="E1051" s="303"/>
      <c r="F1051" s="302"/>
      <c r="G1051" s="302"/>
      <c r="H1051" s="302"/>
      <c r="I1051" s="303"/>
      <c r="J1051" s="302"/>
      <c r="K1051" s="302"/>
      <c r="L1051" s="302"/>
      <c r="M1051" s="236"/>
    </row>
    <row r="1052" spans="1:13" x14ac:dyDescent="0.2">
      <c r="A1052" s="237"/>
      <c r="B1052" s="302"/>
      <c r="C1052" s="302"/>
      <c r="D1052" s="302"/>
      <c r="E1052" s="303"/>
      <c r="F1052" s="302"/>
      <c r="G1052" s="302"/>
      <c r="H1052" s="302"/>
      <c r="I1052" s="303"/>
      <c r="J1052" s="302"/>
      <c r="K1052" s="302"/>
      <c r="L1052" s="302"/>
      <c r="M1052" s="236"/>
    </row>
    <row r="1053" spans="1:13" x14ac:dyDescent="0.2">
      <c r="A1053" s="237"/>
      <c r="B1053" s="302"/>
      <c r="C1053" s="302"/>
      <c r="D1053" s="302"/>
      <c r="E1053" s="303"/>
      <c r="F1053" s="302"/>
      <c r="G1053" s="302"/>
      <c r="H1053" s="302"/>
      <c r="I1053" s="303"/>
      <c r="J1053" s="302"/>
      <c r="K1053" s="302"/>
      <c r="L1053" s="302"/>
      <c r="M1053" s="236"/>
    </row>
    <row r="1054" spans="1:13" x14ac:dyDescent="0.2">
      <c r="A1054" s="237"/>
      <c r="B1054" s="302"/>
      <c r="C1054" s="302"/>
      <c r="D1054" s="302"/>
      <c r="E1054" s="303"/>
      <c r="F1054" s="302"/>
      <c r="G1054" s="302"/>
      <c r="H1054" s="302"/>
      <c r="I1054" s="303"/>
      <c r="J1054" s="302"/>
      <c r="K1054" s="302"/>
      <c r="L1054" s="302"/>
      <c r="M1054" s="236"/>
    </row>
    <row r="1055" spans="1:13" x14ac:dyDescent="0.2">
      <c r="A1055" s="237"/>
      <c r="B1055" s="302"/>
      <c r="C1055" s="302"/>
      <c r="D1055" s="302"/>
      <c r="E1055" s="303"/>
      <c r="F1055" s="302"/>
      <c r="G1055" s="302"/>
      <c r="H1055" s="302"/>
      <c r="I1055" s="303"/>
      <c r="J1055" s="302"/>
      <c r="K1055" s="302"/>
      <c r="L1055" s="302"/>
      <c r="M1055" s="236"/>
    </row>
    <row r="1056" spans="1:13" x14ac:dyDescent="0.2">
      <c r="A1056" s="237"/>
      <c r="B1056" s="303"/>
      <c r="C1056" s="303"/>
      <c r="D1056" s="303"/>
      <c r="E1056" s="303"/>
      <c r="F1056" s="303"/>
      <c r="G1056" s="303"/>
      <c r="H1056" s="303"/>
      <c r="I1056" s="303"/>
      <c r="J1056" s="303"/>
      <c r="K1056" s="303"/>
      <c r="L1056" s="303"/>
      <c r="M1056" s="236"/>
    </row>
    <row r="1057" spans="1:13" x14ac:dyDescent="0.2">
      <c r="A1057" s="237"/>
      <c r="B1057" s="237"/>
      <c r="C1057" s="237"/>
      <c r="D1057" s="237"/>
      <c r="E1057" s="237"/>
      <c r="F1057" s="237"/>
      <c r="G1057" s="237"/>
      <c r="H1057" s="237"/>
      <c r="I1057" s="237"/>
      <c r="J1057" s="237"/>
      <c r="K1057" s="237"/>
      <c r="L1057" s="240"/>
      <c r="M1057" s="236"/>
    </row>
    <row r="1058" spans="1:13" x14ac:dyDescent="0.2">
      <c r="A1058" s="237"/>
      <c r="B1058" s="237"/>
      <c r="C1058" s="237"/>
      <c r="D1058" s="237"/>
      <c r="E1058" s="237"/>
      <c r="F1058" s="237"/>
      <c r="G1058" s="237"/>
      <c r="H1058" s="237"/>
      <c r="I1058" s="237"/>
      <c r="J1058" s="237"/>
      <c r="K1058" s="237"/>
      <c r="L1058" s="284"/>
      <c r="M1058" s="236"/>
    </row>
    <row r="1059" spans="1:13" x14ac:dyDescent="0.2">
      <c r="A1059" s="258"/>
      <c r="B1059" s="241"/>
      <c r="C1059" s="241"/>
      <c r="D1059" s="241"/>
      <c r="E1059" s="241"/>
      <c r="F1059" s="241"/>
      <c r="G1059" s="241"/>
      <c r="H1059" s="241"/>
      <c r="I1059" s="241"/>
      <c r="J1059" s="241"/>
      <c r="K1059" s="241"/>
      <c r="L1059" s="236"/>
      <c r="M1059" s="236"/>
    </row>
    <row r="1060" spans="1:13" x14ac:dyDescent="0.2">
      <c r="A1060" s="241"/>
      <c r="B1060" s="375"/>
      <c r="C1060" s="375"/>
      <c r="D1060" s="375"/>
      <c r="E1060" s="253"/>
      <c r="F1060" s="375"/>
      <c r="G1060" s="375"/>
      <c r="H1060" s="375"/>
      <c r="I1060" s="253"/>
      <c r="J1060" s="375"/>
      <c r="K1060" s="375"/>
      <c r="L1060" s="375"/>
      <c r="M1060" s="236"/>
    </row>
    <row r="1061" spans="1:13" x14ac:dyDescent="0.2">
      <c r="A1061" s="258"/>
      <c r="B1061" s="259"/>
      <c r="C1061" s="259"/>
      <c r="D1061" s="259"/>
      <c r="E1061" s="259"/>
      <c r="F1061" s="259"/>
      <c r="G1061" s="259"/>
      <c r="H1061" s="259"/>
      <c r="I1061" s="259"/>
      <c r="J1061" s="259"/>
      <c r="K1061" s="259"/>
      <c r="L1061" s="259"/>
      <c r="M1061" s="236"/>
    </row>
    <row r="1062" spans="1:13" x14ac:dyDescent="0.2">
      <c r="A1062" s="258"/>
      <c r="B1062" s="259"/>
      <c r="C1062" s="259"/>
      <c r="D1062" s="259"/>
      <c r="E1062" s="259"/>
      <c r="F1062" s="259"/>
      <c r="G1062" s="259"/>
      <c r="H1062" s="259"/>
      <c r="I1062" s="259"/>
      <c r="J1062" s="259"/>
      <c r="K1062" s="259"/>
      <c r="L1062" s="259"/>
      <c r="M1062" s="236"/>
    </row>
    <row r="1063" spans="1:13" x14ac:dyDescent="0.2">
      <c r="A1063" s="237"/>
      <c r="B1063" s="302"/>
      <c r="C1063" s="302"/>
      <c r="D1063" s="302"/>
      <c r="E1063" s="303"/>
      <c r="F1063" s="302"/>
      <c r="G1063" s="302"/>
      <c r="H1063" s="302"/>
      <c r="I1063" s="303"/>
      <c r="J1063" s="302"/>
      <c r="K1063" s="302"/>
      <c r="L1063" s="302"/>
      <c r="M1063" s="236"/>
    </row>
    <row r="1064" spans="1:13" x14ac:dyDescent="0.2">
      <c r="A1064" s="237"/>
      <c r="B1064" s="302"/>
      <c r="C1064" s="302"/>
      <c r="D1064" s="302"/>
      <c r="E1064" s="303"/>
      <c r="F1064" s="302"/>
      <c r="G1064" s="302"/>
      <c r="H1064" s="302"/>
      <c r="I1064" s="303"/>
      <c r="J1064" s="302"/>
      <c r="K1064" s="302"/>
      <c r="L1064" s="302"/>
      <c r="M1064" s="236"/>
    </row>
    <row r="1065" spans="1:13" x14ac:dyDescent="0.2">
      <c r="A1065" s="237"/>
      <c r="B1065" s="302"/>
      <c r="C1065" s="302"/>
      <c r="D1065" s="302"/>
      <c r="E1065" s="303"/>
      <c r="F1065" s="302"/>
      <c r="G1065" s="302"/>
      <c r="H1065" s="302"/>
      <c r="I1065" s="303"/>
      <c r="J1065" s="302"/>
      <c r="K1065" s="302"/>
      <c r="L1065" s="302"/>
      <c r="M1065" s="236"/>
    </row>
    <row r="1066" spans="1:13" x14ac:dyDescent="0.2">
      <c r="A1066" s="237"/>
      <c r="B1066" s="302"/>
      <c r="C1066" s="302"/>
      <c r="D1066" s="302"/>
      <c r="E1066" s="303"/>
      <c r="F1066" s="302"/>
      <c r="G1066" s="302"/>
      <c r="H1066" s="302"/>
      <c r="I1066" s="303"/>
      <c r="J1066" s="302"/>
      <c r="K1066" s="302"/>
      <c r="L1066" s="302"/>
      <c r="M1066" s="236"/>
    </row>
    <row r="1067" spans="1:13" x14ac:dyDescent="0.2">
      <c r="A1067" s="237"/>
      <c r="B1067" s="302"/>
      <c r="C1067" s="302"/>
      <c r="D1067" s="302"/>
      <c r="E1067" s="303"/>
      <c r="F1067" s="302"/>
      <c r="G1067" s="302"/>
      <c r="H1067" s="302"/>
      <c r="I1067" s="303"/>
      <c r="J1067" s="302"/>
      <c r="K1067" s="302"/>
      <c r="L1067" s="302"/>
      <c r="M1067" s="236"/>
    </row>
    <row r="1068" spans="1:13" x14ac:dyDescent="0.2">
      <c r="A1068" s="237"/>
      <c r="B1068" s="302"/>
      <c r="C1068" s="302"/>
      <c r="D1068" s="302"/>
      <c r="E1068" s="303"/>
      <c r="F1068" s="302"/>
      <c r="G1068" s="302"/>
      <c r="H1068" s="302"/>
      <c r="I1068" s="303"/>
      <c r="J1068" s="302"/>
      <c r="K1068" s="302"/>
      <c r="L1068" s="302"/>
      <c r="M1068" s="236"/>
    </row>
    <row r="1069" spans="1:13" x14ac:dyDescent="0.2">
      <c r="A1069" s="237"/>
      <c r="B1069" s="302"/>
      <c r="C1069" s="302"/>
      <c r="D1069" s="302"/>
      <c r="E1069" s="303"/>
      <c r="F1069" s="302"/>
      <c r="G1069" s="302"/>
      <c r="H1069" s="302"/>
      <c r="I1069" s="303"/>
      <c r="J1069" s="302"/>
      <c r="K1069" s="302"/>
      <c r="L1069" s="302"/>
      <c r="M1069" s="236"/>
    </row>
    <row r="1070" spans="1:13" x14ac:dyDescent="0.2">
      <c r="A1070" s="237"/>
      <c r="B1070" s="302"/>
      <c r="C1070" s="302"/>
      <c r="D1070" s="302"/>
      <c r="E1070" s="303"/>
      <c r="F1070" s="302"/>
      <c r="G1070" s="302"/>
      <c r="H1070" s="302"/>
      <c r="I1070" s="303"/>
      <c r="J1070" s="302"/>
      <c r="K1070" s="302"/>
      <c r="L1070" s="302"/>
      <c r="M1070" s="236"/>
    </row>
    <row r="1071" spans="1:13" x14ac:dyDescent="0.2">
      <c r="A1071" s="237"/>
      <c r="B1071" s="302"/>
      <c r="C1071" s="302"/>
      <c r="D1071" s="302"/>
      <c r="E1071" s="303"/>
      <c r="F1071" s="302"/>
      <c r="G1071" s="302"/>
      <c r="H1071" s="302"/>
      <c r="I1071" s="303"/>
      <c r="J1071" s="302"/>
      <c r="K1071" s="302"/>
      <c r="L1071" s="302"/>
      <c r="M1071" s="236"/>
    </row>
    <row r="1072" spans="1:13" x14ac:dyDescent="0.2">
      <c r="A1072" s="237"/>
      <c r="B1072" s="302"/>
      <c r="C1072" s="302"/>
      <c r="D1072" s="302"/>
      <c r="E1072" s="303"/>
      <c r="F1072" s="302"/>
      <c r="G1072" s="302"/>
      <c r="H1072" s="302"/>
      <c r="I1072" s="303"/>
      <c r="J1072" s="302"/>
      <c r="K1072" s="302"/>
      <c r="L1072" s="302"/>
      <c r="M1072" s="236"/>
    </row>
    <row r="1073" spans="1:13" x14ac:dyDescent="0.2">
      <c r="A1073" s="237"/>
      <c r="B1073" s="303"/>
      <c r="C1073" s="303"/>
      <c r="D1073" s="303"/>
      <c r="E1073" s="303"/>
      <c r="F1073" s="303"/>
      <c r="G1073" s="303"/>
      <c r="H1073" s="303"/>
      <c r="I1073" s="303"/>
      <c r="J1073" s="303"/>
      <c r="K1073" s="303"/>
      <c r="L1073" s="303"/>
      <c r="M1073" s="236"/>
    </row>
    <row r="1074" spans="1:13" x14ac:dyDescent="0.2">
      <c r="A1074" s="237"/>
      <c r="B1074" s="237"/>
      <c r="C1074" s="237"/>
      <c r="D1074" s="237"/>
      <c r="E1074" s="237"/>
      <c r="F1074" s="237"/>
      <c r="G1074" s="237"/>
      <c r="H1074" s="237"/>
      <c r="I1074" s="237"/>
      <c r="J1074" s="237"/>
      <c r="K1074" s="237"/>
      <c r="L1074" s="240"/>
      <c r="M1074" s="236"/>
    </row>
    <row r="1075" spans="1:13" x14ac:dyDescent="0.2">
      <c r="A1075" s="237"/>
      <c r="B1075" s="237"/>
      <c r="C1075" s="237"/>
      <c r="D1075" s="237"/>
      <c r="E1075" s="237"/>
      <c r="F1075" s="237"/>
      <c r="G1075" s="237"/>
      <c r="H1075" s="237"/>
      <c r="I1075" s="237"/>
      <c r="J1075" s="237"/>
      <c r="K1075" s="237"/>
      <c r="L1075" s="284"/>
      <c r="M1075" s="236"/>
    </row>
    <row r="1076" spans="1:13" x14ac:dyDescent="0.2">
      <c r="A1076" s="258"/>
      <c r="B1076" s="241"/>
      <c r="C1076" s="241"/>
      <c r="D1076" s="241"/>
      <c r="E1076" s="241"/>
      <c r="F1076" s="241"/>
      <c r="G1076" s="241"/>
      <c r="H1076" s="241"/>
      <c r="I1076" s="241"/>
      <c r="J1076" s="241"/>
      <c r="K1076" s="241"/>
      <c r="L1076" s="236"/>
      <c r="M1076" s="236"/>
    </row>
    <row r="1077" spans="1:13" x14ac:dyDescent="0.2">
      <c r="A1077" s="241"/>
      <c r="B1077" s="375"/>
      <c r="C1077" s="375"/>
      <c r="D1077" s="375"/>
      <c r="E1077" s="253"/>
      <c r="F1077" s="375"/>
      <c r="G1077" s="375"/>
      <c r="H1077" s="375"/>
      <c r="I1077" s="253"/>
      <c r="J1077" s="375"/>
      <c r="K1077" s="375"/>
      <c r="L1077" s="375"/>
      <c r="M1077" s="236"/>
    </row>
    <row r="1078" spans="1:13" x14ac:dyDescent="0.2">
      <c r="A1078" s="258"/>
      <c r="B1078" s="259"/>
      <c r="C1078" s="259"/>
      <c r="D1078" s="259"/>
      <c r="E1078" s="259"/>
      <c r="F1078" s="259"/>
      <c r="G1078" s="259"/>
      <c r="H1078" s="259"/>
      <c r="I1078" s="259"/>
      <c r="J1078" s="259"/>
      <c r="K1078" s="259"/>
      <c r="L1078" s="259"/>
      <c r="M1078" s="236"/>
    </row>
    <row r="1079" spans="1:13" x14ac:dyDescent="0.2">
      <c r="A1079" s="258"/>
      <c r="B1079" s="259"/>
      <c r="C1079" s="259"/>
      <c r="D1079" s="259"/>
      <c r="E1079" s="259"/>
      <c r="F1079" s="259"/>
      <c r="G1079" s="259"/>
      <c r="H1079" s="259"/>
      <c r="I1079" s="259"/>
      <c r="J1079" s="259"/>
      <c r="K1079" s="259"/>
      <c r="L1079" s="259"/>
      <c r="M1079" s="236"/>
    </row>
    <row r="1080" spans="1:13" x14ac:dyDescent="0.2">
      <c r="A1080" s="237"/>
      <c r="B1080" s="302"/>
      <c r="C1080" s="302"/>
      <c r="D1080" s="302"/>
      <c r="E1080" s="303"/>
      <c r="F1080" s="302"/>
      <c r="G1080" s="302"/>
      <c r="H1080" s="302"/>
      <c r="I1080" s="303"/>
      <c r="J1080" s="302"/>
      <c r="K1080" s="302"/>
      <c r="L1080" s="302"/>
      <c r="M1080" s="236"/>
    </row>
    <row r="1081" spans="1:13" x14ac:dyDescent="0.2">
      <c r="A1081" s="237"/>
      <c r="B1081" s="302"/>
      <c r="C1081" s="302"/>
      <c r="D1081" s="302"/>
      <c r="E1081" s="303"/>
      <c r="F1081" s="302"/>
      <c r="G1081" s="302"/>
      <c r="H1081" s="302"/>
      <c r="I1081" s="303"/>
      <c r="J1081" s="302"/>
      <c r="K1081" s="302"/>
      <c r="L1081" s="302"/>
      <c r="M1081" s="236"/>
    </row>
    <row r="1082" spans="1:13" x14ac:dyDescent="0.2">
      <c r="A1082" s="237"/>
      <c r="B1082" s="302"/>
      <c r="C1082" s="302"/>
      <c r="D1082" s="302"/>
      <c r="E1082" s="303"/>
      <c r="F1082" s="302"/>
      <c r="G1082" s="302"/>
      <c r="H1082" s="302"/>
      <c r="I1082" s="303"/>
      <c r="J1082" s="302"/>
      <c r="K1082" s="302"/>
      <c r="L1082" s="302"/>
      <c r="M1082" s="236"/>
    </row>
    <row r="1083" spans="1:13" x14ac:dyDescent="0.2">
      <c r="A1083" s="237"/>
      <c r="B1083" s="302"/>
      <c r="C1083" s="302"/>
      <c r="D1083" s="302"/>
      <c r="E1083" s="303"/>
      <c r="F1083" s="302"/>
      <c r="G1083" s="302"/>
      <c r="H1083" s="302"/>
      <c r="I1083" s="303"/>
      <c r="J1083" s="302"/>
      <c r="K1083" s="302"/>
      <c r="L1083" s="302"/>
      <c r="M1083" s="236"/>
    </row>
    <row r="1084" spans="1:13" x14ac:dyDescent="0.2">
      <c r="A1084" s="237"/>
      <c r="B1084" s="302"/>
      <c r="C1084" s="302"/>
      <c r="D1084" s="302"/>
      <c r="E1084" s="303"/>
      <c r="F1084" s="302"/>
      <c r="G1084" s="302"/>
      <c r="H1084" s="302"/>
      <c r="I1084" s="303"/>
      <c r="J1084" s="302"/>
      <c r="K1084" s="302"/>
      <c r="L1084" s="302"/>
      <c r="M1084" s="236"/>
    </row>
    <row r="1085" spans="1:13" x14ac:dyDescent="0.2">
      <c r="A1085" s="237"/>
      <c r="B1085" s="302"/>
      <c r="C1085" s="302"/>
      <c r="D1085" s="302"/>
      <c r="E1085" s="303"/>
      <c r="F1085" s="302"/>
      <c r="G1085" s="302"/>
      <c r="H1085" s="302"/>
      <c r="I1085" s="303"/>
      <c r="J1085" s="302"/>
      <c r="K1085" s="302"/>
      <c r="L1085" s="302"/>
      <c r="M1085" s="236"/>
    </row>
    <row r="1086" spans="1:13" x14ac:dyDescent="0.2">
      <c r="A1086" s="237"/>
      <c r="B1086" s="302"/>
      <c r="C1086" s="302"/>
      <c r="D1086" s="302"/>
      <c r="E1086" s="303"/>
      <c r="F1086" s="302"/>
      <c r="G1086" s="302"/>
      <c r="H1086" s="302"/>
      <c r="I1086" s="303"/>
      <c r="J1086" s="302"/>
      <c r="K1086" s="302"/>
      <c r="L1086" s="302"/>
      <c r="M1086" s="236"/>
    </row>
    <row r="1087" spans="1:13" x14ac:dyDescent="0.2">
      <c r="A1087" s="237"/>
      <c r="B1087" s="302"/>
      <c r="C1087" s="302"/>
      <c r="D1087" s="302"/>
      <c r="E1087" s="303"/>
      <c r="F1087" s="302"/>
      <c r="G1087" s="302"/>
      <c r="H1087" s="302"/>
      <c r="I1087" s="303"/>
      <c r="J1087" s="302"/>
      <c r="K1087" s="302"/>
      <c r="L1087" s="302"/>
      <c r="M1087" s="236"/>
    </row>
    <row r="1088" spans="1:13" x14ac:dyDescent="0.2">
      <c r="A1088" s="237"/>
      <c r="B1088" s="302"/>
      <c r="C1088" s="302"/>
      <c r="D1088" s="302"/>
      <c r="E1088" s="303"/>
      <c r="F1088" s="302"/>
      <c r="G1088" s="302"/>
      <c r="H1088" s="302"/>
      <c r="I1088" s="303"/>
      <c r="J1088" s="302"/>
      <c r="K1088" s="302"/>
      <c r="L1088" s="302"/>
      <c r="M1088" s="236"/>
    </row>
    <row r="1089" spans="1:13" x14ac:dyDescent="0.2">
      <c r="A1089" s="237"/>
      <c r="B1089" s="302"/>
      <c r="C1089" s="302"/>
      <c r="D1089" s="302"/>
      <c r="E1089" s="303"/>
      <c r="F1089" s="302"/>
      <c r="G1089" s="302"/>
      <c r="H1089" s="302"/>
      <c r="I1089" s="303"/>
      <c r="J1089" s="302"/>
      <c r="K1089" s="302"/>
      <c r="L1089" s="302"/>
      <c r="M1089" s="236"/>
    </row>
    <row r="1090" spans="1:13" x14ac:dyDescent="0.2">
      <c r="A1090" s="237"/>
      <c r="B1090" s="303"/>
      <c r="C1090" s="303"/>
      <c r="D1090" s="303"/>
      <c r="E1090" s="303"/>
      <c r="F1090" s="303"/>
      <c r="G1090" s="303"/>
      <c r="H1090" s="303"/>
      <c r="I1090" s="303"/>
      <c r="J1090" s="303"/>
      <c r="K1090" s="303"/>
      <c r="L1090" s="303"/>
      <c r="M1090" s="236"/>
    </row>
    <row r="1091" spans="1:13" x14ac:dyDescent="0.2">
      <c r="A1091" s="237"/>
      <c r="B1091" s="237"/>
      <c r="C1091" s="237"/>
      <c r="D1091" s="237"/>
      <c r="E1091" s="237"/>
      <c r="F1091" s="237"/>
      <c r="G1091" s="237"/>
      <c r="H1091" s="237"/>
      <c r="I1091" s="237"/>
      <c r="J1091" s="237"/>
      <c r="K1091" s="237"/>
      <c r="L1091" s="240"/>
      <c r="M1091" s="236"/>
    </row>
    <row r="1092" spans="1:13" x14ac:dyDescent="0.2">
      <c r="A1092" s="237"/>
      <c r="B1092" s="237"/>
      <c r="C1092" s="237"/>
      <c r="D1092" s="237"/>
      <c r="E1092" s="237"/>
      <c r="F1092" s="237"/>
      <c r="G1092" s="237"/>
      <c r="H1092" s="237"/>
      <c r="I1092" s="237"/>
      <c r="J1092" s="237"/>
      <c r="K1092" s="237"/>
      <c r="L1092" s="284"/>
      <c r="M1092" s="236"/>
    </row>
    <row r="1093" spans="1:13" x14ac:dyDescent="0.2">
      <c r="A1093" s="258"/>
      <c r="B1093" s="241"/>
      <c r="C1093" s="241"/>
      <c r="D1093" s="241"/>
      <c r="E1093" s="241"/>
      <c r="F1093" s="241"/>
      <c r="G1093" s="241"/>
      <c r="H1093" s="241"/>
      <c r="I1093" s="241"/>
      <c r="J1093" s="241"/>
      <c r="K1093" s="241"/>
      <c r="L1093" s="236"/>
      <c r="M1093" s="236"/>
    </row>
    <row r="1094" spans="1:13" x14ac:dyDescent="0.2">
      <c r="A1094" s="241"/>
      <c r="B1094" s="375"/>
      <c r="C1094" s="375"/>
      <c r="D1094" s="375"/>
      <c r="E1094" s="253"/>
      <c r="F1094" s="375"/>
      <c r="G1094" s="375"/>
      <c r="H1094" s="375"/>
      <c r="I1094" s="253"/>
      <c r="J1094" s="375"/>
      <c r="K1094" s="375"/>
      <c r="L1094" s="375"/>
      <c r="M1094" s="236"/>
    </row>
    <row r="1095" spans="1:13" x14ac:dyDescent="0.2">
      <c r="A1095" s="258"/>
      <c r="B1095" s="259"/>
      <c r="C1095" s="259"/>
      <c r="D1095" s="259"/>
      <c r="E1095" s="259"/>
      <c r="F1095" s="259"/>
      <c r="G1095" s="259"/>
      <c r="H1095" s="259"/>
      <c r="I1095" s="259"/>
      <c r="J1095" s="259"/>
      <c r="K1095" s="259"/>
      <c r="L1095" s="259"/>
      <c r="M1095" s="236"/>
    </row>
    <row r="1096" spans="1:13" x14ac:dyDescent="0.2">
      <c r="A1096" s="258"/>
      <c r="B1096" s="259"/>
      <c r="C1096" s="259"/>
      <c r="D1096" s="259"/>
      <c r="E1096" s="259"/>
      <c r="F1096" s="259"/>
      <c r="G1096" s="259"/>
      <c r="H1096" s="259"/>
      <c r="I1096" s="259"/>
      <c r="J1096" s="259"/>
      <c r="K1096" s="259"/>
      <c r="L1096" s="259"/>
      <c r="M1096" s="236"/>
    </row>
    <row r="1097" spans="1:13" x14ac:dyDescent="0.2">
      <c r="A1097" s="237"/>
      <c r="B1097" s="302"/>
      <c r="C1097" s="302"/>
      <c r="D1097" s="302"/>
      <c r="E1097" s="303"/>
      <c r="F1097" s="302"/>
      <c r="G1097" s="302"/>
      <c r="H1097" s="302"/>
      <c r="I1097" s="303"/>
      <c r="J1097" s="302"/>
      <c r="K1097" s="302"/>
      <c r="L1097" s="302"/>
      <c r="M1097" s="236"/>
    </row>
    <row r="1098" spans="1:13" x14ac:dyDescent="0.2">
      <c r="A1098" s="237"/>
      <c r="B1098" s="302"/>
      <c r="C1098" s="302"/>
      <c r="D1098" s="302"/>
      <c r="E1098" s="303"/>
      <c r="F1098" s="302"/>
      <c r="G1098" s="302"/>
      <c r="H1098" s="302"/>
      <c r="I1098" s="303"/>
      <c r="J1098" s="302"/>
      <c r="K1098" s="302"/>
      <c r="L1098" s="302"/>
      <c r="M1098" s="236"/>
    </row>
    <row r="1099" spans="1:13" x14ac:dyDescent="0.2">
      <c r="A1099" s="237"/>
      <c r="B1099" s="302"/>
      <c r="C1099" s="302"/>
      <c r="D1099" s="302"/>
      <c r="E1099" s="303"/>
      <c r="F1099" s="302"/>
      <c r="G1099" s="302"/>
      <c r="H1099" s="302"/>
      <c r="I1099" s="303"/>
      <c r="J1099" s="302"/>
      <c r="K1099" s="302"/>
      <c r="L1099" s="302"/>
      <c r="M1099" s="236"/>
    </row>
    <row r="1100" spans="1:13" x14ac:dyDescent="0.2">
      <c r="A1100" s="237"/>
      <c r="B1100" s="302"/>
      <c r="C1100" s="302"/>
      <c r="D1100" s="302"/>
      <c r="E1100" s="303"/>
      <c r="F1100" s="302"/>
      <c r="G1100" s="302"/>
      <c r="H1100" s="302"/>
      <c r="I1100" s="303"/>
      <c r="J1100" s="302"/>
      <c r="K1100" s="302"/>
      <c r="L1100" s="302"/>
      <c r="M1100" s="236"/>
    </row>
    <row r="1101" spans="1:13" x14ac:dyDescent="0.2">
      <c r="A1101" s="237"/>
      <c r="B1101" s="302"/>
      <c r="C1101" s="302"/>
      <c r="D1101" s="302"/>
      <c r="E1101" s="303"/>
      <c r="F1101" s="302"/>
      <c r="G1101" s="302"/>
      <c r="H1101" s="302"/>
      <c r="I1101" s="303"/>
      <c r="J1101" s="302"/>
      <c r="K1101" s="302"/>
      <c r="L1101" s="302"/>
      <c r="M1101" s="236"/>
    </row>
    <row r="1102" spans="1:13" x14ac:dyDescent="0.2">
      <c r="A1102" s="237"/>
      <c r="B1102" s="302"/>
      <c r="C1102" s="302"/>
      <c r="D1102" s="302"/>
      <c r="E1102" s="303"/>
      <c r="F1102" s="302"/>
      <c r="G1102" s="302"/>
      <c r="H1102" s="302"/>
      <c r="I1102" s="303"/>
      <c r="J1102" s="302"/>
      <c r="K1102" s="302"/>
      <c r="L1102" s="302"/>
      <c r="M1102" s="236"/>
    </row>
    <row r="1103" spans="1:13" x14ac:dyDescent="0.2">
      <c r="A1103" s="237"/>
      <c r="B1103" s="302"/>
      <c r="C1103" s="302"/>
      <c r="D1103" s="302"/>
      <c r="E1103" s="303"/>
      <c r="F1103" s="302"/>
      <c r="G1103" s="302"/>
      <c r="H1103" s="302"/>
      <c r="I1103" s="303"/>
      <c r="J1103" s="302"/>
      <c r="K1103" s="302"/>
      <c r="L1103" s="302"/>
      <c r="M1103" s="236"/>
    </row>
    <row r="1104" spans="1:13" x14ac:dyDescent="0.2">
      <c r="A1104" s="237"/>
      <c r="B1104" s="302"/>
      <c r="C1104" s="302"/>
      <c r="D1104" s="302"/>
      <c r="E1104" s="303"/>
      <c r="F1104" s="302"/>
      <c r="G1104" s="302"/>
      <c r="H1104" s="302"/>
      <c r="I1104" s="303"/>
      <c r="J1104" s="302"/>
      <c r="K1104" s="302"/>
      <c r="L1104" s="302"/>
      <c r="M1104" s="236"/>
    </row>
    <row r="1105" spans="1:13" x14ac:dyDescent="0.2">
      <c r="A1105" s="237"/>
      <c r="B1105" s="302"/>
      <c r="C1105" s="302"/>
      <c r="D1105" s="302"/>
      <c r="E1105" s="303"/>
      <c r="F1105" s="302"/>
      <c r="G1105" s="302"/>
      <c r="H1105" s="302"/>
      <c r="I1105" s="303"/>
      <c r="J1105" s="302"/>
      <c r="K1105" s="302"/>
      <c r="L1105" s="302"/>
      <c r="M1105" s="236"/>
    </row>
    <row r="1106" spans="1:13" x14ac:dyDescent="0.2">
      <c r="A1106" s="237"/>
      <c r="B1106" s="302"/>
      <c r="C1106" s="302"/>
      <c r="D1106" s="302"/>
      <c r="E1106" s="303"/>
      <c r="F1106" s="302"/>
      <c r="G1106" s="302"/>
      <c r="H1106" s="302"/>
      <c r="I1106" s="303"/>
      <c r="J1106" s="302"/>
      <c r="K1106" s="302"/>
      <c r="L1106" s="302"/>
      <c r="M1106" s="236"/>
    </row>
    <row r="1107" spans="1:13" x14ac:dyDescent="0.2">
      <c r="A1107" s="237"/>
      <c r="B1107" s="303"/>
      <c r="C1107" s="303"/>
      <c r="D1107" s="303"/>
      <c r="E1107" s="303"/>
      <c r="F1107" s="303"/>
      <c r="G1107" s="303"/>
      <c r="H1107" s="303"/>
      <c r="I1107" s="303"/>
      <c r="J1107" s="303"/>
      <c r="K1107" s="303"/>
      <c r="L1107" s="303"/>
      <c r="M1107" s="236"/>
    </row>
    <row r="1108" spans="1:13" x14ac:dyDescent="0.2">
      <c r="A1108" s="237"/>
      <c r="B1108" s="237"/>
      <c r="C1108" s="237"/>
      <c r="D1108" s="237"/>
      <c r="E1108" s="237"/>
      <c r="F1108" s="237"/>
      <c r="G1108" s="237"/>
      <c r="H1108" s="237"/>
      <c r="I1108" s="237"/>
      <c r="J1108" s="237"/>
      <c r="K1108" s="237"/>
      <c r="L1108" s="240"/>
      <c r="M1108" s="236"/>
    </row>
    <row r="1109" spans="1:13" x14ac:dyDescent="0.2">
      <c r="A1109" s="237"/>
      <c r="B1109" s="237"/>
      <c r="C1109" s="237"/>
      <c r="D1109" s="237"/>
      <c r="E1109" s="237"/>
      <c r="F1109" s="237"/>
      <c r="G1109" s="237"/>
      <c r="H1109" s="237"/>
      <c r="I1109" s="237"/>
      <c r="J1109" s="237"/>
      <c r="K1109" s="237"/>
      <c r="L1109" s="284"/>
      <c r="M1109" s="236"/>
    </row>
    <row r="1110" spans="1:13" x14ac:dyDescent="0.2">
      <c r="A1110" s="258"/>
      <c r="B1110" s="241"/>
      <c r="C1110" s="241"/>
      <c r="D1110" s="241"/>
      <c r="E1110" s="241"/>
      <c r="F1110" s="241"/>
      <c r="G1110" s="241"/>
      <c r="H1110" s="241"/>
      <c r="I1110" s="241"/>
      <c r="J1110" s="241"/>
      <c r="K1110" s="241"/>
      <c r="L1110" s="236"/>
      <c r="M1110" s="236"/>
    </row>
    <row r="1111" spans="1:13" x14ac:dyDescent="0.2">
      <c r="A1111" s="241"/>
      <c r="B1111" s="375"/>
      <c r="C1111" s="375"/>
      <c r="D1111" s="375"/>
      <c r="E1111" s="253"/>
      <c r="F1111" s="375"/>
      <c r="G1111" s="375"/>
      <c r="H1111" s="375"/>
      <c r="I1111" s="253"/>
      <c r="J1111" s="375"/>
      <c r="K1111" s="375"/>
      <c r="L1111" s="375"/>
      <c r="M1111" s="236"/>
    </row>
    <row r="1112" spans="1:13" x14ac:dyDescent="0.2">
      <c r="A1112" s="258"/>
      <c r="B1112" s="259"/>
      <c r="C1112" s="259"/>
      <c r="D1112" s="259"/>
      <c r="E1112" s="259"/>
      <c r="F1112" s="259"/>
      <c r="G1112" s="259"/>
      <c r="H1112" s="259"/>
      <c r="I1112" s="259"/>
      <c r="J1112" s="259"/>
      <c r="K1112" s="259"/>
      <c r="L1112" s="259"/>
      <c r="M1112" s="236"/>
    </row>
    <row r="1113" spans="1:13" x14ac:dyDescent="0.2">
      <c r="A1113" s="258"/>
      <c r="B1113" s="259"/>
      <c r="C1113" s="259"/>
      <c r="D1113" s="259"/>
      <c r="E1113" s="259"/>
      <c r="F1113" s="259"/>
      <c r="G1113" s="259"/>
      <c r="H1113" s="259"/>
      <c r="I1113" s="259"/>
      <c r="J1113" s="259"/>
      <c r="K1113" s="259"/>
      <c r="L1113" s="259"/>
      <c r="M1113" s="236"/>
    </row>
    <row r="1114" spans="1:13" x14ac:dyDescent="0.2">
      <c r="A1114" s="237"/>
      <c r="B1114" s="302"/>
      <c r="C1114" s="302"/>
      <c r="D1114" s="302"/>
      <c r="E1114" s="303"/>
      <c r="F1114" s="302"/>
      <c r="G1114" s="302"/>
      <c r="H1114" s="302"/>
      <c r="I1114" s="303"/>
      <c r="J1114" s="302"/>
      <c r="K1114" s="302"/>
      <c r="L1114" s="302"/>
      <c r="M1114" s="236"/>
    </row>
    <row r="1115" spans="1:13" x14ac:dyDescent="0.2">
      <c r="A1115" s="237"/>
      <c r="B1115" s="302"/>
      <c r="C1115" s="302"/>
      <c r="D1115" s="302"/>
      <c r="E1115" s="303"/>
      <c r="F1115" s="302"/>
      <c r="G1115" s="302"/>
      <c r="H1115" s="302"/>
      <c r="I1115" s="303"/>
      <c r="J1115" s="302"/>
      <c r="K1115" s="302"/>
      <c r="L1115" s="302"/>
      <c r="M1115" s="236"/>
    </row>
    <row r="1116" spans="1:13" x14ac:dyDescent="0.2">
      <c r="A1116" s="237"/>
      <c r="B1116" s="302"/>
      <c r="C1116" s="302"/>
      <c r="D1116" s="302"/>
      <c r="E1116" s="303"/>
      <c r="F1116" s="302"/>
      <c r="G1116" s="302"/>
      <c r="H1116" s="302"/>
      <c r="I1116" s="303"/>
      <c r="J1116" s="302"/>
      <c r="K1116" s="302"/>
      <c r="L1116" s="302"/>
      <c r="M1116" s="236"/>
    </row>
    <row r="1117" spans="1:13" x14ac:dyDescent="0.2">
      <c r="A1117" s="237"/>
      <c r="B1117" s="302"/>
      <c r="C1117" s="302"/>
      <c r="D1117" s="302"/>
      <c r="E1117" s="303"/>
      <c r="F1117" s="302"/>
      <c r="G1117" s="302"/>
      <c r="H1117" s="302"/>
      <c r="I1117" s="303"/>
      <c r="J1117" s="302"/>
      <c r="K1117" s="302"/>
      <c r="L1117" s="302"/>
      <c r="M1117" s="236"/>
    </row>
    <row r="1118" spans="1:13" x14ac:dyDescent="0.2">
      <c r="A1118" s="237"/>
      <c r="B1118" s="302"/>
      <c r="C1118" s="302"/>
      <c r="D1118" s="302"/>
      <c r="E1118" s="303"/>
      <c r="F1118" s="302"/>
      <c r="G1118" s="302"/>
      <c r="H1118" s="302"/>
      <c r="I1118" s="303"/>
      <c r="J1118" s="302"/>
      <c r="K1118" s="302"/>
      <c r="L1118" s="302"/>
      <c r="M1118" s="236"/>
    </row>
    <row r="1119" spans="1:13" x14ac:dyDescent="0.2">
      <c r="A1119" s="237"/>
      <c r="B1119" s="302"/>
      <c r="C1119" s="302"/>
      <c r="D1119" s="302"/>
      <c r="E1119" s="303"/>
      <c r="F1119" s="302"/>
      <c r="G1119" s="302"/>
      <c r="H1119" s="302"/>
      <c r="I1119" s="303"/>
      <c r="J1119" s="302"/>
      <c r="K1119" s="302"/>
      <c r="L1119" s="302"/>
      <c r="M1119" s="236"/>
    </row>
    <row r="1120" spans="1:13" x14ac:dyDescent="0.2">
      <c r="A1120" s="237"/>
      <c r="B1120" s="302"/>
      <c r="C1120" s="302"/>
      <c r="D1120" s="302"/>
      <c r="E1120" s="303"/>
      <c r="F1120" s="302"/>
      <c r="G1120" s="302"/>
      <c r="H1120" s="302"/>
      <c r="I1120" s="303"/>
      <c r="J1120" s="302"/>
      <c r="K1120" s="302"/>
      <c r="L1120" s="302"/>
      <c r="M1120" s="236"/>
    </row>
    <row r="1121" spans="1:13" x14ac:dyDescent="0.2">
      <c r="A1121" s="237"/>
      <c r="B1121" s="302"/>
      <c r="C1121" s="302"/>
      <c r="D1121" s="302"/>
      <c r="E1121" s="303"/>
      <c r="F1121" s="302"/>
      <c r="G1121" s="302"/>
      <c r="H1121" s="302"/>
      <c r="I1121" s="303"/>
      <c r="J1121" s="302"/>
      <c r="K1121" s="302"/>
      <c r="L1121" s="302"/>
      <c r="M1121" s="236"/>
    </row>
    <row r="1122" spans="1:13" x14ac:dyDescent="0.2">
      <c r="A1122" s="237"/>
      <c r="B1122" s="302"/>
      <c r="C1122" s="302"/>
      <c r="D1122" s="302"/>
      <c r="E1122" s="303"/>
      <c r="F1122" s="302"/>
      <c r="G1122" s="302"/>
      <c r="H1122" s="302"/>
      <c r="I1122" s="303"/>
      <c r="J1122" s="302"/>
      <c r="K1122" s="302"/>
      <c r="L1122" s="302"/>
      <c r="M1122" s="236"/>
    </row>
    <row r="1123" spans="1:13" x14ac:dyDescent="0.2">
      <c r="A1123" s="237"/>
      <c r="B1123" s="302"/>
      <c r="C1123" s="302"/>
      <c r="D1123" s="302"/>
      <c r="E1123" s="303"/>
      <c r="F1123" s="302"/>
      <c r="G1123" s="302"/>
      <c r="H1123" s="302"/>
      <c r="I1123" s="303"/>
      <c r="J1123" s="302"/>
      <c r="K1123" s="302"/>
      <c r="L1123" s="302"/>
      <c r="M1123" s="236"/>
    </row>
    <row r="1124" spans="1:13" x14ac:dyDescent="0.2">
      <c r="A1124" s="237"/>
      <c r="B1124" s="303"/>
      <c r="C1124" s="303"/>
      <c r="D1124" s="303"/>
      <c r="E1124" s="303"/>
      <c r="F1124" s="303"/>
      <c r="G1124" s="303"/>
      <c r="H1124" s="303"/>
      <c r="I1124" s="303"/>
      <c r="J1124" s="303"/>
      <c r="K1124" s="303"/>
      <c r="L1124" s="303"/>
      <c r="M1124" s="236"/>
    </row>
    <row r="1125" spans="1:13" x14ac:dyDescent="0.2">
      <c r="A1125" s="237"/>
      <c r="B1125" s="237"/>
      <c r="C1125" s="237"/>
      <c r="D1125" s="237"/>
      <c r="E1125" s="237"/>
      <c r="F1125" s="237"/>
      <c r="G1125" s="237"/>
      <c r="H1125" s="237"/>
      <c r="I1125" s="237"/>
      <c r="J1125" s="237"/>
      <c r="K1125" s="237"/>
      <c r="L1125" s="240"/>
      <c r="M1125" s="236"/>
    </row>
    <row r="1126" spans="1:13" x14ac:dyDescent="0.2">
      <c r="A1126" s="237"/>
      <c r="B1126" s="237"/>
      <c r="C1126" s="237"/>
      <c r="D1126" s="237"/>
      <c r="E1126" s="237"/>
      <c r="F1126" s="237"/>
      <c r="G1126" s="237"/>
      <c r="H1126" s="237"/>
      <c r="I1126" s="237"/>
      <c r="J1126" s="237"/>
      <c r="K1126" s="237"/>
      <c r="L1126" s="284"/>
      <c r="M1126" s="236"/>
    </row>
    <row r="1127" spans="1:13" x14ac:dyDescent="0.2">
      <c r="A1127" s="258"/>
      <c r="B1127" s="241"/>
      <c r="C1127" s="241"/>
      <c r="D1127" s="241"/>
      <c r="E1127" s="241"/>
      <c r="F1127" s="241"/>
      <c r="G1127" s="241"/>
      <c r="H1127" s="241"/>
      <c r="I1127" s="241"/>
      <c r="J1127" s="241"/>
      <c r="K1127" s="241"/>
      <c r="L1127" s="236"/>
      <c r="M1127" s="236"/>
    </row>
    <row r="1128" spans="1:13" x14ac:dyDescent="0.2">
      <c r="A1128" s="241"/>
      <c r="B1128" s="375"/>
      <c r="C1128" s="375"/>
      <c r="D1128" s="375"/>
      <c r="E1128" s="253"/>
      <c r="F1128" s="375"/>
      <c r="G1128" s="375"/>
      <c r="H1128" s="375"/>
      <c r="I1128" s="253"/>
      <c r="J1128" s="375"/>
      <c r="K1128" s="375"/>
      <c r="L1128" s="375"/>
      <c r="M1128" s="236"/>
    </row>
    <row r="1129" spans="1:13" x14ac:dyDescent="0.2">
      <c r="A1129" s="258"/>
      <c r="B1129" s="259"/>
      <c r="C1129" s="259"/>
      <c r="D1129" s="259"/>
      <c r="E1129" s="259"/>
      <c r="F1129" s="259"/>
      <c r="G1129" s="259"/>
      <c r="H1129" s="259"/>
      <c r="I1129" s="259"/>
      <c r="J1129" s="259"/>
      <c r="K1129" s="259"/>
      <c r="L1129" s="259"/>
      <c r="M1129" s="236"/>
    </row>
    <row r="1130" spans="1:13" x14ac:dyDescent="0.2">
      <c r="A1130" s="258"/>
      <c r="B1130" s="259"/>
      <c r="C1130" s="259"/>
      <c r="D1130" s="259"/>
      <c r="E1130" s="259"/>
      <c r="F1130" s="259"/>
      <c r="G1130" s="259"/>
      <c r="H1130" s="259"/>
      <c r="I1130" s="259"/>
      <c r="J1130" s="259"/>
      <c r="K1130" s="259"/>
      <c r="L1130" s="259"/>
      <c r="M1130" s="236"/>
    </row>
    <row r="1131" spans="1:13" x14ac:dyDescent="0.2">
      <c r="A1131" s="237"/>
      <c r="B1131" s="302"/>
      <c r="C1131" s="302"/>
      <c r="D1131" s="302"/>
      <c r="E1131" s="303"/>
      <c r="F1131" s="302"/>
      <c r="G1131" s="302"/>
      <c r="H1131" s="302"/>
      <c r="I1131" s="303"/>
      <c r="J1131" s="302"/>
      <c r="K1131" s="302"/>
      <c r="L1131" s="302"/>
      <c r="M1131" s="236"/>
    </row>
    <row r="1132" spans="1:13" x14ac:dyDescent="0.2">
      <c r="A1132" s="237"/>
      <c r="B1132" s="302"/>
      <c r="C1132" s="302"/>
      <c r="D1132" s="302"/>
      <c r="E1132" s="303"/>
      <c r="F1132" s="302"/>
      <c r="G1132" s="302"/>
      <c r="H1132" s="302"/>
      <c r="I1132" s="303"/>
      <c r="J1132" s="302"/>
      <c r="K1132" s="302"/>
      <c r="L1132" s="302"/>
      <c r="M1132" s="236"/>
    </row>
    <row r="1133" spans="1:13" x14ac:dyDescent="0.2">
      <c r="A1133" s="237"/>
      <c r="B1133" s="302"/>
      <c r="C1133" s="302"/>
      <c r="D1133" s="302"/>
      <c r="E1133" s="303"/>
      <c r="F1133" s="302"/>
      <c r="G1133" s="302"/>
      <c r="H1133" s="302"/>
      <c r="I1133" s="303"/>
      <c r="J1133" s="302"/>
      <c r="K1133" s="302"/>
      <c r="L1133" s="302"/>
      <c r="M1133" s="236"/>
    </row>
    <row r="1134" spans="1:13" x14ac:dyDescent="0.2">
      <c r="A1134" s="237"/>
      <c r="B1134" s="302"/>
      <c r="C1134" s="302"/>
      <c r="D1134" s="302"/>
      <c r="E1134" s="303"/>
      <c r="F1134" s="302"/>
      <c r="G1134" s="302"/>
      <c r="H1134" s="302"/>
      <c r="I1134" s="303"/>
      <c r="J1134" s="302"/>
      <c r="K1134" s="302"/>
      <c r="L1134" s="302"/>
      <c r="M1134" s="236"/>
    </row>
    <row r="1135" spans="1:13" x14ac:dyDescent="0.2">
      <c r="A1135" s="237"/>
      <c r="B1135" s="302"/>
      <c r="C1135" s="302"/>
      <c r="D1135" s="302"/>
      <c r="E1135" s="303"/>
      <c r="F1135" s="302"/>
      <c r="G1135" s="302"/>
      <c r="H1135" s="302"/>
      <c r="I1135" s="303"/>
      <c r="J1135" s="302"/>
      <c r="K1135" s="302"/>
      <c r="L1135" s="302"/>
      <c r="M1135" s="236"/>
    </row>
    <row r="1136" spans="1:13" x14ac:dyDescent="0.2">
      <c r="A1136" s="237"/>
      <c r="B1136" s="302"/>
      <c r="C1136" s="302"/>
      <c r="D1136" s="302"/>
      <c r="E1136" s="303"/>
      <c r="F1136" s="302"/>
      <c r="G1136" s="302"/>
      <c r="H1136" s="302"/>
      <c r="I1136" s="303"/>
      <c r="J1136" s="302"/>
      <c r="K1136" s="302"/>
      <c r="L1136" s="302"/>
      <c r="M1136" s="236"/>
    </row>
    <row r="1137" spans="1:13" x14ac:dyDescent="0.2">
      <c r="A1137" s="237"/>
      <c r="B1137" s="302"/>
      <c r="C1137" s="302"/>
      <c r="D1137" s="302"/>
      <c r="E1137" s="303"/>
      <c r="F1137" s="302"/>
      <c r="G1137" s="302"/>
      <c r="H1137" s="302"/>
      <c r="I1137" s="303"/>
      <c r="J1137" s="302"/>
      <c r="K1137" s="302"/>
      <c r="L1137" s="302"/>
      <c r="M1137" s="236"/>
    </row>
    <row r="1138" spans="1:13" x14ac:dyDescent="0.2">
      <c r="A1138" s="237"/>
      <c r="B1138" s="302"/>
      <c r="C1138" s="302"/>
      <c r="D1138" s="302"/>
      <c r="E1138" s="303"/>
      <c r="F1138" s="302"/>
      <c r="G1138" s="302"/>
      <c r="H1138" s="302"/>
      <c r="I1138" s="303"/>
      <c r="J1138" s="302"/>
      <c r="K1138" s="302"/>
      <c r="L1138" s="302"/>
      <c r="M1138" s="236"/>
    </row>
    <row r="1139" spans="1:13" x14ac:dyDescent="0.2">
      <c r="A1139" s="237"/>
      <c r="B1139" s="302"/>
      <c r="C1139" s="302"/>
      <c r="D1139" s="302"/>
      <c r="E1139" s="303"/>
      <c r="F1139" s="302"/>
      <c r="G1139" s="302"/>
      <c r="H1139" s="302"/>
      <c r="I1139" s="303"/>
      <c r="J1139" s="302"/>
      <c r="K1139" s="302"/>
      <c r="L1139" s="302"/>
      <c r="M1139" s="236"/>
    </row>
    <row r="1140" spans="1:13" x14ac:dyDescent="0.2">
      <c r="A1140" s="237"/>
      <c r="B1140" s="302"/>
      <c r="C1140" s="302"/>
      <c r="D1140" s="302"/>
      <c r="E1140" s="303"/>
      <c r="F1140" s="302"/>
      <c r="G1140" s="302"/>
      <c r="H1140" s="302"/>
      <c r="I1140" s="303"/>
      <c r="J1140" s="302"/>
      <c r="K1140" s="302"/>
      <c r="L1140" s="302"/>
      <c r="M1140" s="236"/>
    </row>
    <row r="1141" spans="1:13" x14ac:dyDescent="0.2">
      <c r="A1141" s="237"/>
      <c r="B1141" s="303"/>
      <c r="C1141" s="303"/>
      <c r="D1141" s="303"/>
      <c r="E1141" s="303"/>
      <c r="F1141" s="303"/>
      <c r="G1141" s="303"/>
      <c r="H1141" s="303"/>
      <c r="I1141" s="303"/>
      <c r="J1141" s="303"/>
      <c r="K1141" s="303"/>
      <c r="L1141" s="303"/>
      <c r="M1141" s="236"/>
    </row>
    <row r="1142" spans="1:13" x14ac:dyDescent="0.2">
      <c r="A1142" s="237"/>
      <c r="B1142" s="237"/>
      <c r="C1142" s="237"/>
      <c r="D1142" s="237"/>
      <c r="E1142" s="237"/>
      <c r="F1142" s="237"/>
      <c r="G1142" s="237"/>
      <c r="H1142" s="237"/>
      <c r="I1142" s="237"/>
      <c r="J1142" s="237"/>
      <c r="K1142" s="237"/>
      <c r="L1142" s="240"/>
      <c r="M1142" s="236"/>
    </row>
    <row r="1143" spans="1:13" x14ac:dyDescent="0.2">
      <c r="A1143" s="237"/>
      <c r="B1143" s="237"/>
      <c r="C1143" s="237"/>
      <c r="D1143" s="237"/>
      <c r="E1143" s="237"/>
      <c r="F1143" s="237"/>
      <c r="G1143" s="237"/>
      <c r="H1143" s="237"/>
      <c r="I1143" s="237"/>
      <c r="J1143" s="237"/>
      <c r="K1143" s="237"/>
      <c r="L1143" s="284"/>
      <c r="M1143" s="236"/>
    </row>
    <row r="1144" spans="1:13" x14ac:dyDescent="0.2">
      <c r="A1144" s="258"/>
      <c r="B1144" s="241"/>
      <c r="C1144" s="241"/>
      <c r="D1144" s="241"/>
      <c r="E1144" s="241"/>
      <c r="F1144" s="241"/>
      <c r="G1144" s="241"/>
      <c r="H1144" s="241"/>
      <c r="I1144" s="241"/>
      <c r="J1144" s="241"/>
      <c r="K1144" s="241"/>
      <c r="L1144" s="236"/>
      <c r="M1144" s="236"/>
    </row>
    <row r="1145" spans="1:13" x14ac:dyDescent="0.2">
      <c r="A1145" s="241"/>
      <c r="B1145" s="375"/>
      <c r="C1145" s="375"/>
      <c r="D1145" s="375"/>
      <c r="E1145" s="253"/>
      <c r="F1145" s="375"/>
      <c r="G1145" s="375"/>
      <c r="H1145" s="375"/>
      <c r="I1145" s="253"/>
      <c r="J1145" s="375"/>
      <c r="K1145" s="375"/>
      <c r="L1145" s="375"/>
      <c r="M1145" s="236"/>
    </row>
    <row r="1146" spans="1:13" x14ac:dyDescent="0.2">
      <c r="A1146" s="258"/>
      <c r="B1146" s="259"/>
      <c r="C1146" s="259"/>
      <c r="D1146" s="259"/>
      <c r="E1146" s="259"/>
      <c r="F1146" s="259"/>
      <c r="G1146" s="259"/>
      <c r="H1146" s="259"/>
      <c r="I1146" s="259"/>
      <c r="J1146" s="259"/>
      <c r="K1146" s="259"/>
      <c r="L1146" s="259"/>
      <c r="M1146" s="236"/>
    </row>
    <row r="1147" spans="1:13" x14ac:dyDescent="0.2">
      <c r="A1147" s="258"/>
      <c r="B1147" s="259"/>
      <c r="C1147" s="259"/>
      <c r="D1147" s="259"/>
      <c r="E1147" s="259"/>
      <c r="F1147" s="259"/>
      <c r="G1147" s="259"/>
      <c r="H1147" s="259"/>
      <c r="I1147" s="259"/>
      <c r="J1147" s="259"/>
      <c r="K1147" s="259"/>
      <c r="L1147" s="259"/>
      <c r="M1147" s="236"/>
    </row>
    <row r="1148" spans="1:13" x14ac:dyDescent="0.2">
      <c r="A1148" s="237"/>
      <c r="B1148" s="302"/>
      <c r="C1148" s="302"/>
      <c r="D1148" s="302"/>
      <c r="E1148" s="303"/>
      <c r="F1148" s="302"/>
      <c r="G1148" s="302"/>
      <c r="H1148" s="302"/>
      <c r="I1148" s="303"/>
      <c r="J1148" s="302"/>
      <c r="K1148" s="302"/>
      <c r="L1148" s="302"/>
      <c r="M1148" s="236"/>
    </row>
    <row r="1149" spans="1:13" x14ac:dyDescent="0.2">
      <c r="A1149" s="237"/>
      <c r="B1149" s="302"/>
      <c r="C1149" s="302"/>
      <c r="D1149" s="302"/>
      <c r="E1149" s="303"/>
      <c r="F1149" s="302"/>
      <c r="G1149" s="302"/>
      <c r="H1149" s="302"/>
      <c r="I1149" s="303"/>
      <c r="J1149" s="302"/>
      <c r="K1149" s="302"/>
      <c r="L1149" s="302"/>
      <c r="M1149" s="236"/>
    </row>
    <row r="1150" spans="1:13" x14ac:dyDescent="0.2">
      <c r="A1150" s="237"/>
      <c r="B1150" s="302"/>
      <c r="C1150" s="302"/>
      <c r="D1150" s="302"/>
      <c r="E1150" s="303"/>
      <c r="F1150" s="302"/>
      <c r="G1150" s="302"/>
      <c r="H1150" s="302"/>
      <c r="I1150" s="303"/>
      <c r="J1150" s="302"/>
      <c r="K1150" s="302"/>
      <c r="L1150" s="302"/>
      <c r="M1150" s="236"/>
    </row>
    <row r="1151" spans="1:13" x14ac:dyDescent="0.2">
      <c r="A1151" s="237"/>
      <c r="B1151" s="302"/>
      <c r="C1151" s="302"/>
      <c r="D1151" s="302"/>
      <c r="E1151" s="303"/>
      <c r="F1151" s="302"/>
      <c r="G1151" s="302"/>
      <c r="H1151" s="302"/>
      <c r="I1151" s="303"/>
      <c r="J1151" s="302"/>
      <c r="K1151" s="302"/>
      <c r="L1151" s="302"/>
      <c r="M1151" s="236"/>
    </row>
    <row r="1152" spans="1:13" x14ac:dyDescent="0.2">
      <c r="A1152" s="237"/>
      <c r="B1152" s="302"/>
      <c r="C1152" s="302"/>
      <c r="D1152" s="302"/>
      <c r="E1152" s="303"/>
      <c r="F1152" s="302"/>
      <c r="G1152" s="302"/>
      <c r="H1152" s="302"/>
      <c r="I1152" s="303"/>
      <c r="J1152" s="302"/>
      <c r="K1152" s="302"/>
      <c r="L1152" s="302"/>
      <c r="M1152" s="236"/>
    </row>
    <row r="1153" spans="1:13" x14ac:dyDescent="0.2">
      <c r="A1153" s="237"/>
      <c r="B1153" s="302"/>
      <c r="C1153" s="302"/>
      <c r="D1153" s="302"/>
      <c r="E1153" s="303"/>
      <c r="F1153" s="302"/>
      <c r="G1153" s="302"/>
      <c r="H1153" s="302"/>
      <c r="I1153" s="303"/>
      <c r="J1153" s="302"/>
      <c r="K1153" s="302"/>
      <c r="L1153" s="302"/>
      <c r="M1153" s="236"/>
    </row>
    <row r="1154" spans="1:13" x14ac:dyDescent="0.2">
      <c r="A1154" s="237"/>
      <c r="B1154" s="302"/>
      <c r="C1154" s="302"/>
      <c r="D1154" s="302"/>
      <c r="E1154" s="303"/>
      <c r="F1154" s="302"/>
      <c r="G1154" s="302"/>
      <c r="H1154" s="302"/>
      <c r="I1154" s="303"/>
      <c r="J1154" s="302"/>
      <c r="K1154" s="302"/>
      <c r="L1154" s="302"/>
      <c r="M1154" s="236"/>
    </row>
    <row r="1155" spans="1:13" x14ac:dyDescent="0.2">
      <c r="A1155" s="237"/>
      <c r="B1155" s="302"/>
      <c r="C1155" s="302"/>
      <c r="D1155" s="302"/>
      <c r="E1155" s="303"/>
      <c r="F1155" s="302"/>
      <c r="G1155" s="302"/>
      <c r="H1155" s="302"/>
      <c r="I1155" s="303"/>
      <c r="J1155" s="302"/>
      <c r="K1155" s="302"/>
      <c r="L1155" s="302"/>
      <c r="M1155" s="236"/>
    </row>
    <row r="1156" spans="1:13" x14ac:dyDescent="0.2">
      <c r="A1156" s="237"/>
      <c r="B1156" s="302"/>
      <c r="C1156" s="302"/>
      <c r="D1156" s="302"/>
      <c r="E1156" s="303"/>
      <c r="F1156" s="302"/>
      <c r="G1156" s="302"/>
      <c r="H1156" s="302"/>
      <c r="I1156" s="303"/>
      <c r="J1156" s="302"/>
      <c r="K1156" s="302"/>
      <c r="L1156" s="302"/>
      <c r="M1156" s="236"/>
    </row>
    <row r="1157" spans="1:13" x14ac:dyDescent="0.2">
      <c r="A1157" s="237"/>
      <c r="B1157" s="302"/>
      <c r="C1157" s="302"/>
      <c r="D1157" s="302"/>
      <c r="E1157" s="303"/>
      <c r="F1157" s="302"/>
      <c r="G1157" s="302"/>
      <c r="H1157" s="302"/>
      <c r="I1157" s="303"/>
      <c r="J1157" s="302"/>
      <c r="K1157" s="302"/>
      <c r="L1157" s="302"/>
      <c r="M1157" s="236"/>
    </row>
    <row r="1158" spans="1:13" x14ac:dyDescent="0.2">
      <c r="A1158" s="237"/>
      <c r="B1158" s="303"/>
      <c r="C1158" s="303"/>
      <c r="D1158" s="303"/>
      <c r="E1158" s="303"/>
      <c r="F1158" s="303"/>
      <c r="G1158" s="303"/>
      <c r="H1158" s="303"/>
      <c r="I1158" s="303"/>
      <c r="J1158" s="303"/>
      <c r="K1158" s="303"/>
      <c r="L1158" s="303"/>
      <c r="M1158" s="236"/>
    </row>
    <row r="1159" spans="1:13" x14ac:dyDescent="0.2">
      <c r="A1159" s="237"/>
      <c r="B1159" s="237"/>
      <c r="C1159" s="237"/>
      <c r="D1159" s="237"/>
      <c r="E1159" s="237"/>
      <c r="F1159" s="237"/>
      <c r="G1159" s="237"/>
      <c r="H1159" s="237"/>
      <c r="I1159" s="237"/>
      <c r="J1159" s="237"/>
      <c r="K1159" s="237"/>
      <c r="L1159" s="240"/>
      <c r="M1159" s="236"/>
    </row>
    <row r="1160" spans="1:13" x14ac:dyDescent="0.2">
      <c r="A1160" s="237"/>
      <c r="B1160" s="237"/>
      <c r="C1160" s="237"/>
      <c r="D1160" s="237"/>
      <c r="E1160" s="237"/>
      <c r="F1160" s="237"/>
      <c r="G1160" s="237"/>
      <c r="H1160" s="237"/>
      <c r="I1160" s="237"/>
      <c r="J1160" s="237"/>
      <c r="K1160" s="237"/>
      <c r="L1160" s="284"/>
      <c r="M1160" s="236"/>
    </row>
    <row r="1161" spans="1:13" x14ac:dyDescent="0.2">
      <c r="A1161" s="258"/>
      <c r="B1161" s="241"/>
      <c r="C1161" s="241"/>
      <c r="D1161" s="241"/>
      <c r="E1161" s="241"/>
      <c r="F1161" s="241"/>
      <c r="G1161" s="241"/>
      <c r="H1161" s="241"/>
      <c r="I1161" s="241"/>
      <c r="J1161" s="241"/>
      <c r="K1161" s="241"/>
      <c r="L1161" s="236"/>
      <c r="M1161" s="236"/>
    </row>
    <row r="1162" spans="1:13" x14ac:dyDescent="0.2">
      <c r="A1162" s="241"/>
      <c r="B1162" s="375"/>
      <c r="C1162" s="375"/>
      <c r="D1162" s="375"/>
      <c r="E1162" s="253"/>
      <c r="F1162" s="375"/>
      <c r="G1162" s="375"/>
      <c r="H1162" s="375"/>
      <c r="I1162" s="253"/>
      <c r="J1162" s="375"/>
      <c r="K1162" s="375"/>
      <c r="L1162" s="375"/>
      <c r="M1162" s="236"/>
    </row>
    <row r="1163" spans="1:13" x14ac:dyDescent="0.2">
      <c r="A1163" s="258"/>
      <c r="B1163" s="259"/>
      <c r="C1163" s="259"/>
      <c r="D1163" s="259"/>
      <c r="E1163" s="259"/>
      <c r="F1163" s="259"/>
      <c r="G1163" s="259"/>
      <c r="H1163" s="259"/>
      <c r="I1163" s="259"/>
      <c r="J1163" s="259"/>
      <c r="K1163" s="259"/>
      <c r="L1163" s="259"/>
      <c r="M1163" s="236"/>
    </row>
    <row r="1164" spans="1:13" x14ac:dyDescent="0.2">
      <c r="A1164" s="258"/>
      <c r="B1164" s="259"/>
      <c r="C1164" s="259"/>
      <c r="D1164" s="259"/>
      <c r="E1164" s="259"/>
      <c r="F1164" s="259"/>
      <c r="G1164" s="259"/>
      <c r="H1164" s="259"/>
      <c r="I1164" s="259"/>
      <c r="J1164" s="259"/>
      <c r="K1164" s="259"/>
      <c r="L1164" s="259"/>
      <c r="M1164" s="236"/>
    </row>
    <row r="1165" spans="1:13" x14ac:dyDescent="0.2">
      <c r="A1165" s="237"/>
      <c r="B1165" s="302"/>
      <c r="C1165" s="302"/>
      <c r="D1165" s="302"/>
      <c r="E1165" s="303"/>
      <c r="F1165" s="302"/>
      <c r="G1165" s="302"/>
      <c r="H1165" s="302"/>
      <c r="I1165" s="303"/>
      <c r="J1165" s="302"/>
      <c r="K1165" s="302"/>
      <c r="L1165" s="302"/>
      <c r="M1165" s="236"/>
    </row>
    <row r="1166" spans="1:13" x14ac:dyDescent="0.2">
      <c r="A1166" s="237"/>
      <c r="B1166" s="302"/>
      <c r="C1166" s="302"/>
      <c r="D1166" s="302"/>
      <c r="E1166" s="303"/>
      <c r="F1166" s="302"/>
      <c r="G1166" s="302"/>
      <c r="H1166" s="302"/>
      <c r="I1166" s="303"/>
      <c r="J1166" s="302"/>
      <c r="K1166" s="302"/>
      <c r="L1166" s="302"/>
      <c r="M1166" s="236"/>
    </row>
    <row r="1167" spans="1:13" x14ac:dyDescent="0.2">
      <c r="A1167" s="237"/>
      <c r="B1167" s="302"/>
      <c r="C1167" s="302"/>
      <c r="D1167" s="302"/>
      <c r="E1167" s="303"/>
      <c r="F1167" s="302"/>
      <c r="G1167" s="302"/>
      <c r="H1167" s="302"/>
      <c r="I1167" s="303"/>
      <c r="J1167" s="302"/>
      <c r="K1167" s="302"/>
      <c r="L1167" s="302"/>
      <c r="M1167" s="236"/>
    </row>
    <row r="1168" spans="1:13" x14ac:dyDescent="0.2">
      <c r="A1168" s="237"/>
      <c r="B1168" s="302"/>
      <c r="C1168" s="302"/>
      <c r="D1168" s="302"/>
      <c r="E1168" s="303"/>
      <c r="F1168" s="302"/>
      <c r="G1168" s="302"/>
      <c r="H1168" s="302"/>
      <c r="I1168" s="303"/>
      <c r="J1168" s="302"/>
      <c r="K1168" s="302"/>
      <c r="L1168" s="302"/>
      <c r="M1168" s="236"/>
    </row>
    <row r="1169" spans="1:13" x14ac:dyDescent="0.2">
      <c r="A1169" s="237"/>
      <c r="B1169" s="302"/>
      <c r="C1169" s="302"/>
      <c r="D1169" s="302"/>
      <c r="E1169" s="303"/>
      <c r="F1169" s="302"/>
      <c r="G1169" s="302"/>
      <c r="H1169" s="302"/>
      <c r="I1169" s="303"/>
      <c r="J1169" s="302"/>
      <c r="K1169" s="302"/>
      <c r="L1169" s="302"/>
      <c r="M1169" s="236"/>
    </row>
    <row r="1170" spans="1:13" x14ac:dyDescent="0.2">
      <c r="A1170" s="237"/>
      <c r="B1170" s="302"/>
      <c r="C1170" s="302"/>
      <c r="D1170" s="302"/>
      <c r="E1170" s="303"/>
      <c r="F1170" s="302"/>
      <c r="G1170" s="302"/>
      <c r="H1170" s="302"/>
      <c r="I1170" s="303"/>
      <c r="J1170" s="302"/>
      <c r="K1170" s="302"/>
      <c r="L1170" s="302"/>
      <c r="M1170" s="236"/>
    </row>
    <row r="1171" spans="1:13" x14ac:dyDescent="0.2">
      <c r="A1171" s="237"/>
      <c r="B1171" s="302"/>
      <c r="C1171" s="302"/>
      <c r="D1171" s="302"/>
      <c r="E1171" s="303"/>
      <c r="F1171" s="302"/>
      <c r="G1171" s="302"/>
      <c r="H1171" s="302"/>
      <c r="I1171" s="303"/>
      <c r="J1171" s="302"/>
      <c r="K1171" s="302"/>
      <c r="L1171" s="302"/>
      <c r="M1171" s="236"/>
    </row>
    <row r="1172" spans="1:13" x14ac:dyDescent="0.2">
      <c r="A1172" s="237"/>
      <c r="B1172" s="302"/>
      <c r="C1172" s="302"/>
      <c r="D1172" s="302"/>
      <c r="E1172" s="303"/>
      <c r="F1172" s="302"/>
      <c r="G1172" s="302"/>
      <c r="H1172" s="302"/>
      <c r="I1172" s="303"/>
      <c r="J1172" s="302"/>
      <c r="K1172" s="302"/>
      <c r="L1172" s="302"/>
      <c r="M1172" s="236"/>
    </row>
    <row r="1173" spans="1:13" x14ac:dyDescent="0.2">
      <c r="A1173" s="237"/>
      <c r="B1173" s="302"/>
      <c r="C1173" s="302"/>
      <c r="D1173" s="302"/>
      <c r="E1173" s="303"/>
      <c r="F1173" s="302"/>
      <c r="G1173" s="302"/>
      <c r="H1173" s="302"/>
      <c r="I1173" s="303"/>
      <c r="J1173" s="302"/>
      <c r="K1173" s="302"/>
      <c r="L1173" s="302"/>
      <c r="M1173" s="236"/>
    </row>
    <row r="1174" spans="1:13" x14ac:dyDescent="0.2">
      <c r="A1174" s="237"/>
      <c r="B1174" s="302"/>
      <c r="C1174" s="302"/>
      <c r="D1174" s="302"/>
      <c r="E1174" s="303"/>
      <c r="F1174" s="302"/>
      <c r="G1174" s="302"/>
      <c r="H1174" s="302"/>
      <c r="I1174" s="303"/>
      <c r="J1174" s="302"/>
      <c r="K1174" s="302"/>
      <c r="L1174" s="302"/>
      <c r="M1174" s="236"/>
    </row>
    <row r="1175" spans="1:13" x14ac:dyDescent="0.2">
      <c r="A1175" s="237"/>
      <c r="B1175" s="303"/>
      <c r="C1175" s="303"/>
      <c r="D1175" s="303"/>
      <c r="E1175" s="303"/>
      <c r="F1175" s="303"/>
      <c r="G1175" s="303"/>
      <c r="H1175" s="303"/>
      <c r="I1175" s="303"/>
      <c r="J1175" s="303"/>
      <c r="K1175" s="303"/>
      <c r="L1175" s="303"/>
      <c r="M1175" s="236"/>
    </row>
    <row r="1176" spans="1:13" x14ac:dyDescent="0.2">
      <c r="A1176" s="237"/>
      <c r="B1176" s="237"/>
      <c r="C1176" s="237"/>
      <c r="D1176" s="237"/>
      <c r="E1176" s="237"/>
      <c r="F1176" s="237"/>
      <c r="G1176" s="237"/>
      <c r="H1176" s="237"/>
      <c r="I1176" s="237"/>
      <c r="J1176" s="237"/>
      <c r="K1176" s="237"/>
      <c r="L1176" s="240"/>
      <c r="M1176" s="236"/>
    </row>
    <row r="1177" spans="1:13" x14ac:dyDescent="0.2">
      <c r="A1177" s="237"/>
      <c r="B1177" s="237"/>
      <c r="C1177" s="237"/>
      <c r="D1177" s="237"/>
      <c r="E1177" s="237"/>
      <c r="F1177" s="237"/>
      <c r="G1177" s="237"/>
      <c r="H1177" s="237"/>
      <c r="I1177" s="237"/>
      <c r="J1177" s="237"/>
      <c r="K1177" s="237"/>
      <c r="L1177" s="284"/>
      <c r="M1177" s="236"/>
    </row>
    <row r="1178" spans="1:13" x14ac:dyDescent="0.2">
      <c r="A1178" s="258"/>
      <c r="B1178" s="241"/>
      <c r="C1178" s="241"/>
      <c r="D1178" s="241"/>
      <c r="E1178" s="241"/>
      <c r="F1178" s="241"/>
      <c r="G1178" s="241"/>
      <c r="H1178" s="241"/>
      <c r="I1178" s="241"/>
      <c r="J1178" s="241"/>
      <c r="K1178" s="241"/>
      <c r="L1178" s="236"/>
      <c r="M1178" s="236"/>
    </row>
    <row r="1179" spans="1:13" x14ac:dyDescent="0.2">
      <c r="A1179" s="241"/>
      <c r="B1179" s="375"/>
      <c r="C1179" s="375"/>
      <c r="D1179" s="375"/>
      <c r="E1179" s="253"/>
      <c r="F1179" s="375"/>
      <c r="G1179" s="375"/>
      <c r="H1179" s="375"/>
      <c r="I1179" s="253"/>
      <c r="J1179" s="375"/>
      <c r="K1179" s="375"/>
      <c r="L1179" s="375"/>
      <c r="M1179" s="236"/>
    </row>
    <row r="1180" spans="1:13" x14ac:dyDescent="0.2">
      <c r="A1180" s="258"/>
      <c r="B1180" s="259"/>
      <c r="C1180" s="259"/>
      <c r="D1180" s="259"/>
      <c r="E1180" s="259"/>
      <c r="F1180" s="259"/>
      <c r="G1180" s="259"/>
      <c r="H1180" s="259"/>
      <c r="I1180" s="259"/>
      <c r="J1180" s="259"/>
      <c r="K1180" s="259"/>
      <c r="L1180" s="259"/>
      <c r="M1180" s="236"/>
    </row>
    <row r="1181" spans="1:13" x14ac:dyDescent="0.2">
      <c r="A1181" s="258"/>
      <c r="B1181" s="259"/>
      <c r="C1181" s="259"/>
      <c r="D1181" s="259"/>
      <c r="E1181" s="259"/>
      <c r="F1181" s="259"/>
      <c r="G1181" s="259"/>
      <c r="H1181" s="259"/>
      <c r="I1181" s="259"/>
      <c r="J1181" s="259"/>
      <c r="K1181" s="259"/>
      <c r="L1181" s="259"/>
      <c r="M1181" s="236"/>
    </row>
    <row r="1182" spans="1:13" x14ac:dyDescent="0.2">
      <c r="A1182" s="237"/>
      <c r="B1182" s="302"/>
      <c r="C1182" s="302"/>
      <c r="D1182" s="302"/>
      <c r="E1182" s="303"/>
      <c r="F1182" s="302"/>
      <c r="G1182" s="302"/>
      <c r="H1182" s="302"/>
      <c r="I1182" s="303"/>
      <c r="J1182" s="302"/>
      <c r="K1182" s="302"/>
      <c r="L1182" s="302"/>
      <c r="M1182" s="236"/>
    </row>
    <row r="1183" spans="1:13" x14ac:dyDescent="0.2">
      <c r="A1183" s="237"/>
      <c r="B1183" s="302"/>
      <c r="C1183" s="302"/>
      <c r="D1183" s="302"/>
      <c r="E1183" s="303"/>
      <c r="F1183" s="302"/>
      <c r="G1183" s="302"/>
      <c r="H1183" s="302"/>
      <c r="I1183" s="303"/>
      <c r="J1183" s="302"/>
      <c r="K1183" s="302"/>
      <c r="L1183" s="302"/>
      <c r="M1183" s="236"/>
    </row>
    <row r="1184" spans="1:13" x14ac:dyDescent="0.2">
      <c r="A1184" s="237"/>
      <c r="B1184" s="302"/>
      <c r="C1184" s="302"/>
      <c r="D1184" s="302"/>
      <c r="E1184" s="303"/>
      <c r="F1184" s="302"/>
      <c r="G1184" s="302"/>
      <c r="H1184" s="302"/>
      <c r="I1184" s="303"/>
      <c r="J1184" s="302"/>
      <c r="K1184" s="302"/>
      <c r="L1184" s="302"/>
      <c r="M1184" s="236"/>
    </row>
    <row r="1185" spans="1:13" x14ac:dyDescent="0.2">
      <c r="A1185" s="237"/>
      <c r="B1185" s="302"/>
      <c r="C1185" s="302"/>
      <c r="D1185" s="302"/>
      <c r="E1185" s="303"/>
      <c r="F1185" s="302"/>
      <c r="G1185" s="302"/>
      <c r="H1185" s="302"/>
      <c r="I1185" s="303"/>
      <c r="J1185" s="302"/>
      <c r="K1185" s="302"/>
      <c r="L1185" s="302"/>
      <c r="M1185" s="236"/>
    </row>
    <row r="1186" spans="1:13" x14ac:dyDescent="0.2">
      <c r="A1186" s="237"/>
      <c r="B1186" s="302"/>
      <c r="C1186" s="302"/>
      <c r="D1186" s="302"/>
      <c r="E1186" s="303"/>
      <c r="F1186" s="302"/>
      <c r="G1186" s="302"/>
      <c r="H1186" s="302"/>
      <c r="I1186" s="303"/>
      <c r="J1186" s="302"/>
      <c r="K1186" s="302"/>
      <c r="L1186" s="302"/>
      <c r="M1186" s="236"/>
    </row>
    <row r="1187" spans="1:13" x14ac:dyDescent="0.2">
      <c r="A1187" s="237"/>
      <c r="B1187" s="302"/>
      <c r="C1187" s="302"/>
      <c r="D1187" s="302"/>
      <c r="E1187" s="303"/>
      <c r="F1187" s="302"/>
      <c r="G1187" s="302"/>
      <c r="H1187" s="302"/>
      <c r="I1187" s="303"/>
      <c r="J1187" s="302"/>
      <c r="K1187" s="302"/>
      <c r="L1187" s="302"/>
      <c r="M1187" s="236"/>
    </row>
    <row r="1188" spans="1:13" x14ac:dyDescent="0.2">
      <c r="A1188" s="237"/>
      <c r="B1188" s="302"/>
      <c r="C1188" s="302"/>
      <c r="D1188" s="302"/>
      <c r="E1188" s="303"/>
      <c r="F1188" s="302"/>
      <c r="G1188" s="302"/>
      <c r="H1188" s="302"/>
      <c r="I1188" s="303"/>
      <c r="J1188" s="302"/>
      <c r="K1188" s="302"/>
      <c r="L1188" s="302"/>
      <c r="M1188" s="236"/>
    </row>
    <row r="1189" spans="1:13" x14ac:dyDescent="0.2">
      <c r="A1189" s="237"/>
      <c r="B1189" s="302"/>
      <c r="C1189" s="302"/>
      <c r="D1189" s="302"/>
      <c r="E1189" s="303"/>
      <c r="F1189" s="302"/>
      <c r="G1189" s="302"/>
      <c r="H1189" s="302"/>
      <c r="I1189" s="303"/>
      <c r="J1189" s="302"/>
      <c r="K1189" s="302"/>
      <c r="L1189" s="302"/>
      <c r="M1189" s="236"/>
    </row>
    <row r="1190" spans="1:13" x14ac:dyDescent="0.2">
      <c r="A1190" s="237"/>
      <c r="B1190" s="302"/>
      <c r="C1190" s="302"/>
      <c r="D1190" s="302"/>
      <c r="E1190" s="303"/>
      <c r="F1190" s="302"/>
      <c r="G1190" s="302"/>
      <c r="H1190" s="302"/>
      <c r="I1190" s="303"/>
      <c r="J1190" s="302"/>
      <c r="K1190" s="302"/>
      <c r="L1190" s="302"/>
      <c r="M1190" s="236"/>
    </row>
    <row r="1191" spans="1:13" x14ac:dyDescent="0.2">
      <c r="A1191" s="237"/>
      <c r="B1191" s="302"/>
      <c r="C1191" s="302"/>
      <c r="D1191" s="302"/>
      <c r="E1191" s="303"/>
      <c r="F1191" s="302"/>
      <c r="G1191" s="302"/>
      <c r="H1191" s="302"/>
      <c r="I1191" s="303"/>
      <c r="J1191" s="302"/>
      <c r="K1191" s="302"/>
      <c r="L1191" s="302"/>
      <c r="M1191" s="236"/>
    </row>
    <row r="1192" spans="1:13" x14ac:dyDescent="0.2">
      <c r="A1192" s="237"/>
      <c r="B1192" s="303"/>
      <c r="C1192" s="303"/>
      <c r="D1192" s="303"/>
      <c r="E1192" s="303"/>
      <c r="F1192" s="303"/>
      <c r="G1192" s="303"/>
      <c r="H1192" s="303"/>
      <c r="I1192" s="303"/>
      <c r="J1192" s="303"/>
      <c r="K1192" s="303"/>
      <c r="L1192" s="303"/>
      <c r="M1192" s="236"/>
    </row>
    <row r="1193" spans="1:13" x14ac:dyDescent="0.2">
      <c r="A1193" s="237"/>
      <c r="B1193" s="237"/>
      <c r="C1193" s="237"/>
      <c r="D1193" s="237"/>
      <c r="E1193" s="237"/>
      <c r="F1193" s="237"/>
      <c r="G1193" s="237"/>
      <c r="H1193" s="237"/>
      <c r="I1193" s="237"/>
      <c r="J1193" s="237"/>
      <c r="K1193" s="237"/>
      <c r="L1193" s="240"/>
      <c r="M1193" s="236"/>
    </row>
    <row r="1194" spans="1:13" x14ac:dyDescent="0.2">
      <c r="A1194" s="237"/>
      <c r="B1194" s="237"/>
      <c r="C1194" s="237"/>
      <c r="D1194" s="237"/>
      <c r="E1194" s="237"/>
      <c r="F1194" s="237"/>
      <c r="G1194" s="237"/>
      <c r="H1194" s="237"/>
      <c r="I1194" s="237"/>
      <c r="J1194" s="237"/>
      <c r="K1194" s="237"/>
      <c r="L1194" s="284"/>
      <c r="M1194" s="236"/>
    </row>
    <row r="1195" spans="1:13" x14ac:dyDescent="0.2">
      <c r="A1195" s="258"/>
      <c r="B1195" s="241"/>
      <c r="C1195" s="241"/>
      <c r="D1195" s="241"/>
      <c r="E1195" s="241"/>
      <c r="F1195" s="241"/>
      <c r="G1195" s="241"/>
      <c r="H1195" s="241"/>
      <c r="I1195" s="241"/>
      <c r="J1195" s="241"/>
      <c r="K1195" s="241"/>
      <c r="L1195" s="236"/>
      <c r="M1195" s="236"/>
    </row>
    <row r="1196" spans="1:13" x14ac:dyDescent="0.2">
      <c r="A1196" s="241"/>
      <c r="B1196" s="375"/>
      <c r="C1196" s="375"/>
      <c r="D1196" s="375"/>
      <c r="E1196" s="253"/>
      <c r="F1196" s="375"/>
      <c r="G1196" s="375"/>
      <c r="H1196" s="375"/>
      <c r="I1196" s="253"/>
      <c r="J1196" s="375"/>
      <c r="K1196" s="375"/>
      <c r="L1196" s="375"/>
      <c r="M1196" s="236"/>
    </row>
    <row r="1197" spans="1:13" x14ac:dyDescent="0.2">
      <c r="A1197" s="258"/>
      <c r="B1197" s="259"/>
      <c r="C1197" s="259"/>
      <c r="D1197" s="259"/>
      <c r="E1197" s="259"/>
      <c r="F1197" s="259"/>
      <c r="G1197" s="259"/>
      <c r="H1197" s="259"/>
      <c r="I1197" s="259"/>
      <c r="J1197" s="259"/>
      <c r="K1197" s="259"/>
      <c r="L1197" s="259"/>
      <c r="M1197" s="236"/>
    </row>
    <row r="1198" spans="1:13" x14ac:dyDescent="0.2">
      <c r="A1198" s="258"/>
      <c r="B1198" s="259"/>
      <c r="C1198" s="259"/>
      <c r="D1198" s="259"/>
      <c r="E1198" s="259"/>
      <c r="F1198" s="259"/>
      <c r="G1198" s="259"/>
      <c r="H1198" s="259"/>
      <c r="I1198" s="259"/>
      <c r="J1198" s="259"/>
      <c r="K1198" s="259"/>
      <c r="L1198" s="259"/>
      <c r="M1198" s="236"/>
    </row>
    <row r="1199" spans="1:13" x14ac:dyDescent="0.2">
      <c r="A1199" s="237"/>
      <c r="B1199" s="302"/>
      <c r="C1199" s="302"/>
      <c r="D1199" s="302"/>
      <c r="E1199" s="303"/>
      <c r="F1199" s="302"/>
      <c r="G1199" s="302"/>
      <c r="H1199" s="302"/>
      <c r="I1199" s="303"/>
      <c r="J1199" s="302"/>
      <c r="K1199" s="302"/>
      <c r="L1199" s="302"/>
      <c r="M1199" s="236"/>
    </row>
    <row r="1200" spans="1:13" x14ac:dyDescent="0.2">
      <c r="A1200" s="237"/>
      <c r="B1200" s="302"/>
      <c r="C1200" s="302"/>
      <c r="D1200" s="302"/>
      <c r="E1200" s="303"/>
      <c r="F1200" s="302"/>
      <c r="G1200" s="302"/>
      <c r="H1200" s="302"/>
      <c r="I1200" s="303"/>
      <c r="J1200" s="302"/>
      <c r="K1200" s="302"/>
      <c r="L1200" s="302"/>
      <c r="M1200" s="236"/>
    </row>
    <row r="1201" spans="1:13" x14ac:dyDescent="0.2">
      <c r="A1201" s="237"/>
      <c r="B1201" s="302"/>
      <c r="C1201" s="302"/>
      <c r="D1201" s="302"/>
      <c r="E1201" s="303"/>
      <c r="F1201" s="302"/>
      <c r="G1201" s="302"/>
      <c r="H1201" s="302"/>
      <c r="I1201" s="303"/>
      <c r="J1201" s="302"/>
      <c r="K1201" s="302"/>
      <c r="L1201" s="302"/>
      <c r="M1201" s="236"/>
    </row>
    <row r="1202" spans="1:13" x14ac:dyDescent="0.2">
      <c r="A1202" s="237"/>
      <c r="B1202" s="302"/>
      <c r="C1202" s="302"/>
      <c r="D1202" s="302"/>
      <c r="E1202" s="303"/>
      <c r="F1202" s="302"/>
      <c r="G1202" s="302"/>
      <c r="H1202" s="302"/>
      <c r="I1202" s="303"/>
      <c r="J1202" s="302"/>
      <c r="K1202" s="302"/>
      <c r="L1202" s="302"/>
      <c r="M1202" s="236"/>
    </row>
    <row r="1203" spans="1:13" x14ac:dyDescent="0.2">
      <c r="A1203" s="237"/>
      <c r="B1203" s="302"/>
      <c r="C1203" s="302"/>
      <c r="D1203" s="302"/>
      <c r="E1203" s="303"/>
      <c r="F1203" s="302"/>
      <c r="G1203" s="302"/>
      <c r="H1203" s="302"/>
      <c r="I1203" s="303"/>
      <c r="J1203" s="302"/>
      <c r="K1203" s="302"/>
      <c r="L1203" s="302"/>
      <c r="M1203" s="236"/>
    </row>
    <row r="1204" spans="1:13" x14ac:dyDescent="0.2">
      <c r="A1204" s="237"/>
      <c r="B1204" s="302"/>
      <c r="C1204" s="302"/>
      <c r="D1204" s="302"/>
      <c r="E1204" s="303"/>
      <c r="F1204" s="302"/>
      <c r="G1204" s="302"/>
      <c r="H1204" s="302"/>
      <c r="I1204" s="303"/>
      <c r="J1204" s="302"/>
      <c r="K1204" s="302"/>
      <c r="L1204" s="302"/>
      <c r="M1204" s="236"/>
    </row>
    <row r="1205" spans="1:13" x14ac:dyDescent="0.2">
      <c r="A1205" s="237"/>
      <c r="B1205" s="302"/>
      <c r="C1205" s="302"/>
      <c r="D1205" s="302"/>
      <c r="E1205" s="303"/>
      <c r="F1205" s="302"/>
      <c r="G1205" s="302"/>
      <c r="H1205" s="302"/>
      <c r="I1205" s="303"/>
      <c r="J1205" s="302"/>
      <c r="K1205" s="302"/>
      <c r="L1205" s="302"/>
      <c r="M1205" s="236"/>
    </row>
    <row r="1206" spans="1:13" x14ac:dyDescent="0.2">
      <c r="A1206" s="237"/>
      <c r="B1206" s="302"/>
      <c r="C1206" s="302"/>
      <c r="D1206" s="302"/>
      <c r="E1206" s="303"/>
      <c r="F1206" s="302"/>
      <c r="G1206" s="302"/>
      <c r="H1206" s="302"/>
      <c r="I1206" s="303"/>
      <c r="J1206" s="302"/>
      <c r="K1206" s="302"/>
      <c r="L1206" s="302"/>
      <c r="M1206" s="236"/>
    </row>
    <row r="1207" spans="1:13" x14ac:dyDescent="0.2">
      <c r="A1207" s="237"/>
      <c r="B1207" s="302"/>
      <c r="C1207" s="302"/>
      <c r="D1207" s="302"/>
      <c r="E1207" s="303"/>
      <c r="F1207" s="302"/>
      <c r="G1207" s="302"/>
      <c r="H1207" s="302"/>
      <c r="I1207" s="303"/>
      <c r="J1207" s="302"/>
      <c r="K1207" s="302"/>
      <c r="L1207" s="302"/>
      <c r="M1207" s="236"/>
    </row>
    <row r="1208" spans="1:13" x14ac:dyDescent="0.2">
      <c r="A1208" s="237"/>
      <c r="B1208" s="302"/>
      <c r="C1208" s="302"/>
      <c r="D1208" s="302"/>
      <c r="E1208" s="303"/>
      <c r="F1208" s="302"/>
      <c r="G1208" s="302"/>
      <c r="H1208" s="302"/>
      <c r="I1208" s="303"/>
      <c r="J1208" s="302"/>
      <c r="K1208" s="302"/>
      <c r="L1208" s="302"/>
      <c r="M1208" s="236"/>
    </row>
    <row r="1209" spans="1:13" x14ac:dyDescent="0.2">
      <c r="A1209" s="237"/>
      <c r="B1209" s="303"/>
      <c r="C1209" s="303"/>
      <c r="D1209" s="303"/>
      <c r="E1209" s="303"/>
      <c r="F1209" s="303"/>
      <c r="G1209" s="303"/>
      <c r="H1209" s="303"/>
      <c r="I1209" s="303"/>
      <c r="J1209" s="303"/>
      <c r="K1209" s="303"/>
      <c r="L1209" s="303"/>
      <c r="M1209" s="236"/>
    </row>
    <row r="1210" spans="1:13" x14ac:dyDescent="0.2">
      <c r="A1210" s="237"/>
      <c r="B1210" s="237"/>
      <c r="C1210" s="237"/>
      <c r="D1210" s="237"/>
      <c r="E1210" s="237"/>
      <c r="F1210" s="237"/>
      <c r="G1210" s="237"/>
      <c r="H1210" s="237"/>
      <c r="I1210" s="237"/>
      <c r="J1210" s="237"/>
      <c r="K1210" s="237"/>
      <c r="L1210" s="240"/>
      <c r="M1210" s="236"/>
    </row>
    <row r="1211" spans="1:13" x14ac:dyDescent="0.2">
      <c r="A1211" s="237"/>
      <c r="B1211" s="237"/>
      <c r="C1211" s="237"/>
      <c r="D1211" s="237"/>
      <c r="E1211" s="237"/>
      <c r="F1211" s="237"/>
      <c r="G1211" s="237"/>
      <c r="H1211" s="237"/>
      <c r="I1211" s="237"/>
      <c r="J1211" s="237"/>
      <c r="K1211" s="237"/>
      <c r="L1211" s="284"/>
      <c r="M1211" s="236"/>
    </row>
    <row r="1212" spans="1:13" x14ac:dyDescent="0.2">
      <c r="A1212" s="258"/>
      <c r="B1212" s="241"/>
      <c r="C1212" s="241"/>
      <c r="D1212" s="241"/>
      <c r="E1212" s="241"/>
      <c r="F1212" s="241"/>
      <c r="G1212" s="241"/>
      <c r="H1212" s="241"/>
      <c r="I1212" s="241"/>
      <c r="J1212" s="241"/>
      <c r="K1212" s="241"/>
      <c r="L1212" s="236"/>
      <c r="M1212" s="236"/>
    </row>
    <row r="1213" spans="1:13" x14ac:dyDescent="0.2">
      <c r="A1213" s="241"/>
      <c r="B1213" s="375"/>
      <c r="C1213" s="375"/>
      <c r="D1213" s="375"/>
      <c r="E1213" s="253"/>
      <c r="F1213" s="375"/>
      <c r="G1213" s="375"/>
      <c r="H1213" s="375"/>
      <c r="I1213" s="253"/>
      <c r="J1213" s="375"/>
      <c r="K1213" s="375"/>
      <c r="L1213" s="375"/>
      <c r="M1213" s="236"/>
    </row>
    <row r="1214" spans="1:13" x14ac:dyDescent="0.2">
      <c r="A1214" s="258"/>
      <c r="B1214" s="259"/>
      <c r="C1214" s="259"/>
      <c r="D1214" s="259"/>
      <c r="E1214" s="259"/>
      <c r="F1214" s="259"/>
      <c r="G1214" s="259"/>
      <c r="H1214" s="259"/>
      <c r="I1214" s="259"/>
      <c r="J1214" s="259"/>
      <c r="K1214" s="259"/>
      <c r="L1214" s="259"/>
      <c r="M1214" s="236"/>
    </row>
    <row r="1215" spans="1:13" x14ac:dyDescent="0.2">
      <c r="A1215" s="258"/>
      <c r="B1215" s="259"/>
      <c r="C1215" s="259"/>
      <c r="D1215" s="259"/>
      <c r="E1215" s="259"/>
      <c r="F1215" s="259"/>
      <c r="G1215" s="259"/>
      <c r="H1215" s="259"/>
      <c r="I1215" s="259"/>
      <c r="J1215" s="259"/>
      <c r="K1215" s="259"/>
      <c r="L1215" s="259"/>
      <c r="M1215" s="236"/>
    </row>
    <row r="1216" spans="1:13" x14ac:dyDescent="0.2">
      <c r="A1216" s="237"/>
      <c r="B1216" s="302"/>
      <c r="C1216" s="302"/>
      <c r="D1216" s="302"/>
      <c r="E1216" s="303"/>
      <c r="F1216" s="302"/>
      <c r="G1216" s="302"/>
      <c r="H1216" s="302"/>
      <c r="I1216" s="303"/>
      <c r="J1216" s="302"/>
      <c r="K1216" s="302"/>
      <c r="L1216" s="302"/>
      <c r="M1216" s="236"/>
    </row>
    <row r="1217" spans="1:13" x14ac:dyDescent="0.2">
      <c r="A1217" s="237"/>
      <c r="B1217" s="302"/>
      <c r="C1217" s="302"/>
      <c r="D1217" s="302"/>
      <c r="E1217" s="303"/>
      <c r="F1217" s="302"/>
      <c r="G1217" s="302"/>
      <c r="H1217" s="302"/>
      <c r="I1217" s="303"/>
      <c r="J1217" s="302"/>
      <c r="K1217" s="302"/>
      <c r="L1217" s="302"/>
      <c r="M1217" s="236"/>
    </row>
    <row r="1218" spans="1:13" x14ac:dyDescent="0.2">
      <c r="A1218" s="237"/>
      <c r="B1218" s="302"/>
      <c r="C1218" s="302"/>
      <c r="D1218" s="302"/>
      <c r="E1218" s="303"/>
      <c r="F1218" s="302"/>
      <c r="G1218" s="302"/>
      <c r="H1218" s="302"/>
      <c r="I1218" s="303"/>
      <c r="J1218" s="302"/>
      <c r="K1218" s="302"/>
      <c r="L1218" s="302"/>
      <c r="M1218" s="236"/>
    </row>
    <row r="1219" spans="1:13" x14ac:dyDescent="0.2">
      <c r="A1219" s="237"/>
      <c r="B1219" s="302"/>
      <c r="C1219" s="302"/>
      <c r="D1219" s="302"/>
      <c r="E1219" s="303"/>
      <c r="F1219" s="302"/>
      <c r="G1219" s="302"/>
      <c r="H1219" s="302"/>
      <c r="I1219" s="303"/>
      <c r="J1219" s="302"/>
      <c r="K1219" s="302"/>
      <c r="L1219" s="302"/>
      <c r="M1219" s="236"/>
    </row>
    <row r="1220" spans="1:13" x14ac:dyDescent="0.2">
      <c r="A1220" s="237"/>
      <c r="B1220" s="302"/>
      <c r="C1220" s="302"/>
      <c r="D1220" s="302"/>
      <c r="E1220" s="303"/>
      <c r="F1220" s="302"/>
      <c r="G1220" s="302"/>
      <c r="H1220" s="302"/>
      <c r="I1220" s="303"/>
      <c r="J1220" s="302"/>
      <c r="K1220" s="302"/>
      <c r="L1220" s="302"/>
      <c r="M1220" s="236"/>
    </row>
    <row r="1221" spans="1:13" x14ac:dyDescent="0.2">
      <c r="A1221" s="237"/>
      <c r="B1221" s="302"/>
      <c r="C1221" s="302"/>
      <c r="D1221" s="302"/>
      <c r="E1221" s="303"/>
      <c r="F1221" s="302"/>
      <c r="G1221" s="302"/>
      <c r="H1221" s="302"/>
      <c r="I1221" s="303"/>
      <c r="J1221" s="302"/>
      <c r="K1221" s="302"/>
      <c r="L1221" s="302"/>
      <c r="M1221" s="236"/>
    </row>
    <row r="1222" spans="1:13" x14ac:dyDescent="0.2">
      <c r="A1222" s="237"/>
      <c r="B1222" s="302"/>
      <c r="C1222" s="302"/>
      <c r="D1222" s="302"/>
      <c r="E1222" s="303"/>
      <c r="F1222" s="302"/>
      <c r="G1222" s="302"/>
      <c r="H1222" s="302"/>
      <c r="I1222" s="303"/>
      <c r="J1222" s="302"/>
      <c r="K1222" s="302"/>
      <c r="L1222" s="302"/>
      <c r="M1222" s="236"/>
    </row>
    <row r="1223" spans="1:13" x14ac:dyDescent="0.2">
      <c r="A1223" s="237"/>
      <c r="B1223" s="302"/>
      <c r="C1223" s="302"/>
      <c r="D1223" s="302"/>
      <c r="E1223" s="303"/>
      <c r="F1223" s="302"/>
      <c r="G1223" s="302"/>
      <c r="H1223" s="302"/>
      <c r="I1223" s="303"/>
      <c r="J1223" s="302"/>
      <c r="K1223" s="302"/>
      <c r="L1223" s="302"/>
      <c r="M1223" s="236"/>
    </row>
    <row r="1224" spans="1:13" ht="13.5" customHeight="1" x14ac:dyDescent="0.2">
      <c r="A1224" s="237"/>
      <c r="B1224" s="302"/>
      <c r="C1224" s="302"/>
      <c r="D1224" s="302"/>
      <c r="E1224" s="303"/>
      <c r="F1224" s="302"/>
      <c r="G1224" s="302"/>
      <c r="H1224" s="302"/>
      <c r="I1224" s="303"/>
      <c r="J1224" s="302"/>
      <c r="K1224" s="302"/>
      <c r="L1224" s="302"/>
      <c r="M1224" s="236"/>
    </row>
    <row r="1225" spans="1:13" ht="13.5" customHeight="1" x14ac:dyDescent="0.2">
      <c r="A1225" s="237"/>
      <c r="B1225" s="302"/>
      <c r="C1225" s="302"/>
      <c r="D1225" s="302"/>
      <c r="E1225" s="303"/>
      <c r="F1225" s="302"/>
      <c r="G1225" s="302"/>
      <c r="H1225" s="302"/>
      <c r="I1225" s="303"/>
      <c r="J1225" s="302"/>
      <c r="K1225" s="302"/>
      <c r="L1225" s="302"/>
      <c r="M1225" s="236"/>
    </row>
    <row r="1226" spans="1:13" x14ac:dyDescent="0.2">
      <c r="A1226" s="237"/>
      <c r="B1226" s="303"/>
      <c r="C1226" s="303"/>
      <c r="D1226" s="303"/>
      <c r="E1226" s="303"/>
      <c r="F1226" s="303"/>
      <c r="G1226" s="303"/>
      <c r="H1226" s="303"/>
      <c r="I1226" s="303"/>
      <c r="J1226" s="303"/>
      <c r="K1226" s="303"/>
      <c r="L1226" s="303"/>
      <c r="M1226" s="236"/>
    </row>
    <row r="1227" spans="1:13" x14ac:dyDescent="0.2">
      <c r="A1227" s="237"/>
      <c r="B1227" s="237"/>
      <c r="C1227" s="237"/>
      <c r="D1227" s="237"/>
      <c r="E1227" s="237"/>
      <c r="F1227" s="237"/>
      <c r="G1227" s="237"/>
      <c r="H1227" s="237"/>
      <c r="I1227" s="237"/>
      <c r="J1227" s="237"/>
      <c r="K1227" s="237"/>
      <c r="L1227" s="240"/>
      <c r="M1227" s="236"/>
    </row>
    <row r="1228" spans="1:13" x14ac:dyDescent="0.2">
      <c r="A1228" s="237"/>
      <c r="B1228" s="237"/>
      <c r="C1228" s="237"/>
      <c r="D1228" s="237"/>
      <c r="E1228" s="237"/>
      <c r="F1228" s="237"/>
      <c r="G1228" s="237"/>
      <c r="H1228" s="237"/>
      <c r="I1228" s="237"/>
      <c r="J1228" s="237"/>
      <c r="K1228" s="237"/>
      <c r="L1228" s="284"/>
      <c r="M1228" s="236"/>
    </row>
    <row r="1229" spans="1:13" x14ac:dyDescent="0.2">
      <c r="A1229" s="258"/>
      <c r="B1229" s="241"/>
      <c r="C1229" s="241"/>
      <c r="D1229" s="241"/>
      <c r="E1229" s="241"/>
      <c r="F1229" s="241"/>
      <c r="G1229" s="241"/>
      <c r="H1229" s="241"/>
      <c r="I1229" s="241"/>
      <c r="J1229" s="241"/>
      <c r="K1229" s="241"/>
      <c r="L1229" s="236"/>
      <c r="M1229" s="236"/>
    </row>
    <row r="1230" spans="1:13" x14ac:dyDescent="0.2">
      <c r="A1230" s="241"/>
      <c r="B1230" s="375"/>
      <c r="C1230" s="375"/>
      <c r="D1230" s="375"/>
      <c r="E1230" s="253"/>
      <c r="F1230" s="375"/>
      <c r="G1230" s="375"/>
      <c r="H1230" s="375"/>
      <c r="I1230" s="253"/>
      <c r="J1230" s="375"/>
      <c r="K1230" s="375"/>
      <c r="L1230" s="375"/>
      <c r="M1230" s="236"/>
    </row>
    <row r="1231" spans="1:13" x14ac:dyDescent="0.2">
      <c r="A1231" s="258"/>
      <c r="B1231" s="259"/>
      <c r="C1231" s="259"/>
      <c r="D1231" s="259"/>
      <c r="E1231" s="259"/>
      <c r="F1231" s="259"/>
      <c r="G1231" s="259"/>
      <c r="H1231" s="259"/>
      <c r="I1231" s="259"/>
      <c r="J1231" s="259"/>
      <c r="K1231" s="259"/>
      <c r="L1231" s="259"/>
      <c r="M1231" s="236"/>
    </row>
    <row r="1232" spans="1:13" x14ac:dyDescent="0.2">
      <c r="A1232" s="258"/>
      <c r="B1232" s="259"/>
      <c r="C1232" s="259"/>
      <c r="D1232" s="259"/>
      <c r="E1232" s="259"/>
      <c r="F1232" s="259"/>
      <c r="G1232" s="259"/>
      <c r="H1232" s="259"/>
      <c r="I1232" s="259"/>
      <c r="J1232" s="259"/>
      <c r="K1232" s="259"/>
      <c r="L1232" s="259"/>
      <c r="M1232" s="236"/>
    </row>
    <row r="1233" spans="1:13" x14ac:dyDescent="0.2">
      <c r="A1233" s="237"/>
      <c r="B1233" s="302"/>
      <c r="C1233" s="302"/>
      <c r="D1233" s="302"/>
      <c r="E1233" s="303"/>
      <c r="F1233" s="302"/>
      <c r="G1233" s="302"/>
      <c r="H1233" s="302"/>
      <c r="I1233" s="303"/>
      <c r="J1233" s="302"/>
      <c r="K1233" s="302"/>
      <c r="L1233" s="302"/>
      <c r="M1233" s="236"/>
    </row>
    <row r="1234" spans="1:13" x14ac:dyDescent="0.2">
      <c r="A1234" s="237"/>
      <c r="B1234" s="302"/>
      <c r="C1234" s="302"/>
      <c r="D1234" s="302"/>
      <c r="E1234" s="303"/>
      <c r="F1234" s="302"/>
      <c r="G1234" s="302"/>
      <c r="H1234" s="302"/>
      <c r="I1234" s="303"/>
      <c r="J1234" s="302"/>
      <c r="K1234" s="302"/>
      <c r="L1234" s="302"/>
      <c r="M1234" s="236"/>
    </row>
    <row r="1235" spans="1:13" x14ac:dyDescent="0.2">
      <c r="A1235" s="237"/>
      <c r="B1235" s="302"/>
      <c r="C1235" s="302"/>
      <c r="D1235" s="302"/>
      <c r="E1235" s="303"/>
      <c r="F1235" s="302"/>
      <c r="G1235" s="302"/>
      <c r="H1235" s="302"/>
      <c r="I1235" s="303"/>
      <c r="J1235" s="302"/>
      <c r="K1235" s="302"/>
      <c r="L1235" s="302"/>
      <c r="M1235" s="236"/>
    </row>
    <row r="1236" spans="1:13" x14ac:dyDescent="0.2">
      <c r="A1236" s="237"/>
      <c r="B1236" s="302"/>
      <c r="C1236" s="302"/>
      <c r="D1236" s="302"/>
      <c r="E1236" s="303"/>
      <c r="F1236" s="302"/>
      <c r="G1236" s="302"/>
      <c r="H1236" s="302"/>
      <c r="I1236" s="303"/>
      <c r="J1236" s="302"/>
      <c r="K1236" s="302"/>
      <c r="L1236" s="302"/>
      <c r="M1236" s="236"/>
    </row>
    <row r="1237" spans="1:13" x14ac:dyDescent="0.2">
      <c r="A1237" s="237"/>
      <c r="B1237" s="302"/>
      <c r="C1237" s="302"/>
      <c r="D1237" s="302"/>
      <c r="E1237" s="303"/>
      <c r="F1237" s="302"/>
      <c r="G1237" s="302"/>
      <c r="H1237" s="302"/>
      <c r="I1237" s="303"/>
      <c r="J1237" s="302"/>
      <c r="K1237" s="302"/>
      <c r="L1237" s="302"/>
      <c r="M1237" s="236"/>
    </row>
    <row r="1238" spans="1:13" x14ac:dyDescent="0.2">
      <c r="A1238" s="237"/>
      <c r="B1238" s="302"/>
      <c r="C1238" s="302"/>
      <c r="D1238" s="302"/>
      <c r="E1238" s="303"/>
      <c r="F1238" s="302"/>
      <c r="G1238" s="302"/>
      <c r="H1238" s="302"/>
      <c r="I1238" s="303"/>
      <c r="J1238" s="302"/>
      <c r="K1238" s="302"/>
      <c r="L1238" s="302"/>
      <c r="M1238" s="236"/>
    </row>
    <row r="1239" spans="1:13" x14ac:dyDescent="0.2">
      <c r="A1239" s="237"/>
      <c r="B1239" s="302"/>
      <c r="C1239" s="302"/>
      <c r="D1239" s="302"/>
      <c r="E1239" s="303"/>
      <c r="F1239" s="302"/>
      <c r="G1239" s="302"/>
      <c r="H1239" s="302"/>
      <c r="I1239" s="303"/>
      <c r="J1239" s="302"/>
      <c r="K1239" s="302"/>
      <c r="L1239" s="302"/>
      <c r="M1239" s="236"/>
    </row>
    <row r="1240" spans="1:13" x14ac:dyDescent="0.2">
      <c r="A1240" s="237"/>
      <c r="B1240" s="302"/>
      <c r="C1240" s="302"/>
      <c r="D1240" s="302"/>
      <c r="E1240" s="303"/>
      <c r="F1240" s="302"/>
      <c r="G1240" s="302"/>
      <c r="H1240" s="302"/>
      <c r="I1240" s="303"/>
      <c r="J1240" s="302"/>
      <c r="K1240" s="302"/>
      <c r="L1240" s="302"/>
      <c r="M1240" s="236"/>
    </row>
    <row r="1241" spans="1:13" x14ac:dyDescent="0.2">
      <c r="A1241" s="237"/>
      <c r="B1241" s="302"/>
      <c r="C1241" s="302"/>
      <c r="D1241" s="302"/>
      <c r="E1241" s="303"/>
      <c r="F1241" s="302"/>
      <c r="G1241" s="302"/>
      <c r="H1241" s="302"/>
      <c r="I1241" s="303"/>
      <c r="J1241" s="302"/>
      <c r="K1241" s="302"/>
      <c r="L1241" s="302"/>
      <c r="M1241" s="236"/>
    </row>
    <row r="1242" spans="1:13" x14ac:dyDescent="0.2">
      <c r="A1242" s="237"/>
      <c r="B1242" s="302"/>
      <c r="C1242" s="302"/>
      <c r="D1242" s="302"/>
      <c r="E1242" s="303"/>
      <c r="F1242" s="302"/>
      <c r="G1242" s="302"/>
      <c r="H1242" s="302"/>
      <c r="I1242" s="303"/>
      <c r="J1242" s="302"/>
      <c r="K1242" s="302"/>
      <c r="L1242" s="302"/>
      <c r="M1242" s="236"/>
    </row>
    <row r="1243" spans="1:13" x14ac:dyDescent="0.2">
      <c r="A1243" s="237"/>
      <c r="B1243" s="303"/>
      <c r="C1243" s="303"/>
      <c r="D1243" s="303"/>
      <c r="E1243" s="303"/>
      <c r="F1243" s="303"/>
      <c r="G1243" s="303"/>
      <c r="H1243" s="303"/>
      <c r="I1243" s="303"/>
      <c r="J1243" s="303"/>
      <c r="K1243" s="303"/>
      <c r="L1243" s="303"/>
      <c r="M1243" s="236"/>
    </row>
    <row r="1244" spans="1:13" x14ac:dyDescent="0.2">
      <c r="A1244" s="237"/>
      <c r="B1244" s="237"/>
      <c r="C1244" s="237"/>
      <c r="D1244" s="237"/>
      <c r="E1244" s="237"/>
      <c r="F1244" s="237"/>
      <c r="G1244" s="237"/>
      <c r="H1244" s="237"/>
      <c r="I1244" s="237"/>
      <c r="J1244" s="237"/>
      <c r="K1244" s="237"/>
      <c r="L1244" s="240"/>
      <c r="M1244" s="236"/>
    </row>
    <row r="1245" spans="1:13" x14ac:dyDescent="0.2">
      <c r="A1245" s="237"/>
      <c r="B1245" s="237"/>
      <c r="C1245" s="237"/>
      <c r="D1245" s="237"/>
      <c r="E1245" s="237"/>
      <c r="F1245" s="237"/>
      <c r="G1245" s="237"/>
      <c r="H1245" s="237"/>
      <c r="I1245" s="237"/>
      <c r="J1245" s="237"/>
      <c r="K1245" s="237"/>
      <c r="L1245" s="284"/>
      <c r="M1245" s="236"/>
    </row>
    <row r="1246" spans="1:13" x14ac:dyDescent="0.2">
      <c r="A1246" s="258"/>
      <c r="B1246" s="241"/>
      <c r="C1246" s="241"/>
      <c r="D1246" s="241"/>
      <c r="E1246" s="241"/>
      <c r="F1246" s="241"/>
      <c r="G1246" s="241"/>
      <c r="H1246" s="241"/>
      <c r="I1246" s="241"/>
      <c r="J1246" s="241"/>
      <c r="K1246" s="241"/>
      <c r="L1246" s="236"/>
      <c r="M1246" s="236"/>
    </row>
    <row r="1247" spans="1:13" x14ac:dyDescent="0.2">
      <c r="A1247" s="241"/>
      <c r="B1247" s="375"/>
      <c r="C1247" s="375"/>
      <c r="D1247" s="375"/>
      <c r="E1247" s="253"/>
      <c r="F1247" s="375"/>
      <c r="G1247" s="375"/>
      <c r="H1247" s="375"/>
      <c r="I1247" s="253"/>
      <c r="J1247" s="375"/>
      <c r="K1247" s="375"/>
      <c r="L1247" s="375"/>
      <c r="M1247" s="236"/>
    </row>
    <row r="1248" spans="1:13" x14ac:dyDescent="0.2">
      <c r="A1248" s="258"/>
      <c r="B1248" s="259"/>
      <c r="C1248" s="259"/>
      <c r="D1248" s="259"/>
      <c r="E1248" s="259"/>
      <c r="F1248" s="259"/>
      <c r="G1248" s="259"/>
      <c r="H1248" s="259"/>
      <c r="I1248" s="259"/>
      <c r="J1248" s="259"/>
      <c r="K1248" s="259"/>
      <c r="L1248" s="259"/>
      <c r="M1248" s="236"/>
    </row>
    <row r="1249" spans="1:13" x14ac:dyDescent="0.2">
      <c r="A1249" s="258"/>
      <c r="B1249" s="259"/>
      <c r="C1249" s="259"/>
      <c r="D1249" s="259"/>
      <c r="E1249" s="259"/>
      <c r="F1249" s="259"/>
      <c r="G1249" s="259"/>
      <c r="H1249" s="259"/>
      <c r="I1249" s="259"/>
      <c r="J1249" s="259"/>
      <c r="K1249" s="259"/>
      <c r="L1249" s="259"/>
      <c r="M1249" s="236"/>
    </row>
    <row r="1250" spans="1:13" x14ac:dyDescent="0.2">
      <c r="A1250" s="237"/>
      <c r="B1250" s="302"/>
      <c r="C1250" s="302"/>
      <c r="D1250" s="302"/>
      <c r="E1250" s="303"/>
      <c r="F1250" s="302"/>
      <c r="G1250" s="302"/>
      <c r="H1250" s="302"/>
      <c r="I1250" s="303"/>
      <c r="J1250" s="302"/>
      <c r="K1250" s="302"/>
      <c r="L1250" s="302"/>
      <c r="M1250" s="236"/>
    </row>
    <row r="1251" spans="1:13" x14ac:dyDescent="0.2">
      <c r="A1251" s="237"/>
      <c r="B1251" s="302"/>
      <c r="C1251" s="302"/>
      <c r="D1251" s="302"/>
      <c r="E1251" s="303"/>
      <c r="F1251" s="302"/>
      <c r="G1251" s="302"/>
      <c r="H1251" s="302"/>
      <c r="I1251" s="303"/>
      <c r="J1251" s="302"/>
      <c r="K1251" s="302"/>
      <c r="L1251" s="302"/>
      <c r="M1251" s="236"/>
    </row>
    <row r="1252" spans="1:13" x14ac:dyDescent="0.2">
      <c r="A1252" s="237"/>
      <c r="B1252" s="302"/>
      <c r="C1252" s="302"/>
      <c r="D1252" s="302"/>
      <c r="E1252" s="303"/>
      <c r="F1252" s="302"/>
      <c r="G1252" s="302"/>
      <c r="H1252" s="302"/>
      <c r="I1252" s="303"/>
      <c r="J1252" s="302"/>
      <c r="K1252" s="302"/>
      <c r="L1252" s="302"/>
      <c r="M1252" s="236"/>
    </row>
    <row r="1253" spans="1:13" x14ac:dyDescent="0.2">
      <c r="A1253" s="237"/>
      <c r="B1253" s="302"/>
      <c r="C1253" s="302"/>
      <c r="D1253" s="302"/>
      <c r="E1253" s="303"/>
      <c r="F1253" s="302"/>
      <c r="G1253" s="302"/>
      <c r="H1253" s="302"/>
      <c r="I1253" s="303"/>
      <c r="J1253" s="302"/>
      <c r="K1253" s="302"/>
      <c r="L1253" s="302"/>
      <c r="M1253" s="236"/>
    </row>
    <row r="1254" spans="1:13" x14ac:dyDescent="0.2">
      <c r="A1254" s="237"/>
      <c r="B1254" s="302"/>
      <c r="C1254" s="302"/>
      <c r="D1254" s="302"/>
      <c r="E1254" s="303"/>
      <c r="F1254" s="302"/>
      <c r="G1254" s="302"/>
      <c r="H1254" s="302"/>
      <c r="I1254" s="303"/>
      <c r="J1254" s="302"/>
      <c r="K1254" s="302"/>
      <c r="L1254" s="302"/>
      <c r="M1254" s="236"/>
    </row>
    <row r="1255" spans="1:13" x14ac:dyDescent="0.2">
      <c r="A1255" s="237"/>
      <c r="B1255" s="302"/>
      <c r="C1255" s="302"/>
      <c r="D1255" s="302"/>
      <c r="E1255" s="303"/>
      <c r="F1255" s="302"/>
      <c r="G1255" s="302"/>
      <c r="H1255" s="302"/>
      <c r="I1255" s="303"/>
      <c r="J1255" s="302"/>
      <c r="K1255" s="302"/>
      <c r="L1255" s="302"/>
      <c r="M1255" s="236"/>
    </row>
    <row r="1256" spans="1:13" x14ac:dyDescent="0.2">
      <c r="A1256" s="237"/>
      <c r="B1256" s="302"/>
      <c r="C1256" s="302"/>
      <c r="D1256" s="302"/>
      <c r="E1256" s="303"/>
      <c r="F1256" s="302"/>
      <c r="G1256" s="302"/>
      <c r="H1256" s="302"/>
      <c r="I1256" s="303"/>
      <c r="J1256" s="302"/>
      <c r="K1256" s="302"/>
      <c r="L1256" s="302"/>
      <c r="M1256" s="236"/>
    </row>
    <row r="1257" spans="1:13" x14ac:dyDescent="0.2">
      <c r="A1257" s="237"/>
      <c r="B1257" s="302"/>
      <c r="C1257" s="302"/>
      <c r="D1257" s="302"/>
      <c r="E1257" s="303"/>
      <c r="F1257" s="302"/>
      <c r="G1257" s="302"/>
      <c r="H1257" s="302"/>
      <c r="I1257" s="303"/>
      <c r="J1257" s="302"/>
      <c r="K1257" s="302"/>
      <c r="L1257" s="302"/>
      <c r="M1257" s="236"/>
    </row>
    <row r="1258" spans="1:13" x14ac:dyDescent="0.2">
      <c r="A1258" s="237"/>
      <c r="B1258" s="302"/>
      <c r="C1258" s="302"/>
      <c r="D1258" s="302"/>
      <c r="E1258" s="303"/>
      <c r="F1258" s="302"/>
      <c r="G1258" s="302"/>
      <c r="H1258" s="302"/>
      <c r="I1258" s="303"/>
      <c r="J1258" s="302"/>
      <c r="K1258" s="302"/>
      <c r="L1258" s="302"/>
      <c r="M1258" s="236"/>
    </row>
    <row r="1259" spans="1:13" x14ac:dyDescent="0.2">
      <c r="A1259" s="237"/>
      <c r="B1259" s="302"/>
      <c r="C1259" s="302"/>
      <c r="D1259" s="302"/>
      <c r="E1259" s="303"/>
      <c r="F1259" s="302"/>
      <c r="G1259" s="302"/>
      <c r="H1259" s="302"/>
      <c r="I1259" s="303"/>
      <c r="J1259" s="302"/>
      <c r="K1259" s="302"/>
      <c r="L1259" s="302"/>
      <c r="M1259" s="236"/>
    </row>
    <row r="1260" spans="1:13" x14ac:dyDescent="0.2">
      <c r="A1260" s="237"/>
      <c r="B1260" s="303"/>
      <c r="C1260" s="303"/>
      <c r="D1260" s="303"/>
      <c r="E1260" s="303"/>
      <c r="F1260" s="303"/>
      <c r="G1260" s="303"/>
      <c r="H1260" s="303"/>
      <c r="I1260" s="303"/>
      <c r="J1260" s="303"/>
      <c r="K1260" s="303"/>
      <c r="L1260" s="303"/>
      <c r="M1260" s="236"/>
    </row>
    <row r="1261" spans="1:13" x14ac:dyDescent="0.2">
      <c r="A1261" s="237"/>
      <c r="B1261" s="237"/>
      <c r="C1261" s="237"/>
      <c r="D1261" s="237"/>
      <c r="E1261" s="237"/>
      <c r="F1261" s="237"/>
      <c r="G1261" s="237"/>
      <c r="H1261" s="237"/>
      <c r="I1261" s="237"/>
      <c r="J1261" s="237"/>
      <c r="K1261" s="237"/>
      <c r="L1261" s="240"/>
      <c r="M1261" s="236"/>
    </row>
    <row r="1262" spans="1:13" x14ac:dyDescent="0.2">
      <c r="A1262" s="237"/>
      <c r="B1262" s="237"/>
      <c r="C1262" s="237"/>
      <c r="D1262" s="237"/>
      <c r="E1262" s="237"/>
      <c r="F1262" s="237"/>
      <c r="G1262" s="237"/>
      <c r="H1262" s="237"/>
      <c r="I1262" s="237"/>
      <c r="J1262" s="237"/>
      <c r="K1262" s="237"/>
      <c r="L1262" s="284"/>
      <c r="M1262" s="236"/>
    </row>
    <row r="1263" spans="1:13" x14ac:dyDescent="0.2">
      <c r="A1263" s="258"/>
      <c r="B1263" s="241"/>
      <c r="C1263" s="241"/>
      <c r="D1263" s="241"/>
      <c r="E1263" s="241"/>
      <c r="F1263" s="241"/>
      <c r="G1263" s="241"/>
      <c r="H1263" s="241"/>
      <c r="I1263" s="241"/>
      <c r="J1263" s="241"/>
      <c r="K1263" s="241"/>
      <c r="L1263" s="236"/>
      <c r="M1263" s="236"/>
    </row>
    <row r="1264" spans="1:13" x14ac:dyDescent="0.2">
      <c r="A1264" s="241"/>
      <c r="B1264" s="375"/>
      <c r="C1264" s="375"/>
      <c r="D1264" s="375"/>
      <c r="E1264" s="253"/>
      <c r="F1264" s="375"/>
      <c r="G1264" s="375"/>
      <c r="H1264" s="375"/>
      <c r="I1264" s="253"/>
      <c r="J1264" s="375"/>
      <c r="K1264" s="375"/>
      <c r="L1264" s="375"/>
      <c r="M1264" s="236"/>
    </row>
    <row r="1265" spans="1:13" x14ac:dyDescent="0.2">
      <c r="A1265" s="258"/>
      <c r="B1265" s="259"/>
      <c r="C1265" s="259"/>
      <c r="D1265" s="259"/>
      <c r="E1265" s="259"/>
      <c r="F1265" s="259"/>
      <c r="G1265" s="259"/>
      <c r="H1265" s="259"/>
      <c r="I1265" s="259"/>
      <c r="J1265" s="259"/>
      <c r="K1265" s="259"/>
      <c r="L1265" s="259"/>
      <c r="M1265" s="236"/>
    </row>
    <row r="1266" spans="1:13" x14ac:dyDescent="0.2">
      <c r="A1266" s="258"/>
      <c r="B1266" s="259"/>
      <c r="C1266" s="259"/>
      <c r="D1266" s="259"/>
      <c r="E1266" s="259"/>
      <c r="F1266" s="259"/>
      <c r="G1266" s="259"/>
      <c r="H1266" s="259"/>
      <c r="I1266" s="259"/>
      <c r="J1266" s="259"/>
      <c r="K1266" s="259"/>
      <c r="L1266" s="259"/>
      <c r="M1266" s="236"/>
    </row>
    <row r="1267" spans="1:13" x14ac:dyDescent="0.2">
      <c r="A1267" s="237"/>
      <c r="B1267" s="302"/>
      <c r="C1267" s="302"/>
      <c r="D1267" s="302"/>
      <c r="E1267" s="303"/>
      <c r="F1267" s="302"/>
      <c r="G1267" s="302"/>
      <c r="H1267" s="302"/>
      <c r="I1267" s="303"/>
      <c r="J1267" s="302"/>
      <c r="K1267" s="302"/>
      <c r="L1267" s="302"/>
      <c r="M1267" s="236"/>
    </row>
    <row r="1268" spans="1:13" x14ac:dyDescent="0.2">
      <c r="A1268" s="237"/>
      <c r="B1268" s="302"/>
      <c r="C1268" s="302"/>
      <c r="D1268" s="302"/>
      <c r="E1268" s="303"/>
      <c r="F1268" s="302"/>
      <c r="G1268" s="302"/>
      <c r="H1268" s="302"/>
      <c r="I1268" s="303"/>
      <c r="J1268" s="302"/>
      <c r="K1268" s="302"/>
      <c r="L1268" s="302"/>
      <c r="M1268" s="236"/>
    </row>
    <row r="1269" spans="1:13" x14ac:dyDescent="0.2">
      <c r="A1269" s="237"/>
      <c r="B1269" s="302"/>
      <c r="C1269" s="302"/>
      <c r="D1269" s="302"/>
      <c r="E1269" s="303"/>
      <c r="F1269" s="302"/>
      <c r="G1269" s="302"/>
      <c r="H1269" s="302"/>
      <c r="I1269" s="303"/>
      <c r="J1269" s="302"/>
      <c r="K1269" s="302"/>
      <c r="L1269" s="302"/>
      <c r="M1269" s="236"/>
    </row>
    <row r="1270" spans="1:13" x14ac:dyDescent="0.2">
      <c r="A1270" s="237"/>
      <c r="B1270" s="302"/>
      <c r="C1270" s="302"/>
      <c r="D1270" s="302"/>
      <c r="E1270" s="303"/>
      <c r="F1270" s="302"/>
      <c r="G1270" s="302"/>
      <c r="H1270" s="302"/>
      <c r="I1270" s="303"/>
      <c r="J1270" s="302"/>
      <c r="K1270" s="302"/>
      <c r="L1270" s="302"/>
      <c r="M1270" s="236"/>
    </row>
    <row r="1271" spans="1:13" x14ac:dyDescent="0.2">
      <c r="A1271" s="237"/>
      <c r="B1271" s="302"/>
      <c r="C1271" s="302"/>
      <c r="D1271" s="302"/>
      <c r="E1271" s="303"/>
      <c r="F1271" s="302"/>
      <c r="G1271" s="302"/>
      <c r="H1271" s="302"/>
      <c r="I1271" s="303"/>
      <c r="J1271" s="302"/>
      <c r="K1271" s="302"/>
      <c r="L1271" s="302"/>
      <c r="M1271" s="236"/>
    </row>
    <row r="1272" spans="1:13" x14ac:dyDescent="0.2">
      <c r="A1272" s="237"/>
      <c r="B1272" s="302"/>
      <c r="C1272" s="302"/>
      <c r="D1272" s="302"/>
      <c r="E1272" s="303"/>
      <c r="F1272" s="302"/>
      <c r="G1272" s="302"/>
      <c r="H1272" s="302"/>
      <c r="I1272" s="303"/>
      <c r="J1272" s="302"/>
      <c r="K1272" s="302"/>
      <c r="L1272" s="302"/>
      <c r="M1272" s="236"/>
    </row>
    <row r="1273" spans="1:13" x14ac:dyDescent="0.2">
      <c r="A1273" s="237"/>
      <c r="B1273" s="302"/>
      <c r="C1273" s="302"/>
      <c r="D1273" s="302"/>
      <c r="E1273" s="303"/>
      <c r="F1273" s="302"/>
      <c r="G1273" s="302"/>
      <c r="H1273" s="302"/>
      <c r="I1273" s="303"/>
      <c r="J1273" s="302"/>
      <c r="K1273" s="302"/>
      <c r="L1273" s="302"/>
      <c r="M1273" s="236"/>
    </row>
    <row r="1274" spans="1:13" x14ac:dyDescent="0.2">
      <c r="A1274" s="237"/>
      <c r="B1274" s="302"/>
      <c r="C1274" s="302"/>
      <c r="D1274" s="302"/>
      <c r="E1274" s="303"/>
      <c r="F1274" s="302"/>
      <c r="G1274" s="302"/>
      <c r="H1274" s="302"/>
      <c r="I1274" s="303"/>
      <c r="J1274" s="302"/>
      <c r="K1274" s="302"/>
      <c r="L1274" s="302"/>
      <c r="M1274" s="236"/>
    </row>
    <row r="1275" spans="1:13" x14ac:dyDescent="0.2">
      <c r="A1275" s="237"/>
      <c r="B1275" s="302"/>
      <c r="C1275" s="302"/>
      <c r="D1275" s="302"/>
      <c r="E1275" s="303"/>
      <c r="F1275" s="302"/>
      <c r="G1275" s="302"/>
      <c r="H1275" s="302"/>
      <c r="I1275" s="303"/>
      <c r="J1275" s="302"/>
      <c r="K1275" s="302"/>
      <c r="L1275" s="302"/>
      <c r="M1275" s="236"/>
    </row>
    <row r="1276" spans="1:13" x14ac:dyDescent="0.2">
      <c r="A1276" s="237"/>
      <c r="B1276" s="302"/>
      <c r="C1276" s="302"/>
      <c r="D1276" s="302"/>
      <c r="E1276" s="303"/>
      <c r="F1276" s="302"/>
      <c r="G1276" s="302"/>
      <c r="H1276" s="302"/>
      <c r="I1276" s="303"/>
      <c r="J1276" s="302"/>
      <c r="K1276" s="302"/>
      <c r="L1276" s="302"/>
      <c r="M1276" s="236"/>
    </row>
    <row r="1277" spans="1:13" x14ac:dyDescent="0.2">
      <c r="A1277" s="237"/>
      <c r="B1277" s="303"/>
      <c r="C1277" s="303"/>
      <c r="D1277" s="303"/>
      <c r="E1277" s="303"/>
      <c r="F1277" s="303"/>
      <c r="G1277" s="303"/>
      <c r="H1277" s="303"/>
      <c r="I1277" s="303"/>
      <c r="J1277" s="303"/>
      <c r="K1277" s="303"/>
      <c r="L1277" s="303"/>
      <c r="M1277" s="236"/>
    </row>
    <row r="1278" spans="1:13" x14ac:dyDescent="0.2">
      <c r="A1278" s="237"/>
      <c r="B1278" s="237"/>
      <c r="C1278" s="237"/>
      <c r="D1278" s="237"/>
      <c r="E1278" s="237"/>
      <c r="F1278" s="237"/>
      <c r="G1278" s="237"/>
      <c r="H1278" s="237"/>
      <c r="I1278" s="237"/>
      <c r="J1278" s="237"/>
      <c r="K1278" s="237"/>
      <c r="L1278" s="240"/>
      <c r="M1278" s="236"/>
    </row>
    <row r="1279" spans="1:13" x14ac:dyDescent="0.2">
      <c r="A1279" s="237"/>
      <c r="B1279" s="237"/>
      <c r="C1279" s="237"/>
      <c r="D1279" s="237"/>
      <c r="E1279" s="237"/>
      <c r="F1279" s="237"/>
      <c r="G1279" s="237"/>
      <c r="H1279" s="237"/>
      <c r="I1279" s="237"/>
      <c r="J1279" s="237"/>
      <c r="K1279" s="237"/>
      <c r="L1279" s="284"/>
      <c r="M1279" s="236"/>
    </row>
    <row r="1280" spans="1:13" x14ac:dyDescent="0.2">
      <c r="A1280" s="258"/>
      <c r="B1280" s="241"/>
      <c r="C1280" s="241"/>
      <c r="D1280" s="241"/>
      <c r="E1280" s="241"/>
      <c r="F1280" s="241"/>
      <c r="G1280" s="241"/>
      <c r="H1280" s="241"/>
      <c r="I1280" s="241"/>
      <c r="J1280" s="241"/>
      <c r="K1280" s="241"/>
      <c r="L1280" s="236"/>
      <c r="M1280" s="236"/>
    </row>
    <row r="1281" spans="1:13" x14ac:dyDescent="0.2">
      <c r="A1281" s="241"/>
      <c r="B1281" s="375"/>
      <c r="C1281" s="375"/>
      <c r="D1281" s="375"/>
      <c r="E1281" s="253"/>
      <c r="F1281" s="375"/>
      <c r="G1281" s="375"/>
      <c r="H1281" s="375"/>
      <c r="I1281" s="253"/>
      <c r="J1281" s="375"/>
      <c r="K1281" s="375"/>
      <c r="L1281" s="375"/>
      <c r="M1281" s="236"/>
    </row>
    <row r="1282" spans="1:13" x14ac:dyDescent="0.2">
      <c r="A1282" s="258"/>
      <c r="B1282" s="259"/>
      <c r="C1282" s="259"/>
      <c r="D1282" s="259"/>
      <c r="E1282" s="259"/>
      <c r="F1282" s="259"/>
      <c r="G1282" s="259"/>
      <c r="H1282" s="259"/>
      <c r="I1282" s="259"/>
      <c r="J1282" s="259"/>
      <c r="K1282" s="259"/>
      <c r="L1282" s="259"/>
      <c r="M1282" s="236"/>
    </row>
    <row r="1283" spans="1:13" x14ac:dyDescent="0.2">
      <c r="A1283" s="258"/>
      <c r="B1283" s="259"/>
      <c r="C1283" s="259"/>
      <c r="D1283" s="259"/>
      <c r="E1283" s="259"/>
      <c r="F1283" s="259"/>
      <c r="G1283" s="259"/>
      <c r="H1283" s="259"/>
      <c r="I1283" s="259"/>
      <c r="J1283" s="259"/>
      <c r="K1283" s="259"/>
      <c r="L1283" s="259"/>
      <c r="M1283" s="236"/>
    </row>
    <row r="1284" spans="1:13" x14ac:dyDescent="0.2">
      <c r="A1284" s="237"/>
      <c r="B1284" s="302"/>
      <c r="C1284" s="302"/>
      <c r="D1284" s="302"/>
      <c r="E1284" s="303"/>
      <c r="F1284" s="302"/>
      <c r="G1284" s="302"/>
      <c r="H1284" s="302"/>
      <c r="I1284" s="303"/>
      <c r="J1284" s="302"/>
      <c r="K1284" s="302"/>
      <c r="L1284" s="302"/>
      <c r="M1284" s="236"/>
    </row>
    <row r="1285" spans="1:13" x14ac:dyDescent="0.2">
      <c r="A1285" s="237"/>
      <c r="B1285" s="302"/>
      <c r="C1285" s="302"/>
      <c r="D1285" s="302"/>
      <c r="E1285" s="303"/>
      <c r="F1285" s="302"/>
      <c r="G1285" s="302"/>
      <c r="H1285" s="302"/>
      <c r="I1285" s="303"/>
      <c r="J1285" s="302"/>
      <c r="K1285" s="302"/>
      <c r="L1285" s="302"/>
      <c r="M1285" s="236"/>
    </row>
    <row r="1286" spans="1:13" x14ac:dyDescent="0.2">
      <c r="A1286" s="237"/>
      <c r="B1286" s="302"/>
      <c r="C1286" s="302"/>
      <c r="D1286" s="302"/>
      <c r="E1286" s="303"/>
      <c r="F1286" s="302"/>
      <c r="G1286" s="302"/>
      <c r="H1286" s="302"/>
      <c r="I1286" s="303"/>
      <c r="J1286" s="302"/>
      <c r="K1286" s="302"/>
      <c r="L1286" s="302"/>
      <c r="M1286" s="236"/>
    </row>
    <row r="1287" spans="1:13" x14ac:dyDescent="0.2">
      <c r="A1287" s="237"/>
      <c r="B1287" s="302"/>
      <c r="C1287" s="302"/>
      <c r="D1287" s="302"/>
      <c r="E1287" s="303"/>
      <c r="F1287" s="302"/>
      <c r="G1287" s="302"/>
      <c r="H1287" s="302"/>
      <c r="I1287" s="303"/>
      <c r="J1287" s="302"/>
      <c r="K1287" s="302"/>
      <c r="L1287" s="302"/>
      <c r="M1287" s="236"/>
    </row>
    <row r="1288" spans="1:13" x14ac:dyDescent="0.2">
      <c r="A1288" s="237"/>
      <c r="B1288" s="302"/>
      <c r="C1288" s="302"/>
      <c r="D1288" s="302"/>
      <c r="E1288" s="303"/>
      <c r="F1288" s="302"/>
      <c r="G1288" s="302"/>
      <c r="H1288" s="302"/>
      <c r="I1288" s="303"/>
      <c r="J1288" s="302"/>
      <c r="K1288" s="302"/>
      <c r="L1288" s="302"/>
      <c r="M1288" s="236"/>
    </row>
    <row r="1289" spans="1:13" x14ac:dyDescent="0.2">
      <c r="A1289" s="237"/>
      <c r="B1289" s="302"/>
      <c r="C1289" s="302"/>
      <c r="D1289" s="302"/>
      <c r="E1289" s="303"/>
      <c r="F1289" s="302"/>
      <c r="G1289" s="302"/>
      <c r="H1289" s="302"/>
      <c r="I1289" s="303"/>
      <c r="J1289" s="302"/>
      <c r="K1289" s="302"/>
      <c r="L1289" s="302"/>
      <c r="M1289" s="236"/>
    </row>
    <row r="1290" spans="1:13" x14ac:dyDescent="0.2">
      <c r="A1290" s="237"/>
      <c r="B1290" s="302"/>
      <c r="C1290" s="302"/>
      <c r="D1290" s="302"/>
      <c r="E1290" s="303"/>
      <c r="F1290" s="302"/>
      <c r="G1290" s="302"/>
      <c r="H1290" s="302"/>
      <c r="I1290" s="303"/>
      <c r="J1290" s="302"/>
      <c r="K1290" s="302"/>
      <c r="L1290" s="302"/>
      <c r="M1290" s="236"/>
    </row>
    <row r="1291" spans="1:13" x14ac:dyDescent="0.2">
      <c r="A1291" s="237"/>
      <c r="B1291" s="302"/>
      <c r="C1291" s="302"/>
      <c r="D1291" s="302"/>
      <c r="E1291" s="303"/>
      <c r="F1291" s="302"/>
      <c r="G1291" s="302"/>
      <c r="H1291" s="302"/>
      <c r="I1291" s="303"/>
      <c r="J1291" s="302"/>
      <c r="K1291" s="302"/>
      <c r="L1291" s="302"/>
      <c r="M1291" s="236"/>
    </row>
    <row r="1292" spans="1:13" x14ac:dyDescent="0.2">
      <c r="A1292" s="237"/>
      <c r="B1292" s="302"/>
      <c r="C1292" s="302"/>
      <c r="D1292" s="302"/>
      <c r="E1292" s="303"/>
      <c r="F1292" s="302"/>
      <c r="G1292" s="302"/>
      <c r="H1292" s="302"/>
      <c r="I1292" s="303"/>
      <c r="J1292" s="302"/>
      <c r="K1292" s="302"/>
      <c r="L1292" s="302"/>
      <c r="M1292" s="236"/>
    </row>
    <row r="1293" spans="1:13" x14ac:dyDescent="0.2">
      <c r="A1293" s="237"/>
      <c r="B1293" s="302"/>
      <c r="C1293" s="302"/>
      <c r="D1293" s="302"/>
      <c r="E1293" s="303"/>
      <c r="F1293" s="302"/>
      <c r="G1293" s="302"/>
      <c r="H1293" s="302"/>
      <c r="I1293" s="303"/>
      <c r="J1293" s="302"/>
      <c r="K1293" s="302"/>
      <c r="L1293" s="302"/>
      <c r="M1293" s="236"/>
    </row>
    <row r="1294" spans="1:13" x14ac:dyDescent="0.2">
      <c r="A1294" s="237"/>
      <c r="B1294" s="303"/>
      <c r="C1294" s="303"/>
      <c r="D1294" s="303"/>
      <c r="E1294" s="303"/>
      <c r="F1294" s="303"/>
      <c r="G1294" s="303"/>
      <c r="H1294" s="303"/>
      <c r="I1294" s="303"/>
      <c r="J1294" s="303"/>
      <c r="K1294" s="303"/>
      <c r="L1294" s="303"/>
      <c r="M1294" s="236"/>
    </row>
    <row r="1295" spans="1:13" x14ac:dyDescent="0.2">
      <c r="A1295" s="237"/>
      <c r="B1295" s="237"/>
      <c r="C1295" s="237"/>
      <c r="D1295" s="237"/>
      <c r="E1295" s="237"/>
      <c r="F1295" s="237"/>
      <c r="G1295" s="237"/>
      <c r="H1295" s="237"/>
      <c r="I1295" s="237"/>
      <c r="J1295" s="237"/>
      <c r="K1295" s="237"/>
      <c r="L1295" s="240"/>
      <c r="M1295" s="236"/>
    </row>
    <row r="1296" spans="1:13" x14ac:dyDescent="0.2">
      <c r="A1296" s="237"/>
      <c r="B1296" s="237"/>
      <c r="C1296" s="237"/>
      <c r="D1296" s="237"/>
      <c r="E1296" s="237"/>
      <c r="F1296" s="237"/>
      <c r="G1296" s="237"/>
      <c r="H1296" s="237"/>
      <c r="I1296" s="237"/>
      <c r="J1296" s="237"/>
      <c r="K1296" s="237"/>
      <c r="L1296" s="284"/>
      <c r="M1296" s="236"/>
    </row>
    <row r="1297" spans="1:13" x14ac:dyDescent="0.2">
      <c r="A1297" s="258"/>
      <c r="B1297" s="241"/>
      <c r="C1297" s="241"/>
      <c r="D1297" s="241"/>
      <c r="E1297" s="241"/>
      <c r="F1297" s="241"/>
      <c r="G1297" s="241"/>
      <c r="H1297" s="241"/>
      <c r="I1297" s="241"/>
      <c r="J1297" s="241"/>
      <c r="K1297" s="241"/>
      <c r="L1297" s="236"/>
      <c r="M1297" s="236"/>
    </row>
    <row r="1298" spans="1:13" x14ac:dyDescent="0.2">
      <c r="A1298" s="241"/>
      <c r="B1298" s="375"/>
      <c r="C1298" s="375"/>
      <c r="D1298" s="375"/>
      <c r="E1298" s="253"/>
      <c r="F1298" s="375"/>
      <c r="G1298" s="375"/>
      <c r="H1298" s="375"/>
      <c r="I1298" s="253"/>
      <c r="J1298" s="375"/>
      <c r="K1298" s="375"/>
      <c r="L1298" s="375"/>
      <c r="M1298" s="236"/>
    </row>
    <row r="1299" spans="1:13" x14ac:dyDescent="0.2">
      <c r="A1299" s="258"/>
      <c r="B1299" s="259"/>
      <c r="C1299" s="259"/>
      <c r="D1299" s="259"/>
      <c r="E1299" s="259"/>
      <c r="F1299" s="259"/>
      <c r="G1299" s="259"/>
      <c r="H1299" s="259"/>
      <c r="I1299" s="259"/>
      <c r="J1299" s="259"/>
      <c r="K1299" s="259"/>
      <c r="L1299" s="259"/>
      <c r="M1299" s="236"/>
    </row>
    <row r="1300" spans="1:13" x14ac:dyDescent="0.2">
      <c r="A1300" s="258"/>
      <c r="B1300" s="259"/>
      <c r="C1300" s="259"/>
      <c r="D1300" s="259"/>
      <c r="E1300" s="259"/>
      <c r="F1300" s="259"/>
      <c r="G1300" s="259"/>
      <c r="H1300" s="259"/>
      <c r="I1300" s="259"/>
      <c r="J1300" s="259"/>
      <c r="K1300" s="259"/>
      <c r="L1300" s="259"/>
      <c r="M1300" s="236"/>
    </row>
    <row r="1301" spans="1:13" x14ac:dyDescent="0.2">
      <c r="A1301" s="237"/>
      <c r="B1301" s="302"/>
      <c r="C1301" s="302"/>
      <c r="D1301" s="302"/>
      <c r="E1301" s="303"/>
      <c r="F1301" s="302"/>
      <c r="G1301" s="302"/>
      <c r="H1301" s="302"/>
      <c r="I1301" s="303"/>
      <c r="J1301" s="302"/>
      <c r="K1301" s="302"/>
      <c r="L1301" s="302"/>
      <c r="M1301" s="236"/>
    </row>
    <row r="1302" spans="1:13" x14ac:dyDescent="0.2">
      <c r="A1302" s="237"/>
      <c r="B1302" s="302"/>
      <c r="C1302" s="302"/>
      <c r="D1302" s="302"/>
      <c r="E1302" s="303"/>
      <c r="F1302" s="302"/>
      <c r="G1302" s="302"/>
      <c r="H1302" s="302"/>
      <c r="I1302" s="303"/>
      <c r="J1302" s="302"/>
      <c r="K1302" s="302"/>
      <c r="L1302" s="302"/>
      <c r="M1302" s="236"/>
    </row>
    <row r="1303" spans="1:13" x14ac:dyDescent="0.2">
      <c r="A1303" s="237"/>
      <c r="B1303" s="302"/>
      <c r="C1303" s="302"/>
      <c r="D1303" s="302"/>
      <c r="E1303" s="303"/>
      <c r="F1303" s="302"/>
      <c r="G1303" s="302"/>
      <c r="H1303" s="302"/>
      <c r="I1303" s="303"/>
      <c r="J1303" s="302"/>
      <c r="K1303" s="302"/>
      <c r="L1303" s="302"/>
      <c r="M1303" s="236"/>
    </row>
    <row r="1304" spans="1:13" x14ac:dyDescent="0.2">
      <c r="A1304" s="237"/>
      <c r="B1304" s="302"/>
      <c r="C1304" s="302"/>
      <c r="D1304" s="302"/>
      <c r="E1304" s="303"/>
      <c r="F1304" s="302"/>
      <c r="G1304" s="302"/>
      <c r="H1304" s="302"/>
      <c r="I1304" s="303"/>
      <c r="J1304" s="302"/>
      <c r="K1304" s="302"/>
      <c r="L1304" s="302"/>
      <c r="M1304" s="236"/>
    </row>
    <row r="1305" spans="1:13" x14ac:dyDescent="0.2">
      <c r="A1305" s="237"/>
      <c r="B1305" s="302"/>
      <c r="C1305" s="302"/>
      <c r="D1305" s="302"/>
      <c r="E1305" s="303"/>
      <c r="F1305" s="302"/>
      <c r="G1305" s="302"/>
      <c r="H1305" s="302"/>
      <c r="I1305" s="303"/>
      <c r="J1305" s="302"/>
      <c r="K1305" s="302"/>
      <c r="L1305" s="302"/>
      <c r="M1305" s="236"/>
    </row>
    <row r="1306" spans="1:13" x14ac:dyDescent="0.2">
      <c r="A1306" s="237"/>
      <c r="B1306" s="302"/>
      <c r="C1306" s="302"/>
      <c r="D1306" s="302"/>
      <c r="E1306" s="303"/>
      <c r="F1306" s="302"/>
      <c r="G1306" s="302"/>
      <c r="H1306" s="302"/>
      <c r="I1306" s="303"/>
      <c r="J1306" s="302"/>
      <c r="K1306" s="302"/>
      <c r="L1306" s="302"/>
      <c r="M1306" s="236"/>
    </row>
    <row r="1307" spans="1:13" x14ac:dyDescent="0.2">
      <c r="A1307" s="237"/>
      <c r="B1307" s="302"/>
      <c r="C1307" s="302"/>
      <c r="D1307" s="302"/>
      <c r="E1307" s="303"/>
      <c r="F1307" s="302"/>
      <c r="G1307" s="302"/>
      <c r="H1307" s="302"/>
      <c r="I1307" s="303"/>
      <c r="J1307" s="302"/>
      <c r="K1307" s="302"/>
      <c r="L1307" s="302"/>
      <c r="M1307" s="236"/>
    </row>
    <row r="1308" spans="1:13" x14ac:dyDescent="0.2">
      <c r="A1308" s="237"/>
      <c r="B1308" s="302"/>
      <c r="C1308" s="302"/>
      <c r="D1308" s="302"/>
      <c r="E1308" s="303"/>
      <c r="F1308" s="302"/>
      <c r="G1308" s="302"/>
      <c r="H1308" s="302"/>
      <c r="I1308" s="303"/>
      <c r="J1308" s="302"/>
      <c r="K1308" s="302"/>
      <c r="L1308" s="302"/>
      <c r="M1308" s="236"/>
    </row>
    <row r="1309" spans="1:13" x14ac:dyDescent="0.2">
      <c r="A1309" s="237"/>
      <c r="B1309" s="302"/>
      <c r="C1309" s="302"/>
      <c r="D1309" s="302"/>
      <c r="E1309" s="303"/>
      <c r="F1309" s="302"/>
      <c r="G1309" s="302"/>
      <c r="H1309" s="302"/>
      <c r="I1309" s="303"/>
      <c r="J1309" s="302"/>
      <c r="K1309" s="302"/>
      <c r="L1309" s="302"/>
      <c r="M1309" s="236"/>
    </row>
    <row r="1310" spans="1:13" x14ac:dyDescent="0.2">
      <c r="A1310" s="237"/>
      <c r="B1310" s="302"/>
      <c r="C1310" s="302"/>
      <c r="D1310" s="302"/>
      <c r="E1310" s="303"/>
      <c r="F1310" s="302"/>
      <c r="G1310" s="302"/>
      <c r="H1310" s="302"/>
      <c r="I1310" s="303"/>
      <c r="J1310" s="302"/>
      <c r="K1310" s="302"/>
      <c r="L1310" s="302"/>
      <c r="M1310" s="236"/>
    </row>
    <row r="1311" spans="1:13" x14ac:dyDescent="0.2">
      <c r="A1311" s="237"/>
      <c r="B1311" s="303"/>
      <c r="C1311" s="303"/>
      <c r="D1311" s="303"/>
      <c r="E1311" s="303"/>
      <c r="F1311" s="303"/>
      <c r="G1311" s="303"/>
      <c r="H1311" s="303"/>
      <c r="I1311" s="303"/>
      <c r="J1311" s="303"/>
      <c r="K1311" s="303"/>
      <c r="L1311" s="303"/>
      <c r="M1311" s="236"/>
    </row>
    <row r="1312" spans="1:13" x14ac:dyDescent="0.2">
      <c r="A1312" s="237"/>
      <c r="B1312" s="237"/>
      <c r="C1312" s="237"/>
      <c r="D1312" s="237"/>
      <c r="E1312" s="237"/>
      <c r="F1312" s="237"/>
      <c r="G1312" s="237"/>
      <c r="H1312" s="237"/>
      <c r="I1312" s="237"/>
      <c r="J1312" s="237"/>
      <c r="K1312" s="237"/>
      <c r="L1312" s="240"/>
      <c r="M1312" s="236"/>
    </row>
  </sheetData>
  <mergeCells count="231">
    <mergeCell ref="B1298:D1298"/>
    <mergeCell ref="F1298:H1298"/>
    <mergeCell ref="J1298:L1298"/>
    <mergeCell ref="B1264:D1264"/>
    <mergeCell ref="F1264:H1264"/>
    <mergeCell ref="J1264:L1264"/>
    <mergeCell ref="B1281:D1281"/>
    <mergeCell ref="F1281:H1281"/>
    <mergeCell ref="J1281:L1281"/>
    <mergeCell ref="B1230:D1230"/>
    <mergeCell ref="F1230:H1230"/>
    <mergeCell ref="J1230:L1230"/>
    <mergeCell ref="B1247:D1247"/>
    <mergeCell ref="F1247:H1247"/>
    <mergeCell ref="J1247:L1247"/>
    <mergeCell ref="B1196:D1196"/>
    <mergeCell ref="F1196:H1196"/>
    <mergeCell ref="J1196:L1196"/>
    <mergeCell ref="B1213:D1213"/>
    <mergeCell ref="F1213:H1213"/>
    <mergeCell ref="J1213:L1213"/>
    <mergeCell ref="B1162:D1162"/>
    <mergeCell ref="F1162:H1162"/>
    <mergeCell ref="J1162:L1162"/>
    <mergeCell ref="B1179:D1179"/>
    <mergeCell ref="F1179:H1179"/>
    <mergeCell ref="J1179:L1179"/>
    <mergeCell ref="B1128:D1128"/>
    <mergeCell ref="F1128:H1128"/>
    <mergeCell ref="J1128:L1128"/>
    <mergeCell ref="B1145:D1145"/>
    <mergeCell ref="F1145:H1145"/>
    <mergeCell ref="J1145:L1145"/>
    <mergeCell ref="B1094:D1094"/>
    <mergeCell ref="F1094:H1094"/>
    <mergeCell ref="J1094:L1094"/>
    <mergeCell ref="B1111:D1111"/>
    <mergeCell ref="F1111:H1111"/>
    <mergeCell ref="J1111:L1111"/>
    <mergeCell ref="B1060:D1060"/>
    <mergeCell ref="F1060:H1060"/>
    <mergeCell ref="J1060:L1060"/>
    <mergeCell ref="B1077:D1077"/>
    <mergeCell ref="F1077:H1077"/>
    <mergeCell ref="J1077:L1077"/>
    <mergeCell ref="B1026:D1026"/>
    <mergeCell ref="F1026:H1026"/>
    <mergeCell ref="J1026:L1026"/>
    <mergeCell ref="B1043:D1043"/>
    <mergeCell ref="F1043:H1043"/>
    <mergeCell ref="J1043:L1043"/>
    <mergeCell ref="B992:D992"/>
    <mergeCell ref="F992:H992"/>
    <mergeCell ref="J992:L992"/>
    <mergeCell ref="B1009:D1009"/>
    <mergeCell ref="F1009:H1009"/>
    <mergeCell ref="J1009:L1009"/>
    <mergeCell ref="B958:D958"/>
    <mergeCell ref="F958:H958"/>
    <mergeCell ref="J958:L958"/>
    <mergeCell ref="B975:D975"/>
    <mergeCell ref="F975:H975"/>
    <mergeCell ref="J975:L975"/>
    <mergeCell ref="B924:D924"/>
    <mergeCell ref="F924:H924"/>
    <mergeCell ref="J924:L924"/>
    <mergeCell ref="B941:D941"/>
    <mergeCell ref="F941:H941"/>
    <mergeCell ref="J941:L941"/>
    <mergeCell ref="B890:D890"/>
    <mergeCell ref="F890:H890"/>
    <mergeCell ref="J890:L890"/>
    <mergeCell ref="B907:D907"/>
    <mergeCell ref="F907:H907"/>
    <mergeCell ref="J907:L907"/>
    <mergeCell ref="B856:D856"/>
    <mergeCell ref="F856:H856"/>
    <mergeCell ref="J856:L856"/>
    <mergeCell ref="B873:D873"/>
    <mergeCell ref="F873:H873"/>
    <mergeCell ref="J873:L873"/>
    <mergeCell ref="B822:D822"/>
    <mergeCell ref="F822:H822"/>
    <mergeCell ref="J822:L822"/>
    <mergeCell ref="B839:D839"/>
    <mergeCell ref="F839:H839"/>
    <mergeCell ref="J839:L839"/>
    <mergeCell ref="B788:D788"/>
    <mergeCell ref="F788:H788"/>
    <mergeCell ref="J788:L788"/>
    <mergeCell ref="B805:D805"/>
    <mergeCell ref="F805:H805"/>
    <mergeCell ref="J805:L805"/>
    <mergeCell ref="B754:D754"/>
    <mergeCell ref="F754:H754"/>
    <mergeCell ref="J754:L754"/>
    <mergeCell ref="B771:D771"/>
    <mergeCell ref="F771:H771"/>
    <mergeCell ref="J771:L771"/>
    <mergeCell ref="B720:D720"/>
    <mergeCell ref="F720:H720"/>
    <mergeCell ref="J720:L720"/>
    <mergeCell ref="B737:D737"/>
    <mergeCell ref="F737:H737"/>
    <mergeCell ref="J737:L737"/>
    <mergeCell ref="B686:D686"/>
    <mergeCell ref="F686:H686"/>
    <mergeCell ref="J686:L686"/>
    <mergeCell ref="B703:D703"/>
    <mergeCell ref="F703:H703"/>
    <mergeCell ref="J703:L703"/>
    <mergeCell ref="B652:D652"/>
    <mergeCell ref="F652:H652"/>
    <mergeCell ref="J652:L652"/>
    <mergeCell ref="B669:D669"/>
    <mergeCell ref="F669:H669"/>
    <mergeCell ref="J669:L669"/>
    <mergeCell ref="B618:D618"/>
    <mergeCell ref="F618:H618"/>
    <mergeCell ref="J618:L618"/>
    <mergeCell ref="B635:D635"/>
    <mergeCell ref="F635:H635"/>
    <mergeCell ref="J635:L635"/>
    <mergeCell ref="B584:D584"/>
    <mergeCell ref="F584:H584"/>
    <mergeCell ref="J584:L584"/>
    <mergeCell ref="B601:D601"/>
    <mergeCell ref="F601:H601"/>
    <mergeCell ref="J601:L601"/>
    <mergeCell ref="B550:D550"/>
    <mergeCell ref="F550:H550"/>
    <mergeCell ref="J550:L550"/>
    <mergeCell ref="B567:D567"/>
    <mergeCell ref="F567:H567"/>
    <mergeCell ref="J567:L567"/>
    <mergeCell ref="B516:D516"/>
    <mergeCell ref="F516:H516"/>
    <mergeCell ref="J516:L516"/>
    <mergeCell ref="B533:D533"/>
    <mergeCell ref="F533:H533"/>
    <mergeCell ref="J533:L533"/>
    <mergeCell ref="B482:D482"/>
    <mergeCell ref="F482:H482"/>
    <mergeCell ref="J482:L482"/>
    <mergeCell ref="B499:D499"/>
    <mergeCell ref="F499:H499"/>
    <mergeCell ref="J499:L499"/>
    <mergeCell ref="B448:D448"/>
    <mergeCell ref="F448:H448"/>
    <mergeCell ref="J448:L448"/>
    <mergeCell ref="B465:D465"/>
    <mergeCell ref="F465:H465"/>
    <mergeCell ref="J465:L465"/>
    <mergeCell ref="B414:D414"/>
    <mergeCell ref="F414:H414"/>
    <mergeCell ref="J414:L414"/>
    <mergeCell ref="B431:D431"/>
    <mergeCell ref="F431:H431"/>
    <mergeCell ref="J431:L431"/>
    <mergeCell ref="B380:D380"/>
    <mergeCell ref="F380:H380"/>
    <mergeCell ref="J380:L380"/>
    <mergeCell ref="B397:D397"/>
    <mergeCell ref="F397:H397"/>
    <mergeCell ref="J397:L397"/>
    <mergeCell ref="B346:D346"/>
    <mergeCell ref="F346:H346"/>
    <mergeCell ref="J346:L346"/>
    <mergeCell ref="B363:D363"/>
    <mergeCell ref="F363:H363"/>
    <mergeCell ref="J363:L363"/>
    <mergeCell ref="B312:D312"/>
    <mergeCell ref="F312:H312"/>
    <mergeCell ref="J312:L312"/>
    <mergeCell ref="B329:D329"/>
    <mergeCell ref="F329:H329"/>
    <mergeCell ref="J329:L329"/>
    <mergeCell ref="B278:D278"/>
    <mergeCell ref="F278:H278"/>
    <mergeCell ref="J278:L278"/>
    <mergeCell ref="B295:D295"/>
    <mergeCell ref="F295:H295"/>
    <mergeCell ref="J295:L295"/>
    <mergeCell ref="B244:D244"/>
    <mergeCell ref="F244:H244"/>
    <mergeCell ref="J244:L244"/>
    <mergeCell ref="B261:D261"/>
    <mergeCell ref="F261:H261"/>
    <mergeCell ref="J261:L261"/>
    <mergeCell ref="B210:D210"/>
    <mergeCell ref="F210:H210"/>
    <mergeCell ref="J210:L210"/>
    <mergeCell ref="B227:D227"/>
    <mergeCell ref="F227:H227"/>
    <mergeCell ref="J227:L227"/>
    <mergeCell ref="B176:D176"/>
    <mergeCell ref="F176:H176"/>
    <mergeCell ref="J176:L176"/>
    <mergeCell ref="B193:D193"/>
    <mergeCell ref="F193:H193"/>
    <mergeCell ref="J193:L193"/>
    <mergeCell ref="B142:D142"/>
    <mergeCell ref="F142:H142"/>
    <mergeCell ref="J142:L142"/>
    <mergeCell ref="B159:D159"/>
    <mergeCell ref="F159:H159"/>
    <mergeCell ref="J159:L159"/>
    <mergeCell ref="B108:D108"/>
    <mergeCell ref="F108:H108"/>
    <mergeCell ref="J108:L108"/>
    <mergeCell ref="B125:D125"/>
    <mergeCell ref="F125:H125"/>
    <mergeCell ref="J125:L125"/>
    <mergeCell ref="B91:D91"/>
    <mergeCell ref="F91:H91"/>
    <mergeCell ref="J91:L91"/>
    <mergeCell ref="B40:D40"/>
    <mergeCell ref="F40:H40"/>
    <mergeCell ref="J40:L40"/>
    <mergeCell ref="B57:D57"/>
    <mergeCell ref="F57:H57"/>
    <mergeCell ref="J57:L57"/>
    <mergeCell ref="B6:D6"/>
    <mergeCell ref="F6:H6"/>
    <mergeCell ref="J6:L6"/>
    <mergeCell ref="N6:O6"/>
    <mergeCell ref="Q6:R6"/>
    <mergeCell ref="T6:U6"/>
    <mergeCell ref="B74:D74"/>
    <mergeCell ref="F74:H74"/>
    <mergeCell ref="J74:L74"/>
  </mergeCells>
  <pageMargins left="0.7" right="0.7" top="0.75" bottom="0.75" header="0.3" footer="0.3"/>
  <pageSetup paperSize="9" scale="78" orientation="landscape" r:id="rId1"/>
  <rowBreaks count="1" manualBreakCount="1">
    <brk id="37" max="20" man="1"/>
  </rowBreaks>
  <colBreaks count="1" manualBreakCount="1">
    <brk id="21" max="1048575" man="1"/>
  </colBreaks>
  <drawing r:id="rId2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200-000000000000}">
  <sheetPr codeName="Sheet63"/>
  <dimension ref="A1:AU54"/>
  <sheetViews>
    <sheetView showGridLines="0" zoomScale="85" zoomScaleNormal="85" workbookViewId="0"/>
  </sheetViews>
  <sheetFormatPr defaultColWidth="9.140625" defaultRowHeight="12.75" x14ac:dyDescent="0.2"/>
  <cols>
    <col min="1" max="1" width="39.28515625" customWidth="1"/>
    <col min="2" max="16" width="6.7109375" customWidth="1"/>
    <col min="17" max="17" width="39.28515625" customWidth="1"/>
    <col min="18" max="18" width="6.7109375" customWidth="1"/>
    <col min="19" max="20" width="5.7109375" customWidth="1"/>
    <col min="21" max="21" width="6.7109375" customWidth="1"/>
    <col min="22" max="22" width="2.85546875" customWidth="1"/>
    <col min="23" max="23" width="6.7109375" customWidth="1"/>
    <col min="24" max="25" width="5.7109375" customWidth="1"/>
    <col min="26" max="26" width="6.7109375" customWidth="1"/>
    <col min="27" max="27" width="2.85546875" customWidth="1"/>
    <col min="28" max="29" width="6.7109375" customWidth="1"/>
    <col min="30" max="30" width="5.7109375" customWidth="1"/>
    <col min="31" max="31" width="6.7109375" customWidth="1"/>
    <col min="32" max="32" width="6.85546875" customWidth="1"/>
    <col min="33" max="33" width="39.28515625" customWidth="1"/>
    <col min="34" max="34" width="6.7109375" customWidth="1"/>
    <col min="35" max="36" width="5.7109375" customWidth="1"/>
    <col min="37" max="37" width="6.7109375" customWidth="1"/>
    <col min="38" max="38" width="2.85546875" customWidth="1"/>
    <col min="39" max="39" width="6.7109375" customWidth="1"/>
    <col min="40" max="41" width="5.7109375" customWidth="1"/>
    <col min="42" max="42" width="6.7109375" customWidth="1"/>
    <col min="43" max="43" width="2.85546875" customWidth="1"/>
    <col min="44" max="45" width="6.7109375" customWidth="1"/>
    <col min="46" max="46" width="5.7109375" customWidth="1"/>
    <col min="47" max="47" width="6.7109375" customWidth="1"/>
  </cols>
  <sheetData>
    <row r="1" spans="1:47" ht="15.75" x14ac:dyDescent="0.25">
      <c r="A1" s="19" t="str">
        <f>CONCATENATE("Occupation Table 5  Employment Change by Status (SOC 2020), ",B$5,"-",L$5,", ",Info!B5)</f>
        <v>Occupation Table 5  Employment Change by Status (SOC 2020), 2015-2035, Greater Lincolnshire</v>
      </c>
      <c r="Q1" s="19" t="str">
        <f>CONCATENATE("Occupation Table 5.1  Males: Employment Change by Status (SOC 2020), ",B$5,"-",L$5,", ",Info!B5)</f>
        <v>Occupation Table 5.1  Males: Employment Change by Status (SOC 2020), 2015-2035, Greater Lincolnshire</v>
      </c>
      <c r="AG1" s="19" t="str">
        <f>CONCATENATE("Occupation Table 5.2  Females: Employment Change by Status (SOC 2020), ",R$5,"-",AB$5,", ",Info!B5)</f>
        <v>Occupation Table 5.2  Females: Employment Change by Status (SOC 2020), 2015-2035, Greater Lincolnshire</v>
      </c>
    </row>
    <row r="2" spans="1:47" x14ac:dyDescent="0.2">
      <c r="A2" s="1" t="s">
        <v>517</v>
      </c>
    </row>
    <row r="3" spans="1:47" x14ac:dyDescent="0.2">
      <c r="O3" s="16" t="s">
        <v>36</v>
      </c>
      <c r="AE3" s="16" t="s">
        <v>36</v>
      </c>
      <c r="AU3" s="16" t="s">
        <v>36</v>
      </c>
    </row>
    <row r="4" spans="1:47" x14ac:dyDescent="0.2">
      <c r="A4" s="36"/>
      <c r="B4" s="36"/>
      <c r="C4" s="36"/>
      <c r="D4" s="36"/>
      <c r="E4" s="36"/>
      <c r="F4" s="36"/>
      <c r="G4" s="36"/>
      <c r="H4" s="36"/>
      <c r="I4" s="36"/>
      <c r="J4" s="36"/>
      <c r="K4" s="36"/>
      <c r="L4" s="36"/>
      <c r="M4" s="36"/>
      <c r="N4" s="36"/>
      <c r="O4" s="36"/>
      <c r="Q4" s="36"/>
      <c r="R4" s="36"/>
      <c r="S4" s="36"/>
      <c r="T4" s="36"/>
      <c r="U4" s="36"/>
      <c r="V4" s="36"/>
      <c r="W4" s="36"/>
      <c r="X4" s="36"/>
      <c r="Y4" s="36"/>
      <c r="Z4" s="36"/>
      <c r="AA4" s="36"/>
      <c r="AB4" s="36"/>
      <c r="AC4" s="36"/>
      <c r="AD4" s="36"/>
      <c r="AE4" s="36"/>
      <c r="AG4" s="36"/>
      <c r="AH4" s="36"/>
      <c r="AI4" s="36"/>
      <c r="AJ4" s="36"/>
      <c r="AK4" s="36"/>
      <c r="AL4" s="36"/>
      <c r="AM4" s="36"/>
      <c r="AN4" s="36"/>
      <c r="AO4" s="36"/>
      <c r="AP4" s="36"/>
      <c r="AQ4" s="36"/>
      <c r="AR4" s="36"/>
      <c r="AS4" s="36"/>
      <c r="AT4" s="36"/>
      <c r="AU4" s="36"/>
    </row>
    <row r="5" spans="1:47" x14ac:dyDescent="0.2">
      <c r="B5" s="378">
        <v>2015</v>
      </c>
      <c r="C5" s="378"/>
      <c r="D5" s="378"/>
      <c r="E5" s="378"/>
      <c r="F5" s="1"/>
      <c r="G5" s="378">
        <v>2020</v>
      </c>
      <c r="H5" s="378"/>
      <c r="I5" s="378"/>
      <c r="J5" s="378"/>
      <c r="K5" s="1"/>
      <c r="L5" s="378">
        <v>2035</v>
      </c>
      <c r="M5" s="378"/>
      <c r="N5" s="378"/>
      <c r="O5" s="378"/>
      <c r="R5" s="378">
        <f>B5</f>
        <v>2015</v>
      </c>
      <c r="S5" s="378"/>
      <c r="T5" s="378"/>
      <c r="U5" s="378"/>
      <c r="V5" s="1"/>
      <c r="W5" s="378">
        <f>G5</f>
        <v>2020</v>
      </c>
      <c r="X5" s="378"/>
      <c r="Y5" s="378"/>
      <c r="Z5" s="378"/>
      <c r="AA5" s="1"/>
      <c r="AB5" s="378">
        <f>L5</f>
        <v>2035</v>
      </c>
      <c r="AC5" s="378"/>
      <c r="AD5" s="378"/>
      <c r="AE5" s="378"/>
      <c r="AH5" s="378">
        <f>B5</f>
        <v>2015</v>
      </c>
      <c r="AI5" s="378"/>
      <c r="AJ5" s="378"/>
      <c r="AK5" s="378"/>
      <c r="AL5" s="1"/>
      <c r="AM5" s="378">
        <f>G5</f>
        <v>2020</v>
      </c>
      <c r="AN5" s="378"/>
      <c r="AO5" s="378"/>
      <c r="AP5" s="378"/>
      <c r="AQ5" s="1"/>
      <c r="AR5" s="378">
        <f>L5</f>
        <v>2035</v>
      </c>
      <c r="AS5" s="378"/>
      <c r="AT5" s="378"/>
      <c r="AU5" s="378"/>
    </row>
    <row r="6" spans="1:47" x14ac:dyDescent="0.2">
      <c r="A6" s="41" t="s">
        <v>13</v>
      </c>
      <c r="B6" s="338" t="s">
        <v>345</v>
      </c>
      <c r="C6" s="338" t="s">
        <v>347</v>
      </c>
      <c r="D6" s="338" t="s">
        <v>343</v>
      </c>
      <c r="E6" s="338" t="s">
        <v>33</v>
      </c>
      <c r="F6" s="339"/>
      <c r="G6" s="338" t="s">
        <v>345</v>
      </c>
      <c r="H6" s="338" t="s">
        <v>347</v>
      </c>
      <c r="I6" s="338" t="s">
        <v>343</v>
      </c>
      <c r="J6" s="338" t="s">
        <v>33</v>
      </c>
      <c r="K6" s="339"/>
      <c r="L6" s="338" t="s">
        <v>345</v>
      </c>
      <c r="M6" s="338" t="s">
        <v>347</v>
      </c>
      <c r="N6" s="338" t="s">
        <v>343</v>
      </c>
      <c r="O6" s="338" t="s">
        <v>33</v>
      </c>
      <c r="Q6" s="41" t="s">
        <v>13</v>
      </c>
      <c r="R6" s="338" t="s">
        <v>345</v>
      </c>
      <c r="S6" s="338" t="s">
        <v>347</v>
      </c>
      <c r="T6" s="338" t="s">
        <v>343</v>
      </c>
      <c r="U6" s="338" t="s">
        <v>33</v>
      </c>
      <c r="V6" s="339"/>
      <c r="W6" s="338" t="s">
        <v>345</v>
      </c>
      <c r="X6" s="338" t="s">
        <v>347</v>
      </c>
      <c r="Y6" s="338" t="s">
        <v>343</v>
      </c>
      <c r="Z6" s="338" t="s">
        <v>33</v>
      </c>
      <c r="AA6" s="339"/>
      <c r="AB6" s="338" t="s">
        <v>345</v>
      </c>
      <c r="AC6" s="338" t="s">
        <v>347</v>
      </c>
      <c r="AD6" s="338" t="s">
        <v>343</v>
      </c>
      <c r="AE6" s="338" t="s">
        <v>33</v>
      </c>
      <c r="AG6" s="41" t="s">
        <v>13</v>
      </c>
      <c r="AH6" s="338" t="s">
        <v>345</v>
      </c>
      <c r="AI6" s="338" t="s">
        <v>347</v>
      </c>
      <c r="AJ6" s="338" t="s">
        <v>343</v>
      </c>
      <c r="AK6" s="338" t="s">
        <v>33</v>
      </c>
      <c r="AL6" s="339"/>
      <c r="AM6" s="338" t="s">
        <v>345</v>
      </c>
      <c r="AN6" s="338" t="s">
        <v>347</v>
      </c>
      <c r="AO6" s="338" t="s">
        <v>343</v>
      </c>
      <c r="AP6" s="338" t="s">
        <v>33</v>
      </c>
      <c r="AQ6" s="339"/>
      <c r="AR6" s="338" t="s">
        <v>345</v>
      </c>
      <c r="AS6" s="338" t="s">
        <v>347</v>
      </c>
      <c r="AT6" s="338" t="s">
        <v>343</v>
      </c>
      <c r="AU6" s="338" t="s">
        <v>33</v>
      </c>
    </row>
    <row r="7" spans="1:47" x14ac:dyDescent="0.2">
      <c r="C7" s="10"/>
      <c r="D7" s="10"/>
      <c r="E7" s="10"/>
      <c r="F7" s="10"/>
      <c r="G7" s="10"/>
      <c r="H7" s="10"/>
      <c r="I7" s="10"/>
      <c r="J7" s="10"/>
      <c r="K7" s="10"/>
      <c r="L7" s="10"/>
      <c r="M7" s="10"/>
      <c r="N7" s="10"/>
      <c r="O7" s="10"/>
      <c r="S7" s="10"/>
      <c r="T7" s="10"/>
      <c r="U7" s="10"/>
      <c r="V7" s="10"/>
      <c r="W7" s="10"/>
      <c r="X7" s="10"/>
      <c r="Y7" s="10"/>
      <c r="Z7" s="10"/>
      <c r="AA7" s="10"/>
      <c r="AB7" s="10"/>
      <c r="AC7" s="10"/>
      <c r="AD7" s="10"/>
      <c r="AE7" s="10"/>
      <c r="AI7" s="10"/>
      <c r="AJ7" s="10"/>
      <c r="AK7" s="10"/>
      <c r="AL7" s="10"/>
      <c r="AM7" s="10"/>
      <c r="AN7" s="10"/>
      <c r="AO7" s="10"/>
      <c r="AP7" s="10"/>
      <c r="AQ7" s="10"/>
      <c r="AR7" s="10"/>
      <c r="AS7" s="10"/>
      <c r="AT7" s="10"/>
      <c r="AU7" s="10"/>
    </row>
    <row r="8" spans="1:47" x14ac:dyDescent="0.2">
      <c r="A8" t="str">
        <f>name!E4</f>
        <v>Managers, directors and senior officials</v>
      </c>
      <c r="B8" s="11">
        <v>32.124888949738413</v>
      </c>
      <c r="C8" s="11">
        <v>4.9053751487387522</v>
      </c>
      <c r="D8" s="11">
        <v>8.7003310780554699</v>
      </c>
      <c r="E8" s="11">
        <f>SUM(B8:D8)</f>
        <v>45.730595176532631</v>
      </c>
      <c r="F8" s="11"/>
      <c r="G8" s="11">
        <v>37.225648474060996</v>
      </c>
      <c r="H8" s="11">
        <v>7.3570171524071251</v>
      </c>
      <c r="I8" s="11">
        <v>10.325621311637756</v>
      </c>
      <c r="J8" s="11">
        <f>SUM(G8:I8)</f>
        <v>54.908286938105874</v>
      </c>
      <c r="K8" s="11"/>
      <c r="L8" s="11">
        <v>35.8465340800456</v>
      </c>
      <c r="M8" s="11">
        <v>8.498001478496791</v>
      </c>
      <c r="N8" s="11">
        <v>11.598972041463039</v>
      </c>
      <c r="O8" s="11">
        <f>SUM(L8:N8)</f>
        <v>55.943507600005432</v>
      </c>
      <c r="Q8" s="10" t="str">
        <f>name!E4</f>
        <v>Managers, directors and senior officials</v>
      </c>
      <c r="R8" s="11">
        <v>23.846448633079589</v>
      </c>
      <c r="S8" s="11">
        <v>2.2873758908705906</v>
      </c>
      <c r="T8" s="11">
        <v>5.5795128388759982</v>
      </c>
      <c r="U8" s="11">
        <f>SUM(R8:T8)</f>
        <v>31.713337362826181</v>
      </c>
      <c r="V8" s="11"/>
      <c r="W8" s="11">
        <v>26.978040293384232</v>
      </c>
      <c r="X8" s="11">
        <v>3.4038538008378891</v>
      </c>
      <c r="Y8" s="11">
        <v>6.598953782151483</v>
      </c>
      <c r="Z8" s="11">
        <f>SUM(W8:Y8)</f>
        <v>36.980847876373602</v>
      </c>
      <c r="AA8" s="11"/>
      <c r="AB8" s="11">
        <v>25.377174299492232</v>
      </c>
      <c r="AC8" s="11">
        <v>3.8602710960748645</v>
      </c>
      <c r="AD8" s="11">
        <v>7.5383447206579897</v>
      </c>
      <c r="AE8" s="11">
        <f>SUM(AB8:AD8)</f>
        <v>36.775790116225089</v>
      </c>
      <c r="AG8" s="10" t="str">
        <f>name!E4</f>
        <v>Managers, directors and senior officials</v>
      </c>
      <c r="AH8" s="11">
        <v>8.2784403166588199</v>
      </c>
      <c r="AI8" s="11">
        <v>2.6179992578681639</v>
      </c>
      <c r="AJ8" s="11">
        <v>3.1208182391794721</v>
      </c>
      <c r="AK8" s="11">
        <f>SUM(AH8:AJ8)</f>
        <v>14.017257813706456</v>
      </c>
      <c r="AL8" s="11"/>
      <c r="AM8" s="11">
        <v>10.247608180676728</v>
      </c>
      <c r="AN8" s="11">
        <v>3.9531633515692404</v>
      </c>
      <c r="AO8" s="11">
        <v>3.7266675294862774</v>
      </c>
      <c r="AP8" s="11">
        <f>SUM(AM8:AO8)</f>
        <v>17.927439061732247</v>
      </c>
      <c r="AQ8" s="11"/>
      <c r="AR8" s="11">
        <v>10.469359780553368</v>
      </c>
      <c r="AS8" s="11">
        <v>4.6377303824219318</v>
      </c>
      <c r="AT8" s="11">
        <v>4.0606273208050423</v>
      </c>
      <c r="AU8" s="11">
        <f>SUM(AR8:AT8)</f>
        <v>19.167717483780343</v>
      </c>
    </row>
    <row r="9" spans="1:47" x14ac:dyDescent="0.2">
      <c r="A9" t="str">
        <f>name!E5</f>
        <v>Professional occupations</v>
      </c>
      <c r="B9" s="11">
        <v>58.123504860140137</v>
      </c>
      <c r="C9" s="11">
        <v>15.90053731088241</v>
      </c>
      <c r="D9" s="11">
        <v>10.124018229446222</v>
      </c>
      <c r="E9" s="11">
        <f t="shared" ref="E9:E18" si="0">SUM(B9:D9)</f>
        <v>84.148060400468765</v>
      </c>
      <c r="F9" s="11"/>
      <c r="G9" s="11">
        <v>70.479574950972662</v>
      </c>
      <c r="H9" s="11">
        <v>19.730882024390027</v>
      </c>
      <c r="I9" s="11">
        <v>10.542771536744468</v>
      </c>
      <c r="J9" s="11">
        <f t="shared" ref="J9:J16" si="1">SUM(G9:I9)</f>
        <v>100.75322851210716</v>
      </c>
      <c r="K9" s="11"/>
      <c r="L9" s="11">
        <v>83.956084220305357</v>
      </c>
      <c r="M9" s="11">
        <v>22.793245072244527</v>
      </c>
      <c r="N9" s="11">
        <v>10.521389809716554</v>
      </c>
      <c r="O9" s="11">
        <f t="shared" ref="O9:O16" si="2">SUM(L9:N9)</f>
        <v>117.27071910226644</v>
      </c>
      <c r="Q9" s="10" t="str">
        <f>name!E5</f>
        <v>Professional occupations</v>
      </c>
      <c r="R9" s="11">
        <v>35.632323526723354</v>
      </c>
      <c r="S9" s="11">
        <v>3.22970636993682</v>
      </c>
      <c r="T9" s="11">
        <v>6.5340098193486629</v>
      </c>
      <c r="U9" s="11">
        <f t="shared" ref="U9:U16" si="3">SUM(R9:T9)</f>
        <v>45.396039716008836</v>
      </c>
      <c r="V9" s="11"/>
      <c r="W9" s="11">
        <v>42.152593999767227</v>
      </c>
      <c r="X9" s="11">
        <v>4.9077153657044539</v>
      </c>
      <c r="Y9" s="11">
        <v>5.1966684141608948</v>
      </c>
      <c r="Z9" s="11">
        <f t="shared" ref="Z9:Z16" si="4">SUM(W9:Y9)</f>
        <v>52.256977779632578</v>
      </c>
      <c r="AA9" s="11"/>
      <c r="AB9" s="11">
        <v>51.739174395095418</v>
      </c>
      <c r="AC9" s="11">
        <v>6.4023699406330108</v>
      </c>
      <c r="AD9" s="11">
        <v>4.4155873007224642</v>
      </c>
      <c r="AE9" s="11">
        <f t="shared" ref="AE9:AE16" si="5">SUM(AB9:AD9)</f>
        <v>62.55713163645089</v>
      </c>
      <c r="AG9" s="10" t="str">
        <f>name!E5</f>
        <v>Professional occupations</v>
      </c>
      <c r="AH9" s="11">
        <v>22.491181333416783</v>
      </c>
      <c r="AI9" s="11">
        <v>12.670830940945589</v>
      </c>
      <c r="AJ9" s="11">
        <v>3.5900084100975564</v>
      </c>
      <c r="AK9" s="11">
        <f t="shared" ref="AK9:AK18" si="6">SUM(AH9:AJ9)</f>
        <v>38.752020684459922</v>
      </c>
      <c r="AL9" s="11"/>
      <c r="AM9" s="11">
        <v>28.326980951205442</v>
      </c>
      <c r="AN9" s="11">
        <v>14.823166658685572</v>
      </c>
      <c r="AO9" s="11">
        <v>5.3461031225835729</v>
      </c>
      <c r="AP9" s="11">
        <f t="shared" ref="AP9:AP18" si="7">SUM(AM9:AO9)</f>
        <v>48.496250732474586</v>
      </c>
      <c r="AQ9" s="11"/>
      <c r="AR9" s="11">
        <v>32.21690982520996</v>
      </c>
      <c r="AS9" s="11">
        <v>16.390875131611519</v>
      </c>
      <c r="AT9" s="11">
        <v>6.1058025089940884</v>
      </c>
      <c r="AU9" s="11">
        <f t="shared" ref="AU9:AU18" si="8">SUM(AR9:AT9)</f>
        <v>54.713587465815564</v>
      </c>
    </row>
    <row r="10" spans="1:47" x14ac:dyDescent="0.2">
      <c r="A10" t="str">
        <f>name!E6</f>
        <v>Associate professional occupations</v>
      </c>
      <c r="B10" s="11">
        <v>36.118675160658682</v>
      </c>
      <c r="C10" s="11">
        <v>10.70597358782612</v>
      </c>
      <c r="D10" s="11">
        <v>7.1022367010167358</v>
      </c>
      <c r="E10" s="11">
        <f t="shared" si="0"/>
        <v>53.92688544950154</v>
      </c>
      <c r="F10" s="11"/>
      <c r="G10" s="11">
        <v>41.992424633138782</v>
      </c>
      <c r="H10" s="11">
        <v>12.580887846045348</v>
      </c>
      <c r="I10" s="11">
        <v>6.864060666963181</v>
      </c>
      <c r="J10" s="11">
        <f t="shared" si="1"/>
        <v>61.437373146147316</v>
      </c>
      <c r="K10" s="11"/>
      <c r="L10" s="11">
        <v>47.261335947228083</v>
      </c>
      <c r="M10" s="11">
        <v>15.512393782385566</v>
      </c>
      <c r="N10" s="11">
        <v>7.0251764354693611</v>
      </c>
      <c r="O10" s="11">
        <f t="shared" si="2"/>
        <v>69.798906165083011</v>
      </c>
      <c r="Q10" s="10" t="str">
        <f>name!E6</f>
        <v>Associate professional occupations</v>
      </c>
      <c r="R10" s="11">
        <v>23.597167796862951</v>
      </c>
      <c r="S10" s="11">
        <v>2.7604881479232457</v>
      </c>
      <c r="T10" s="11">
        <v>3.8710104159869059</v>
      </c>
      <c r="U10" s="11">
        <f t="shared" si="3"/>
        <v>30.228666360773101</v>
      </c>
      <c r="V10" s="11"/>
      <c r="W10" s="11">
        <v>26.626489375124073</v>
      </c>
      <c r="X10" s="11">
        <v>3.7385652741561781</v>
      </c>
      <c r="Y10" s="11">
        <v>3.0788311680127398</v>
      </c>
      <c r="Z10" s="11">
        <f t="shared" si="4"/>
        <v>33.443885817292994</v>
      </c>
      <c r="AA10" s="11"/>
      <c r="AB10" s="11">
        <v>25.765743653993237</v>
      </c>
      <c r="AC10" s="11">
        <v>3.7622310124896474</v>
      </c>
      <c r="AD10" s="11">
        <v>3.0924148901220847</v>
      </c>
      <c r="AE10" s="11">
        <f t="shared" si="5"/>
        <v>32.62038955660497</v>
      </c>
      <c r="AG10" s="10" t="str">
        <f>name!E6</f>
        <v>Associate professional occupations</v>
      </c>
      <c r="AH10" s="11">
        <v>12.52150736379574</v>
      </c>
      <c r="AI10" s="11">
        <v>7.9454854399028756</v>
      </c>
      <c r="AJ10" s="11">
        <v>3.2312262850298286</v>
      </c>
      <c r="AK10" s="11">
        <f t="shared" si="6"/>
        <v>23.698219088728443</v>
      </c>
      <c r="AL10" s="11"/>
      <c r="AM10" s="11">
        <v>15.365935258014696</v>
      </c>
      <c r="AN10" s="11">
        <v>8.8423225718891683</v>
      </c>
      <c r="AO10" s="11">
        <v>3.7852294989504394</v>
      </c>
      <c r="AP10" s="11">
        <f t="shared" si="7"/>
        <v>27.993487328854304</v>
      </c>
      <c r="AQ10" s="11"/>
      <c r="AR10" s="11">
        <v>21.495592293234854</v>
      </c>
      <c r="AS10" s="11">
        <v>11.750162769895921</v>
      </c>
      <c r="AT10" s="11">
        <v>3.9327615453472755</v>
      </c>
      <c r="AU10" s="11">
        <f t="shared" si="8"/>
        <v>37.178516608478049</v>
      </c>
    </row>
    <row r="11" spans="1:47" x14ac:dyDescent="0.2">
      <c r="A11" t="str">
        <f>name!E7</f>
        <v>Administrative and secretarial occupations</v>
      </c>
      <c r="B11" s="11">
        <v>27.988936505406894</v>
      </c>
      <c r="C11" s="11">
        <v>21.360782583280649</v>
      </c>
      <c r="D11" s="11">
        <v>2.0166913563954139</v>
      </c>
      <c r="E11" s="11">
        <f t="shared" si="0"/>
        <v>51.366410445082956</v>
      </c>
      <c r="F11" s="11"/>
      <c r="G11" s="11">
        <v>28.565021692605082</v>
      </c>
      <c r="H11" s="11">
        <v>20.400057326964529</v>
      </c>
      <c r="I11" s="11">
        <v>2.1870613924867217</v>
      </c>
      <c r="J11" s="11">
        <f t="shared" si="1"/>
        <v>51.152140412056333</v>
      </c>
      <c r="K11" s="11"/>
      <c r="L11" s="11">
        <v>28.309049124706554</v>
      </c>
      <c r="M11" s="11">
        <v>17.829945478851396</v>
      </c>
      <c r="N11" s="11">
        <v>2.0376316857663075</v>
      </c>
      <c r="O11" s="11">
        <f t="shared" si="2"/>
        <v>48.176626289324254</v>
      </c>
      <c r="Q11" s="10" t="str">
        <f>name!E7</f>
        <v>Administrative and secretarial occupations</v>
      </c>
      <c r="R11" s="11">
        <v>8.3549911949939695</v>
      </c>
      <c r="S11" s="11">
        <v>1.9957659347227859</v>
      </c>
      <c r="T11" s="11">
        <v>0.46892522744685528</v>
      </c>
      <c r="U11" s="11">
        <f t="shared" si="3"/>
        <v>10.819682357163609</v>
      </c>
      <c r="V11" s="11"/>
      <c r="W11" s="11">
        <v>9.2049383619181668</v>
      </c>
      <c r="X11" s="11">
        <v>2.2737289356543369</v>
      </c>
      <c r="Y11" s="11">
        <v>0.36388404621646941</v>
      </c>
      <c r="Z11" s="11">
        <f t="shared" si="4"/>
        <v>11.842551343788973</v>
      </c>
      <c r="AA11" s="11"/>
      <c r="AB11" s="11">
        <v>11.018712073529835</v>
      </c>
      <c r="AC11" s="11">
        <v>2.0310226142368069</v>
      </c>
      <c r="AD11" s="11">
        <v>0.44750996988705333</v>
      </c>
      <c r="AE11" s="11">
        <f t="shared" si="5"/>
        <v>13.497244657653695</v>
      </c>
      <c r="AG11" s="10" t="str">
        <f>name!E7</f>
        <v>Administrative and secretarial occupations</v>
      </c>
      <c r="AH11" s="11">
        <v>19.633945310412898</v>
      </c>
      <c r="AI11" s="11">
        <v>19.365016648557866</v>
      </c>
      <c r="AJ11" s="11">
        <v>1.5477661289485587</v>
      </c>
      <c r="AK11" s="11">
        <f t="shared" si="6"/>
        <v>40.546728087919327</v>
      </c>
      <c r="AL11" s="11"/>
      <c r="AM11" s="11">
        <v>19.360083330686905</v>
      </c>
      <c r="AN11" s="11">
        <v>18.126328391310196</v>
      </c>
      <c r="AO11" s="11">
        <v>1.8231773462702527</v>
      </c>
      <c r="AP11" s="11">
        <f t="shared" si="7"/>
        <v>39.309589068267357</v>
      </c>
      <c r="AQ11" s="11"/>
      <c r="AR11" s="11">
        <v>17.290337051176735</v>
      </c>
      <c r="AS11" s="11">
        <v>15.798922864614589</v>
      </c>
      <c r="AT11" s="11">
        <v>1.590121715879254</v>
      </c>
      <c r="AU11" s="11">
        <f t="shared" si="8"/>
        <v>34.67938163167058</v>
      </c>
    </row>
    <row r="12" spans="1:47" x14ac:dyDescent="0.2">
      <c r="A12" t="str">
        <f>name!E8</f>
        <v>Skilled trades occupations</v>
      </c>
      <c r="B12" s="11">
        <v>32.216209317291614</v>
      </c>
      <c r="C12" s="11">
        <v>6.0536797029093563</v>
      </c>
      <c r="D12" s="11">
        <v>17.30217898290342</v>
      </c>
      <c r="E12" s="11">
        <f t="shared" si="0"/>
        <v>55.572068003104391</v>
      </c>
      <c r="F12" s="11"/>
      <c r="G12" s="11">
        <v>28.235574721845367</v>
      </c>
      <c r="H12" s="11">
        <v>4.7166505579875784</v>
      </c>
      <c r="I12" s="11">
        <v>15.580715667550212</v>
      </c>
      <c r="J12" s="11">
        <f t="shared" si="1"/>
        <v>48.532940947383153</v>
      </c>
      <c r="K12" s="11"/>
      <c r="L12" s="11">
        <v>22.887355037126532</v>
      </c>
      <c r="M12" s="11">
        <v>5.1853532036394334</v>
      </c>
      <c r="N12" s="11">
        <v>15.16218218062561</v>
      </c>
      <c r="O12" s="11">
        <f t="shared" si="2"/>
        <v>43.234890421391576</v>
      </c>
      <c r="Q12" s="10" t="str">
        <f>name!E8</f>
        <v>Skilled trades occupations</v>
      </c>
      <c r="R12" s="11">
        <v>29.283122201621811</v>
      </c>
      <c r="S12" s="11">
        <v>4.2346246868090072</v>
      </c>
      <c r="T12" s="11">
        <v>15.290349264841749</v>
      </c>
      <c r="U12" s="11">
        <f t="shared" si="3"/>
        <v>48.808096153272572</v>
      </c>
      <c r="V12" s="11"/>
      <c r="W12" s="11">
        <v>25.174925275533024</v>
      </c>
      <c r="X12" s="11">
        <v>3.1326249550253515</v>
      </c>
      <c r="Y12" s="11">
        <v>13.24545656844354</v>
      </c>
      <c r="Z12" s="11">
        <f t="shared" si="4"/>
        <v>41.553006799001921</v>
      </c>
      <c r="AA12" s="11"/>
      <c r="AB12" s="11">
        <v>19.846937134065467</v>
      </c>
      <c r="AC12" s="11">
        <v>3.6598188101594853</v>
      </c>
      <c r="AD12" s="11">
        <v>12.735918425017799</v>
      </c>
      <c r="AE12" s="11">
        <f t="shared" si="5"/>
        <v>36.242674369242749</v>
      </c>
      <c r="AG12" s="10" t="str">
        <f>name!E8</f>
        <v>Skilled trades occupations</v>
      </c>
      <c r="AH12" s="11">
        <v>2.9330871156697969</v>
      </c>
      <c r="AI12" s="11">
        <v>1.8190550161003498</v>
      </c>
      <c r="AJ12" s="11">
        <v>2.0118297180616742</v>
      </c>
      <c r="AK12" s="11">
        <f t="shared" si="6"/>
        <v>6.7639718498318206</v>
      </c>
      <c r="AL12" s="11"/>
      <c r="AM12" s="11">
        <v>3.060649446312357</v>
      </c>
      <c r="AN12" s="11">
        <v>1.5840256029622264</v>
      </c>
      <c r="AO12" s="11">
        <v>2.3352590991066711</v>
      </c>
      <c r="AP12" s="11">
        <f t="shared" si="7"/>
        <v>6.9799341483812549</v>
      </c>
      <c r="AQ12" s="11"/>
      <c r="AR12" s="11">
        <v>3.0404179030610599</v>
      </c>
      <c r="AS12" s="11">
        <v>1.5255343934799461</v>
      </c>
      <c r="AT12" s="11">
        <v>2.4262637556078102</v>
      </c>
      <c r="AU12" s="11">
        <f t="shared" si="8"/>
        <v>6.9922160521488159</v>
      </c>
    </row>
    <row r="13" spans="1:47" x14ac:dyDescent="0.2">
      <c r="A13" t="str">
        <f>name!E9</f>
        <v>Caring, leisure and other service occupations</v>
      </c>
      <c r="B13" s="11">
        <v>25.456104414765019</v>
      </c>
      <c r="C13" s="11">
        <v>25.478719641629112</v>
      </c>
      <c r="D13" s="11">
        <v>4.2863507505297669</v>
      </c>
      <c r="E13" s="11">
        <f t="shared" si="0"/>
        <v>55.221174806923898</v>
      </c>
      <c r="F13" s="11"/>
      <c r="G13" s="11">
        <v>25.732028012790355</v>
      </c>
      <c r="H13" s="11">
        <v>24.721241766096707</v>
      </c>
      <c r="I13" s="11">
        <v>6.3932282418016113</v>
      </c>
      <c r="J13" s="11">
        <f t="shared" si="1"/>
        <v>56.846498020688671</v>
      </c>
      <c r="K13" s="11"/>
      <c r="L13" s="11">
        <v>29.200979976455056</v>
      </c>
      <c r="M13" s="11">
        <v>24.179065808602182</v>
      </c>
      <c r="N13" s="11">
        <v>7.0476004319228212</v>
      </c>
      <c r="O13" s="11">
        <f t="shared" si="2"/>
        <v>60.427646216980058</v>
      </c>
      <c r="Q13" s="10" t="str">
        <f>name!E9</f>
        <v>Caring, leisure and other service occupations</v>
      </c>
      <c r="R13" s="11">
        <v>6.433908447115023</v>
      </c>
      <c r="S13" s="11">
        <v>2.9236643332715189</v>
      </c>
      <c r="T13" s="11">
        <v>0.73763605347606453</v>
      </c>
      <c r="U13" s="11">
        <f t="shared" si="3"/>
        <v>10.095208833862607</v>
      </c>
      <c r="V13" s="11"/>
      <c r="W13" s="11">
        <v>6.6471966312585531</v>
      </c>
      <c r="X13" s="11">
        <v>3.339349282821789</v>
      </c>
      <c r="Y13" s="11">
        <v>0.80494188096796349</v>
      </c>
      <c r="Z13" s="11">
        <f t="shared" si="4"/>
        <v>10.791487795048305</v>
      </c>
      <c r="AA13" s="11"/>
      <c r="AB13" s="11">
        <v>7.6652859904185133</v>
      </c>
      <c r="AC13" s="11">
        <v>4.442161310768209</v>
      </c>
      <c r="AD13" s="11">
        <v>1.1762669904831902</v>
      </c>
      <c r="AE13" s="11">
        <f t="shared" si="5"/>
        <v>13.283714291669913</v>
      </c>
      <c r="AG13" s="10" t="str">
        <f>name!E9</f>
        <v>Caring, leisure and other service occupations</v>
      </c>
      <c r="AH13" s="11">
        <v>19.022195967649989</v>
      </c>
      <c r="AI13" s="11">
        <v>22.555055308357602</v>
      </c>
      <c r="AJ13" s="11">
        <v>3.5487146970537018</v>
      </c>
      <c r="AK13" s="11">
        <f t="shared" si="6"/>
        <v>45.125965973061291</v>
      </c>
      <c r="AL13" s="11"/>
      <c r="AM13" s="11">
        <v>19.084831381531796</v>
      </c>
      <c r="AN13" s="11">
        <v>21.381892483274921</v>
      </c>
      <c r="AO13" s="11">
        <v>5.5882863608336475</v>
      </c>
      <c r="AP13" s="11">
        <f t="shared" si="7"/>
        <v>46.055010225640366</v>
      </c>
      <c r="AQ13" s="11"/>
      <c r="AR13" s="11">
        <v>21.535693986036549</v>
      </c>
      <c r="AS13" s="11">
        <v>19.736904497833972</v>
      </c>
      <c r="AT13" s="11">
        <v>5.8713334414396305</v>
      </c>
      <c r="AU13" s="11">
        <f t="shared" si="8"/>
        <v>47.143931925310156</v>
      </c>
    </row>
    <row r="14" spans="1:47" x14ac:dyDescent="0.2">
      <c r="A14" t="str">
        <f>name!E10</f>
        <v>Sales and customer service occupations</v>
      </c>
      <c r="B14" s="11">
        <v>16.086824105270988</v>
      </c>
      <c r="C14" s="11">
        <v>27.091104894006449</v>
      </c>
      <c r="D14" s="11">
        <v>3.1901431714171768</v>
      </c>
      <c r="E14" s="11">
        <f t="shared" si="0"/>
        <v>46.368072170694617</v>
      </c>
      <c r="F14" s="11"/>
      <c r="G14" s="11">
        <v>14.325266904666776</v>
      </c>
      <c r="H14" s="11">
        <v>26.030095951398145</v>
      </c>
      <c r="I14" s="11">
        <v>2.4721109847399787</v>
      </c>
      <c r="J14" s="11">
        <f t="shared" si="1"/>
        <v>42.827473840804899</v>
      </c>
      <c r="K14" s="11"/>
      <c r="L14" s="11">
        <v>13.569735353427459</v>
      </c>
      <c r="M14" s="11">
        <v>27.023587556748616</v>
      </c>
      <c r="N14" s="11">
        <v>1.9281752292118683</v>
      </c>
      <c r="O14" s="11">
        <f t="shared" si="2"/>
        <v>42.521498139387944</v>
      </c>
      <c r="Q14" s="10" t="str">
        <f>name!E10</f>
        <v>Sales and customer service occupations</v>
      </c>
      <c r="R14" s="11">
        <v>6.6636015898165839</v>
      </c>
      <c r="S14" s="11">
        <v>8.2721634009154617</v>
      </c>
      <c r="T14" s="11">
        <v>1.6010455380201616</v>
      </c>
      <c r="U14" s="11">
        <f t="shared" si="3"/>
        <v>16.536810528752209</v>
      </c>
      <c r="V14" s="11"/>
      <c r="W14" s="11">
        <v>6.2082504231763576</v>
      </c>
      <c r="X14" s="11">
        <v>8.236872192723288</v>
      </c>
      <c r="Y14" s="11">
        <v>1.490779343022562</v>
      </c>
      <c r="Z14" s="11">
        <f t="shared" si="4"/>
        <v>15.935901958922207</v>
      </c>
      <c r="AA14" s="11"/>
      <c r="AB14" s="11">
        <v>6.1200978014749543</v>
      </c>
      <c r="AC14" s="11">
        <v>9.1526433732065229</v>
      </c>
      <c r="AD14" s="11">
        <v>1.2452606074323247</v>
      </c>
      <c r="AE14" s="11">
        <f t="shared" si="5"/>
        <v>16.518001782113803</v>
      </c>
      <c r="AG14" s="10" t="str">
        <f>name!E10</f>
        <v>Sales and customer service occupations</v>
      </c>
      <c r="AH14" s="11">
        <v>9.4232225154544107</v>
      </c>
      <c r="AI14" s="11">
        <v>18.818941493090982</v>
      </c>
      <c r="AJ14" s="11">
        <v>1.5890976333970162</v>
      </c>
      <c r="AK14" s="11">
        <f t="shared" si="6"/>
        <v>29.831261641942412</v>
      </c>
      <c r="AL14" s="11"/>
      <c r="AM14" s="11">
        <v>8.1170164814904258</v>
      </c>
      <c r="AN14" s="11">
        <v>17.793223758674849</v>
      </c>
      <c r="AO14" s="11">
        <v>0.98133164171741616</v>
      </c>
      <c r="AP14" s="11">
        <f t="shared" si="7"/>
        <v>26.89157188188269</v>
      </c>
      <c r="AQ14" s="11"/>
      <c r="AR14" s="11">
        <v>7.4496375519525024</v>
      </c>
      <c r="AS14" s="11">
        <v>17.870944183542093</v>
      </c>
      <c r="AT14" s="11">
        <v>0.68291462177954332</v>
      </c>
      <c r="AU14" s="11">
        <f t="shared" si="8"/>
        <v>26.003496357274138</v>
      </c>
    </row>
    <row r="15" spans="1:47" x14ac:dyDescent="0.2">
      <c r="A15" t="str">
        <f>name!E11</f>
        <v>Process, plant and machine operatives</v>
      </c>
      <c r="B15" s="11">
        <v>34.619754303789932</v>
      </c>
      <c r="C15" s="11">
        <v>5.8071346046203578</v>
      </c>
      <c r="D15" s="11">
        <v>4.2949232058574323</v>
      </c>
      <c r="E15" s="11">
        <f t="shared" si="0"/>
        <v>44.721812114267721</v>
      </c>
      <c r="F15" s="11"/>
      <c r="G15" s="11">
        <v>29.605475572804092</v>
      </c>
      <c r="H15" s="11">
        <v>6.767114119537335</v>
      </c>
      <c r="I15" s="11">
        <v>5.1564790709190946</v>
      </c>
      <c r="J15" s="11">
        <f t="shared" si="1"/>
        <v>41.529068763260526</v>
      </c>
      <c r="K15" s="11"/>
      <c r="L15" s="11">
        <v>25.884173866391105</v>
      </c>
      <c r="M15" s="11">
        <v>7.5933719142959548</v>
      </c>
      <c r="N15" s="11">
        <v>5.7829763279168702</v>
      </c>
      <c r="O15" s="11">
        <f t="shared" si="2"/>
        <v>39.260522108603929</v>
      </c>
      <c r="Q15" s="10" t="str">
        <f>name!E11</f>
        <v>Process, plant and machine operatives</v>
      </c>
      <c r="R15" s="11">
        <v>29.947764073789422</v>
      </c>
      <c r="S15" s="11">
        <v>4.0065333322933379</v>
      </c>
      <c r="T15" s="11">
        <v>3.818503011004573</v>
      </c>
      <c r="U15" s="11">
        <f t="shared" si="3"/>
        <v>37.772800417087332</v>
      </c>
      <c r="V15" s="11"/>
      <c r="W15" s="11">
        <v>25.934256716741793</v>
      </c>
      <c r="X15" s="11">
        <v>4.9911594587492694</v>
      </c>
      <c r="Y15" s="11">
        <v>4.4798570799309871</v>
      </c>
      <c r="Z15" s="11">
        <f t="shared" si="4"/>
        <v>35.405273255422046</v>
      </c>
      <c r="AA15" s="11"/>
      <c r="AB15" s="11">
        <v>21.515297616764599</v>
      </c>
      <c r="AC15" s="11">
        <v>5.2315022368496438</v>
      </c>
      <c r="AD15" s="11">
        <v>5.1050063706108961</v>
      </c>
      <c r="AE15" s="11">
        <f t="shared" si="5"/>
        <v>31.851806224225136</v>
      </c>
      <c r="AG15" s="10" t="str">
        <f>name!E11</f>
        <v>Process, plant and machine operatives</v>
      </c>
      <c r="AH15" s="11">
        <v>4.6719902300004916</v>
      </c>
      <c r="AI15" s="11">
        <v>1.8006012723270215</v>
      </c>
      <c r="AJ15" s="11">
        <v>0.47642019485285741</v>
      </c>
      <c r="AK15" s="11">
        <f t="shared" si="6"/>
        <v>6.9490116971803708</v>
      </c>
      <c r="AL15" s="11"/>
      <c r="AM15" s="11">
        <v>3.6712188560622931</v>
      </c>
      <c r="AN15" s="11">
        <v>1.7759546607880645</v>
      </c>
      <c r="AO15" s="11">
        <v>0.6766219909881056</v>
      </c>
      <c r="AP15" s="11">
        <f t="shared" si="7"/>
        <v>6.1237955078384632</v>
      </c>
      <c r="AQ15" s="11"/>
      <c r="AR15" s="11">
        <v>4.3688762496265054</v>
      </c>
      <c r="AS15" s="11">
        <v>2.3618696774463106</v>
      </c>
      <c r="AT15" s="11">
        <v>0.67796995730597709</v>
      </c>
      <c r="AU15" s="11">
        <f t="shared" si="8"/>
        <v>7.4087158843787924</v>
      </c>
    </row>
    <row r="16" spans="1:47" x14ac:dyDescent="0.2">
      <c r="A16" t="str">
        <f>name!E12</f>
        <v>Elementary occupations</v>
      </c>
      <c r="B16" s="11">
        <v>31.606342166911606</v>
      </c>
      <c r="C16" s="11">
        <v>29.545115592858288</v>
      </c>
      <c r="D16" s="11">
        <v>3.3984636736536942</v>
      </c>
      <c r="E16" s="11">
        <f t="shared" si="0"/>
        <v>64.549921433423592</v>
      </c>
      <c r="F16" s="11"/>
      <c r="G16" s="11">
        <v>27.052054550187613</v>
      </c>
      <c r="H16" s="11">
        <v>26.525462014006347</v>
      </c>
      <c r="I16" s="11">
        <v>3.280472855252432</v>
      </c>
      <c r="J16" s="11">
        <f t="shared" si="1"/>
        <v>56.85798941944639</v>
      </c>
      <c r="K16" s="11"/>
      <c r="L16" s="11">
        <v>29.775462458490626</v>
      </c>
      <c r="M16" s="11">
        <v>22.148004356991574</v>
      </c>
      <c r="N16" s="11">
        <v>4.354217141475214</v>
      </c>
      <c r="O16" s="11">
        <f t="shared" si="2"/>
        <v>56.277683956957418</v>
      </c>
      <c r="Q16" s="10" t="str">
        <f>name!E12</f>
        <v>Elementary occupations</v>
      </c>
      <c r="R16" s="11">
        <v>23.905804182998544</v>
      </c>
      <c r="S16" s="11">
        <v>9.9521553327492214</v>
      </c>
      <c r="T16" s="11">
        <v>2.2517211217161424</v>
      </c>
      <c r="U16" s="11">
        <f t="shared" si="3"/>
        <v>36.10968063746391</v>
      </c>
      <c r="V16" s="11"/>
      <c r="W16" s="11">
        <v>20.343113903493037</v>
      </c>
      <c r="X16" s="11">
        <v>8.716458308697776</v>
      </c>
      <c r="Y16" s="11">
        <v>2.2110432458451506</v>
      </c>
      <c r="Z16" s="11">
        <f t="shared" si="4"/>
        <v>31.270615458035966</v>
      </c>
      <c r="AA16" s="11"/>
      <c r="AB16" s="11">
        <v>21.844272927194048</v>
      </c>
      <c r="AC16" s="11">
        <v>6.758993764622196</v>
      </c>
      <c r="AD16" s="11">
        <v>2.9271064339411406</v>
      </c>
      <c r="AE16" s="11">
        <f t="shared" si="5"/>
        <v>31.530373125757386</v>
      </c>
      <c r="AG16" s="10" t="str">
        <f>name!E12</f>
        <v>Elementary occupations</v>
      </c>
      <c r="AH16" s="11">
        <v>7.7005379839130494</v>
      </c>
      <c r="AI16" s="11">
        <v>19.592960260109084</v>
      </c>
      <c r="AJ16" s="11">
        <v>1.146742551937552</v>
      </c>
      <c r="AK16" s="11">
        <f t="shared" si="6"/>
        <v>28.440240795959685</v>
      </c>
      <c r="AL16" s="11"/>
      <c r="AM16" s="11">
        <v>6.7089406466945709</v>
      </c>
      <c r="AN16" s="11">
        <v>17.809003705308562</v>
      </c>
      <c r="AO16" s="11">
        <v>1.0694296094072802</v>
      </c>
      <c r="AP16" s="11">
        <f t="shared" si="7"/>
        <v>25.587373961410414</v>
      </c>
      <c r="AQ16" s="11"/>
      <c r="AR16" s="11">
        <v>7.9311895312966083</v>
      </c>
      <c r="AS16" s="11">
        <v>15.389010592369395</v>
      </c>
      <c r="AT16" s="11">
        <v>1.4271107075340743</v>
      </c>
      <c r="AU16" s="11">
        <f t="shared" si="8"/>
        <v>24.747310831200078</v>
      </c>
    </row>
    <row r="17" spans="1:47" x14ac:dyDescent="0.2">
      <c r="B17" s="11"/>
      <c r="C17" s="11"/>
      <c r="D17" s="11"/>
      <c r="E17" s="11"/>
      <c r="F17" s="11"/>
      <c r="G17" s="11"/>
      <c r="H17" s="11"/>
      <c r="I17" s="11"/>
      <c r="J17" s="11"/>
      <c r="K17" s="11"/>
      <c r="L17" s="11"/>
      <c r="M17" s="11"/>
      <c r="N17" s="11"/>
      <c r="O17" s="11"/>
      <c r="Q17" s="10"/>
      <c r="R17" s="11"/>
      <c r="S17" s="11"/>
      <c r="T17" s="11"/>
      <c r="U17" s="11"/>
      <c r="V17" s="11"/>
      <c r="W17" s="11"/>
      <c r="X17" s="11"/>
      <c r="Y17" s="11"/>
      <c r="Z17" s="11"/>
      <c r="AA17" s="11"/>
      <c r="AB17" s="11"/>
      <c r="AC17" s="11"/>
      <c r="AD17" s="11"/>
      <c r="AE17" s="11"/>
      <c r="AH17" s="11"/>
      <c r="AI17" s="11"/>
      <c r="AJ17" s="11"/>
      <c r="AK17" s="11"/>
      <c r="AL17" s="11"/>
      <c r="AM17" s="11"/>
      <c r="AN17" s="11"/>
      <c r="AO17" s="11"/>
      <c r="AP17" s="11"/>
      <c r="AQ17" s="11"/>
      <c r="AR17" s="11"/>
      <c r="AS17" s="11"/>
      <c r="AT17" s="11"/>
      <c r="AU17" s="11"/>
    </row>
    <row r="18" spans="1:47" x14ac:dyDescent="0.2">
      <c r="A18" s="24" t="str">
        <f>name!E3</f>
        <v>All occupations</v>
      </c>
      <c r="B18" s="34">
        <f>SUM(B8:B16)</f>
        <v>294.34123978397321</v>
      </c>
      <c r="C18" s="34">
        <f t="shared" ref="C18:D18" si="9">SUM(C8:C16)</f>
        <v>146.84842306675151</v>
      </c>
      <c r="D18" s="34">
        <f t="shared" si="9"/>
        <v>60.415337149275331</v>
      </c>
      <c r="E18" s="34">
        <f t="shared" si="0"/>
        <v>501.60500000000008</v>
      </c>
      <c r="F18" s="34"/>
      <c r="G18" s="34">
        <f>SUM(G8:G16)</f>
        <v>303.21306951307173</v>
      </c>
      <c r="H18" s="34">
        <f t="shared" ref="H18:I18" si="10">SUM(H8:H16)</f>
        <v>148.82940875883315</v>
      </c>
      <c r="I18" s="34">
        <f t="shared" si="10"/>
        <v>62.802521728095449</v>
      </c>
      <c r="J18" s="34">
        <f t="shared" ref="J18" si="11">SUM(G18:I18)</f>
        <v>514.84500000000037</v>
      </c>
      <c r="K18" s="34"/>
      <c r="L18" s="34">
        <f>SUM(L8:L16)</f>
        <v>316.6907100641763</v>
      </c>
      <c r="M18" s="34">
        <f t="shared" ref="M18:N18" si="12">SUM(M8:M16)</f>
        <v>150.76296865225603</v>
      </c>
      <c r="N18" s="34">
        <f t="shared" si="12"/>
        <v>65.458321283567656</v>
      </c>
      <c r="O18" s="34">
        <f>SUM(L18:N18)</f>
        <v>532.91200000000003</v>
      </c>
      <c r="Q18" s="231" t="str">
        <f>name!E3</f>
        <v>All occupations</v>
      </c>
      <c r="R18" s="34">
        <f>SUM(R8:R16)</f>
        <v>187.66513164700123</v>
      </c>
      <c r="S18" s="34">
        <f t="shared" ref="S18:T18" si="13">SUM(S8:S16)</f>
        <v>39.662477429491986</v>
      </c>
      <c r="T18" s="34">
        <f t="shared" si="13"/>
        <v>40.152713290717116</v>
      </c>
      <c r="U18" s="34">
        <f t="shared" ref="U18" si="14">SUM(R18:T18)</f>
        <v>267.48032236721031</v>
      </c>
      <c r="V18" s="34"/>
      <c r="W18" s="34">
        <f>SUM(W8:W16)</f>
        <v>189.26980498039651</v>
      </c>
      <c r="X18" s="34">
        <f t="shared" ref="X18:Y18" si="15">SUM(X8:X16)</f>
        <v>42.740327574370333</v>
      </c>
      <c r="Y18" s="34">
        <f t="shared" si="15"/>
        <v>37.470415528751786</v>
      </c>
      <c r="Z18" s="34">
        <f t="shared" ref="Z18" si="16">SUM(W18:Y18)</f>
        <v>269.48054808351861</v>
      </c>
      <c r="AA18" s="34"/>
      <c r="AB18" s="34">
        <f>SUM(AB8:AB16)</f>
        <v>190.89269589202831</v>
      </c>
      <c r="AC18" s="34">
        <f t="shared" ref="AC18:AD18" si="17">SUM(AC8:AC16)</f>
        <v>45.301014159040392</v>
      </c>
      <c r="AD18" s="34">
        <f t="shared" si="17"/>
        <v>38.683415708874939</v>
      </c>
      <c r="AE18" s="34">
        <f t="shared" ref="AE18" si="18">SUM(AB18:AD18)</f>
        <v>274.87712575994362</v>
      </c>
      <c r="AG18" s="231" t="str">
        <f>name!E3</f>
        <v>All occupations</v>
      </c>
      <c r="AH18" s="34">
        <f>SUM(AH8:AH16)</f>
        <v>106.67610813697198</v>
      </c>
      <c r="AI18" s="34">
        <f t="shared" ref="AI18:AJ18" si="19">SUM(AI8:AI16)</f>
        <v>107.18594563725954</v>
      </c>
      <c r="AJ18" s="34">
        <f t="shared" si="19"/>
        <v>20.262623858558221</v>
      </c>
      <c r="AK18" s="34">
        <f t="shared" si="6"/>
        <v>234.12467763278974</v>
      </c>
      <c r="AL18" s="34"/>
      <c r="AM18" s="34">
        <f>SUM(AM8:AM16)</f>
        <v>113.94326453267522</v>
      </c>
      <c r="AN18" s="34">
        <f t="shared" ref="AN18:AO18" si="20">SUM(AN8:AN16)</f>
        <v>106.0890811844628</v>
      </c>
      <c r="AO18" s="34">
        <f t="shared" si="20"/>
        <v>25.332106199343666</v>
      </c>
      <c r="AP18" s="34">
        <f t="shared" si="7"/>
        <v>245.36445191648167</v>
      </c>
      <c r="AQ18" s="34"/>
      <c r="AR18" s="34">
        <f>SUM(AR8:AR16)</f>
        <v>125.79801417214814</v>
      </c>
      <c r="AS18" s="34">
        <f t="shared" ref="AS18:AT18" si="21">SUM(AS8:AS16)</f>
        <v>105.46195449321567</v>
      </c>
      <c r="AT18" s="34">
        <f t="shared" si="21"/>
        <v>26.774905574692696</v>
      </c>
      <c r="AU18" s="34">
        <f t="shared" si="8"/>
        <v>258.03487424005652</v>
      </c>
    </row>
    <row r="19" spans="1:47" x14ac:dyDescent="0.2">
      <c r="B19" s="11"/>
      <c r="C19" s="11"/>
      <c r="D19" s="11"/>
      <c r="E19" s="11"/>
      <c r="F19" s="11"/>
      <c r="G19" s="11"/>
      <c r="H19" s="11"/>
      <c r="I19" s="11"/>
      <c r="J19" s="11"/>
      <c r="K19" s="11"/>
      <c r="L19" s="11"/>
      <c r="M19" s="11"/>
      <c r="N19" s="11"/>
      <c r="O19" s="11"/>
      <c r="R19" s="11"/>
      <c r="S19" s="11"/>
      <c r="T19" s="11"/>
      <c r="U19" s="11"/>
      <c r="V19" s="11"/>
      <c r="W19" s="11"/>
      <c r="X19" s="11"/>
      <c r="Y19" s="11"/>
      <c r="Z19" s="11"/>
      <c r="AA19" s="11"/>
      <c r="AB19" s="11"/>
      <c r="AC19" s="11"/>
      <c r="AD19" s="11"/>
      <c r="AE19" s="11"/>
      <c r="AH19" s="11"/>
      <c r="AI19" s="11"/>
      <c r="AJ19" s="11"/>
      <c r="AK19" s="11"/>
      <c r="AL19" s="11"/>
      <c r="AM19" s="11"/>
      <c r="AN19" s="11"/>
      <c r="AO19" s="11"/>
      <c r="AP19" s="11"/>
      <c r="AQ19" s="11"/>
      <c r="AR19" s="11"/>
      <c r="AS19" s="11"/>
      <c r="AT19" s="11"/>
      <c r="AU19" s="11"/>
    </row>
    <row r="20" spans="1:47" x14ac:dyDescent="0.2">
      <c r="B20" s="11"/>
      <c r="C20" s="11"/>
      <c r="D20" s="11"/>
      <c r="E20" s="11"/>
      <c r="F20" s="11"/>
      <c r="G20" s="11"/>
      <c r="H20" s="11"/>
      <c r="I20" s="11"/>
      <c r="J20" s="11"/>
      <c r="K20" s="11"/>
      <c r="L20" s="11"/>
      <c r="M20" s="11"/>
      <c r="N20" s="11"/>
      <c r="O20" s="11"/>
      <c r="R20" s="11"/>
      <c r="S20" s="11"/>
      <c r="T20" s="11"/>
      <c r="U20" s="11"/>
      <c r="V20" s="11"/>
      <c r="W20" s="11"/>
      <c r="X20" s="11"/>
      <c r="Y20" s="11"/>
      <c r="Z20" s="11"/>
      <c r="AA20" s="11"/>
      <c r="AB20" s="11"/>
      <c r="AC20" s="11"/>
      <c r="AD20" s="11"/>
      <c r="AE20" s="11"/>
      <c r="AH20" s="11"/>
      <c r="AI20" s="11"/>
      <c r="AJ20" s="11"/>
      <c r="AK20" s="11"/>
      <c r="AL20" s="11"/>
      <c r="AM20" s="11"/>
      <c r="AN20" s="11"/>
      <c r="AO20" s="11"/>
      <c r="AP20" s="11"/>
      <c r="AQ20" s="11"/>
      <c r="AR20" s="11"/>
      <c r="AS20" s="11"/>
      <c r="AT20" s="11"/>
      <c r="AU20" s="11"/>
    </row>
    <row r="21" spans="1:47" x14ac:dyDescent="0.2">
      <c r="B21" s="11"/>
      <c r="C21" s="11"/>
      <c r="D21" s="11"/>
      <c r="E21" s="11"/>
      <c r="F21" s="11"/>
      <c r="G21" s="11"/>
      <c r="H21" s="11"/>
      <c r="I21" s="11"/>
      <c r="J21" s="11"/>
      <c r="K21" s="11"/>
      <c r="L21" s="11"/>
      <c r="M21" s="11"/>
      <c r="N21" s="11"/>
      <c r="O21" s="16" t="s">
        <v>35</v>
      </c>
      <c r="R21" s="11"/>
      <c r="S21" s="11"/>
      <c r="T21" s="11"/>
      <c r="U21" s="11"/>
      <c r="V21" s="11"/>
      <c r="W21" s="11"/>
      <c r="X21" s="11"/>
      <c r="Y21" s="11"/>
      <c r="Z21" s="11"/>
      <c r="AA21" s="11"/>
      <c r="AB21" s="11"/>
      <c r="AC21" s="11"/>
      <c r="AD21" s="11"/>
      <c r="AE21" s="16" t="s">
        <v>35</v>
      </c>
      <c r="AH21" s="11"/>
      <c r="AI21" s="11"/>
      <c r="AJ21" s="11"/>
      <c r="AK21" s="11"/>
      <c r="AL21" s="11"/>
      <c r="AM21" s="11"/>
      <c r="AN21" s="11"/>
      <c r="AO21" s="11"/>
      <c r="AP21" s="11"/>
      <c r="AQ21" s="11"/>
      <c r="AR21" s="11"/>
      <c r="AS21" s="11"/>
      <c r="AT21" s="11"/>
      <c r="AU21" s="16" t="s">
        <v>35</v>
      </c>
    </row>
    <row r="22" spans="1:47" x14ac:dyDescent="0.2">
      <c r="A22" s="36"/>
      <c r="B22" s="65"/>
      <c r="C22" s="65"/>
      <c r="D22" s="65"/>
      <c r="E22" s="65"/>
      <c r="F22" s="65"/>
      <c r="G22" s="65"/>
      <c r="H22" s="65"/>
      <c r="I22" s="65"/>
      <c r="J22" s="65"/>
      <c r="K22" s="65"/>
      <c r="L22" s="65"/>
      <c r="M22" s="65"/>
      <c r="N22" s="65"/>
      <c r="O22" s="65"/>
      <c r="Q22" s="36"/>
      <c r="R22" s="65"/>
      <c r="S22" s="65"/>
      <c r="T22" s="65"/>
      <c r="U22" s="65"/>
      <c r="V22" s="65"/>
      <c r="W22" s="65"/>
      <c r="X22" s="65"/>
      <c r="Y22" s="65"/>
      <c r="Z22" s="65"/>
      <c r="AA22" s="65"/>
      <c r="AB22" s="65"/>
      <c r="AC22" s="65"/>
      <c r="AD22" s="65"/>
      <c r="AE22" s="65"/>
      <c r="AG22" s="36"/>
      <c r="AH22" s="65"/>
      <c r="AI22" s="65"/>
      <c r="AJ22" s="65"/>
      <c r="AK22" s="65"/>
      <c r="AL22" s="65"/>
      <c r="AM22" s="65"/>
      <c r="AN22" s="65"/>
      <c r="AO22" s="65"/>
      <c r="AP22" s="65"/>
      <c r="AQ22" s="65"/>
      <c r="AR22" s="65"/>
      <c r="AS22" s="65"/>
      <c r="AT22" s="65"/>
      <c r="AU22" s="65"/>
    </row>
    <row r="23" spans="1:47" x14ac:dyDescent="0.2">
      <c r="B23" s="378">
        <f>B5</f>
        <v>2015</v>
      </c>
      <c r="C23" s="378"/>
      <c r="D23" s="378"/>
      <c r="E23" s="378"/>
      <c r="F23" s="1"/>
      <c r="G23" s="378">
        <f>G5</f>
        <v>2020</v>
      </c>
      <c r="H23" s="378"/>
      <c r="I23" s="378"/>
      <c r="J23" s="378"/>
      <c r="K23" s="1"/>
      <c r="L23" s="378">
        <f>L5</f>
        <v>2035</v>
      </c>
      <c r="M23" s="378"/>
      <c r="N23" s="378"/>
      <c r="O23" s="378"/>
      <c r="R23" s="378">
        <f>R5</f>
        <v>2015</v>
      </c>
      <c r="S23" s="378"/>
      <c r="T23" s="378"/>
      <c r="U23" s="378"/>
      <c r="V23" s="1"/>
      <c r="W23" s="378">
        <f>W5</f>
        <v>2020</v>
      </c>
      <c r="X23" s="378"/>
      <c r="Y23" s="378"/>
      <c r="Z23" s="378"/>
      <c r="AA23" s="1"/>
      <c r="AB23" s="378">
        <f>AB5</f>
        <v>2035</v>
      </c>
      <c r="AC23" s="378"/>
      <c r="AD23" s="378"/>
      <c r="AE23" s="378"/>
      <c r="AH23" s="378">
        <f>AH5</f>
        <v>2015</v>
      </c>
      <c r="AI23" s="378"/>
      <c r="AJ23" s="378"/>
      <c r="AK23" s="378"/>
      <c r="AL23" s="1"/>
      <c r="AM23" s="378">
        <f>AM5</f>
        <v>2020</v>
      </c>
      <c r="AN23" s="378"/>
      <c r="AO23" s="378"/>
      <c r="AP23" s="378"/>
      <c r="AQ23" s="1"/>
      <c r="AR23" s="378">
        <f>AR5</f>
        <v>2035</v>
      </c>
      <c r="AS23" s="378"/>
      <c r="AT23" s="378"/>
      <c r="AU23" s="378"/>
    </row>
    <row r="24" spans="1:47" x14ac:dyDescent="0.2">
      <c r="A24" s="41" t="s">
        <v>14</v>
      </c>
      <c r="B24" s="338" t="s">
        <v>345</v>
      </c>
      <c r="C24" s="338" t="s">
        <v>347</v>
      </c>
      <c r="D24" s="338" t="s">
        <v>343</v>
      </c>
      <c r="E24" s="338" t="s">
        <v>33</v>
      </c>
      <c r="F24" s="339"/>
      <c r="G24" s="338" t="s">
        <v>345</v>
      </c>
      <c r="H24" s="338" t="s">
        <v>347</v>
      </c>
      <c r="I24" s="338" t="s">
        <v>343</v>
      </c>
      <c r="J24" s="338" t="s">
        <v>33</v>
      </c>
      <c r="K24" s="339"/>
      <c r="L24" s="338" t="s">
        <v>345</v>
      </c>
      <c r="M24" s="338" t="s">
        <v>347</v>
      </c>
      <c r="N24" s="338" t="s">
        <v>343</v>
      </c>
      <c r="O24" s="338" t="s">
        <v>33</v>
      </c>
      <c r="Q24" s="41" t="s">
        <v>14</v>
      </c>
      <c r="R24" s="338" t="s">
        <v>345</v>
      </c>
      <c r="S24" s="338" t="s">
        <v>347</v>
      </c>
      <c r="T24" s="338" t="s">
        <v>343</v>
      </c>
      <c r="U24" s="338" t="s">
        <v>33</v>
      </c>
      <c r="V24" s="339"/>
      <c r="W24" s="338" t="s">
        <v>345</v>
      </c>
      <c r="X24" s="338" t="s">
        <v>347</v>
      </c>
      <c r="Y24" s="338" t="s">
        <v>343</v>
      </c>
      <c r="Z24" s="338" t="s">
        <v>33</v>
      </c>
      <c r="AA24" s="339"/>
      <c r="AB24" s="338" t="s">
        <v>345</v>
      </c>
      <c r="AC24" s="338" t="s">
        <v>347</v>
      </c>
      <c r="AD24" s="338" t="s">
        <v>343</v>
      </c>
      <c r="AE24" s="338" t="s">
        <v>33</v>
      </c>
      <c r="AG24" s="41" t="s">
        <v>14</v>
      </c>
      <c r="AH24" s="338" t="s">
        <v>345</v>
      </c>
      <c r="AI24" s="338" t="s">
        <v>347</v>
      </c>
      <c r="AJ24" s="338" t="s">
        <v>343</v>
      </c>
      <c r="AK24" s="338" t="s">
        <v>33</v>
      </c>
      <c r="AL24" s="339"/>
      <c r="AM24" s="338" t="s">
        <v>345</v>
      </c>
      <c r="AN24" s="338" t="s">
        <v>347</v>
      </c>
      <c r="AO24" s="338" t="s">
        <v>343</v>
      </c>
      <c r="AP24" s="338" t="s">
        <v>33</v>
      </c>
      <c r="AQ24" s="339"/>
      <c r="AR24" s="338" t="s">
        <v>345</v>
      </c>
      <c r="AS24" s="338" t="s">
        <v>347</v>
      </c>
      <c r="AT24" s="338" t="s">
        <v>343</v>
      </c>
      <c r="AU24" s="338" t="s">
        <v>33</v>
      </c>
    </row>
    <row r="25" spans="1:47" x14ac:dyDescent="0.2">
      <c r="A25" s="1"/>
      <c r="B25" s="17"/>
      <c r="C25" s="17"/>
      <c r="D25" s="17"/>
      <c r="E25" s="17"/>
      <c r="F25" s="17"/>
      <c r="G25" s="17"/>
      <c r="H25" s="17"/>
      <c r="I25" s="17"/>
      <c r="J25" s="17"/>
      <c r="K25" s="17"/>
      <c r="L25" s="17"/>
      <c r="M25" s="17"/>
      <c r="N25" s="17"/>
      <c r="O25" s="17"/>
      <c r="Q25" s="1"/>
      <c r="R25" s="17"/>
      <c r="S25" s="17"/>
      <c r="T25" s="17"/>
      <c r="U25" s="17"/>
      <c r="V25" s="17"/>
      <c r="W25" s="17"/>
      <c r="X25" s="17"/>
      <c r="Y25" s="17"/>
      <c r="Z25" s="17"/>
      <c r="AA25" s="17"/>
      <c r="AB25" s="17"/>
      <c r="AC25" s="17"/>
      <c r="AD25" s="17"/>
      <c r="AE25" s="17"/>
      <c r="AG25" s="1"/>
      <c r="AH25" s="17"/>
      <c r="AI25" s="17"/>
      <c r="AJ25" s="17"/>
      <c r="AK25" s="17"/>
      <c r="AL25" s="17"/>
      <c r="AM25" s="17"/>
      <c r="AN25" s="17"/>
      <c r="AO25" s="17"/>
      <c r="AP25" s="17"/>
      <c r="AQ25" s="17"/>
      <c r="AR25" s="17"/>
      <c r="AS25" s="17"/>
      <c r="AT25" s="17"/>
      <c r="AU25" s="17"/>
    </row>
    <row r="26" spans="1:47" x14ac:dyDescent="0.2">
      <c r="A26" t="str">
        <f>$A$8</f>
        <v>Managers, directors and senior officials</v>
      </c>
      <c r="B26" s="18">
        <f>B8/B$18*100</f>
        <v>10.914165127970492</v>
      </c>
      <c r="C26" s="18">
        <f t="shared" ref="C26:O26" si="22">C8/C$18*100</f>
        <v>3.3404343378675314</v>
      </c>
      <c r="D26" s="18">
        <f t="shared" si="22"/>
        <v>14.400864893890322</v>
      </c>
      <c r="E26" s="18">
        <f t="shared" si="22"/>
        <v>9.1168539341778132</v>
      </c>
      <c r="F26" s="18"/>
      <c r="G26" s="18">
        <f t="shared" si="22"/>
        <v>12.277059341090233</v>
      </c>
      <c r="H26" s="18">
        <f t="shared" si="22"/>
        <v>4.9432549747802987</v>
      </c>
      <c r="I26" s="18">
        <f t="shared" si="22"/>
        <v>16.441411948938455</v>
      </c>
      <c r="J26" s="18">
        <f t="shared" si="22"/>
        <v>10.66501314727847</v>
      </c>
      <c r="K26" s="18"/>
      <c r="L26" s="18">
        <f t="shared" si="22"/>
        <v>11.319098710783598</v>
      </c>
      <c r="M26" s="18">
        <f t="shared" si="22"/>
        <v>5.6366636677856539</v>
      </c>
      <c r="N26" s="18">
        <f t="shared" si="22"/>
        <v>17.719629550559205</v>
      </c>
      <c r="O26" s="18">
        <f t="shared" si="22"/>
        <v>10.497700858679375</v>
      </c>
      <c r="Q26" t="str">
        <f>$A$8</f>
        <v>Managers, directors and senior officials</v>
      </c>
      <c r="R26" s="18">
        <f>R8/R$18*100</f>
        <v>12.706914930758071</v>
      </c>
      <c r="S26" s="18">
        <f t="shared" ref="S26:U26" si="23">S8/S$18*100</f>
        <v>5.7671029121588795</v>
      </c>
      <c r="T26" s="18">
        <f t="shared" si="23"/>
        <v>13.895730528790748</v>
      </c>
      <c r="U26" s="18">
        <f t="shared" si="23"/>
        <v>11.856325385793626</v>
      </c>
      <c r="V26" s="18"/>
      <c r="W26" s="18">
        <f t="shared" ref="W26:Z26" si="24">W8/W$18*100</f>
        <v>14.25374760447313</v>
      </c>
      <c r="X26" s="18">
        <f t="shared" si="24"/>
        <v>7.9640330199037699</v>
      </c>
      <c r="Y26" s="18">
        <f t="shared" si="24"/>
        <v>17.61110382426364</v>
      </c>
      <c r="Z26" s="18">
        <f t="shared" si="24"/>
        <v>13.723011972245333</v>
      </c>
      <c r="AA26" s="18"/>
      <c r="AB26" s="18">
        <f t="shared" ref="AB26:AE26" si="25">AB8/AB$18*100</f>
        <v>13.2939472518351</v>
      </c>
      <c r="AC26" s="18">
        <f t="shared" si="25"/>
        <v>8.5213789751426532</v>
      </c>
      <c r="AD26" s="18">
        <f t="shared" si="25"/>
        <v>19.487277900665077</v>
      </c>
      <c r="AE26" s="18">
        <f t="shared" si="25"/>
        <v>13.378992527862147</v>
      </c>
      <c r="AG26" t="str">
        <f>$A$8</f>
        <v>Managers, directors and senior officials</v>
      </c>
      <c r="AH26" s="18">
        <f>AH8/AH$18*100</f>
        <v>7.760350898843547</v>
      </c>
      <c r="AI26" s="18">
        <f t="shared" ref="AI26:AK26" si="26">AI8/AI$18*100</f>
        <v>2.4424837065188014</v>
      </c>
      <c r="AJ26" s="18">
        <f t="shared" si="26"/>
        <v>15.401846577048056</v>
      </c>
      <c r="AK26" s="18">
        <f t="shared" si="26"/>
        <v>5.9870911325681213</v>
      </c>
      <c r="AL26" s="18"/>
      <c r="AM26" s="18">
        <f t="shared" ref="AM26:AP26" si="27">AM8/AM$18*100</f>
        <v>8.9936059166867626</v>
      </c>
      <c r="AN26" s="18">
        <f t="shared" si="27"/>
        <v>3.7262678754806657</v>
      </c>
      <c r="AO26" s="18">
        <f t="shared" si="27"/>
        <v>14.71124232687305</v>
      </c>
      <c r="AP26" s="18">
        <f t="shared" si="27"/>
        <v>7.3064532868169811</v>
      </c>
      <c r="AQ26" s="18"/>
      <c r="AR26" s="18">
        <f t="shared" ref="AR26:AU26" si="28">AR8/AR$18*100</f>
        <v>8.3223569540824265</v>
      </c>
      <c r="AS26" s="18">
        <f t="shared" si="28"/>
        <v>4.3975388136015203</v>
      </c>
      <c r="AT26" s="18">
        <f t="shared" si="28"/>
        <v>15.165795111685085</v>
      </c>
      <c r="AU26" s="18">
        <f t="shared" si="28"/>
        <v>7.4283437617614894</v>
      </c>
    </row>
    <row r="27" spans="1:47" x14ac:dyDescent="0.2">
      <c r="A27" t="str">
        <f>$A$9</f>
        <v>Professional occupations</v>
      </c>
      <c r="B27" s="18">
        <f t="shared" ref="B27:B34" si="29">B9/B$18*100</f>
        <v>19.746979697034266</v>
      </c>
      <c r="C27" s="18">
        <f t="shared" ref="C27:O27" si="30">C9/C$18*100</f>
        <v>10.827857037085547</v>
      </c>
      <c r="D27" s="18">
        <f t="shared" si="30"/>
        <v>16.757364449413913</v>
      </c>
      <c r="E27" s="18">
        <f t="shared" si="30"/>
        <v>16.775761884444684</v>
      </c>
      <c r="F27" s="18"/>
      <c r="G27" s="18">
        <f t="shared" si="30"/>
        <v>23.244240449184939</v>
      </c>
      <c r="H27" s="18">
        <f t="shared" si="30"/>
        <v>13.257381178179935</v>
      </c>
      <c r="I27" s="18">
        <f t="shared" si="30"/>
        <v>16.787178677935209</v>
      </c>
      <c r="J27" s="18">
        <f t="shared" si="30"/>
        <v>19.569623578379332</v>
      </c>
      <c r="K27" s="18"/>
      <c r="L27" s="18">
        <f t="shared" si="30"/>
        <v>26.510434803500218</v>
      </c>
      <c r="M27" s="18">
        <f t="shared" si="30"/>
        <v>15.118596612951112</v>
      </c>
      <c r="N27" s="18">
        <f t="shared" si="30"/>
        <v>16.073418326964941</v>
      </c>
      <c r="O27" s="18">
        <f t="shared" si="30"/>
        <v>22.005644290664581</v>
      </c>
      <c r="Q27" t="str">
        <f>$A$9</f>
        <v>Professional occupations</v>
      </c>
      <c r="R27" s="18">
        <f t="shared" ref="R27:U27" si="31">R9/R$18*100</f>
        <v>18.987183827919552</v>
      </c>
      <c r="S27" s="18">
        <f t="shared" si="31"/>
        <v>8.142976887105128</v>
      </c>
      <c r="T27" s="18">
        <f t="shared" si="31"/>
        <v>16.272897355754179</v>
      </c>
      <c r="U27" s="18">
        <f t="shared" si="31"/>
        <v>16.971730598442637</v>
      </c>
      <c r="V27" s="18"/>
      <c r="W27" s="18">
        <f t="shared" ref="W27:Z27" si="32">W9/W$18*100</f>
        <v>22.271166816140138</v>
      </c>
      <c r="X27" s="18">
        <f t="shared" si="32"/>
        <v>11.482633953061733</v>
      </c>
      <c r="Y27" s="18">
        <f t="shared" si="32"/>
        <v>13.868723740662519</v>
      </c>
      <c r="Z27" s="18">
        <f t="shared" si="32"/>
        <v>19.391743912973215</v>
      </c>
      <c r="AA27" s="18"/>
      <c r="AB27" s="18">
        <f t="shared" ref="AB27:AE27" si="33">AB9/AB$18*100</f>
        <v>27.103799940234406</v>
      </c>
      <c r="AC27" s="18">
        <f t="shared" si="33"/>
        <v>14.132950574033313</v>
      </c>
      <c r="AD27" s="18">
        <f t="shared" si="33"/>
        <v>11.414677891821787</v>
      </c>
      <c r="AE27" s="18">
        <f t="shared" si="33"/>
        <v>22.758216589867665</v>
      </c>
      <c r="AG27" t="str">
        <f>$A$9</f>
        <v>Professional occupations</v>
      </c>
      <c r="AH27" s="18">
        <f t="shared" ref="AH27:AK27" si="34">AH9/AH$18*100</f>
        <v>21.083616309415916</v>
      </c>
      <c r="AI27" s="18">
        <f>AI9/AI$18*100</f>
        <v>11.821354810663728</v>
      </c>
      <c r="AJ27" s="18">
        <f t="shared" si="34"/>
        <v>17.71739156368568</v>
      </c>
      <c r="AK27" s="18">
        <f t="shared" si="34"/>
        <v>16.551873589865696</v>
      </c>
      <c r="AL27" s="18"/>
      <c r="AM27" s="18">
        <f t="shared" ref="AM27:AP27" si="35">AM9/AM$18*100</f>
        <v>24.860601517242106</v>
      </c>
      <c r="AN27" s="18">
        <f t="shared" si="35"/>
        <v>13.972377263699491</v>
      </c>
      <c r="AO27" s="18">
        <f t="shared" si="35"/>
        <v>21.104060911927196</v>
      </c>
      <c r="AP27" s="18">
        <f t="shared" si="35"/>
        <v>19.764986473664887</v>
      </c>
      <c r="AQ27" s="18"/>
      <c r="AR27" s="18">
        <f t="shared" ref="AR27:AU27" si="36">AR9/AR$18*100</f>
        <v>25.610030521724109</v>
      </c>
      <c r="AS27" s="18">
        <f t="shared" si="36"/>
        <v>15.541979295164627</v>
      </c>
      <c r="AT27" s="18">
        <f t="shared" si="36"/>
        <v>22.804198102439681</v>
      </c>
      <c r="AU27" s="18">
        <f t="shared" si="36"/>
        <v>21.203950677966922</v>
      </c>
    </row>
    <row r="28" spans="1:47" x14ac:dyDescent="0.2">
      <c r="A28" t="str">
        <f>$A$10</f>
        <v>Associate professional occupations</v>
      </c>
      <c r="B28" s="18">
        <f t="shared" si="29"/>
        <v>12.271020937184126</v>
      </c>
      <c r="C28" s="18">
        <f t="shared" ref="C28:O28" si="37">C10/C$18*100</f>
        <v>7.2904927163975106</v>
      </c>
      <c r="D28" s="18">
        <f t="shared" si="37"/>
        <v>11.755684957063798</v>
      </c>
      <c r="E28" s="18">
        <f t="shared" si="37"/>
        <v>10.750866807448398</v>
      </c>
      <c r="F28" s="18"/>
      <c r="G28" s="18">
        <f t="shared" si="37"/>
        <v>13.849147301128609</v>
      </c>
      <c r="H28" s="18">
        <f t="shared" si="37"/>
        <v>8.4532270543597541</v>
      </c>
      <c r="I28" s="18">
        <f t="shared" si="37"/>
        <v>10.929594032356288</v>
      </c>
      <c r="J28" s="18">
        <f t="shared" si="37"/>
        <v>11.933178557846977</v>
      </c>
      <c r="K28" s="18"/>
      <c r="L28" s="18">
        <f t="shared" si="37"/>
        <v>14.92349931504171</v>
      </c>
      <c r="M28" s="18">
        <f t="shared" si="37"/>
        <v>10.289259969512702</v>
      </c>
      <c r="N28" s="18">
        <f t="shared" si="37"/>
        <v>10.732289337265556</v>
      </c>
      <c r="O28" s="18">
        <f t="shared" si="37"/>
        <v>13.097642043167165</v>
      </c>
      <c r="Q28" t="str">
        <f>$A$10</f>
        <v>Associate professional occupations</v>
      </c>
      <c r="R28" s="18">
        <f t="shared" ref="R28:U28" si="38">R10/R$18*100</f>
        <v>12.57408213756475</v>
      </c>
      <c r="S28" s="18">
        <f t="shared" si="38"/>
        <v>6.9599488656011648</v>
      </c>
      <c r="T28" s="18">
        <f t="shared" si="38"/>
        <v>9.6407193903925847</v>
      </c>
      <c r="U28" s="18">
        <f t="shared" si="38"/>
        <v>11.301267358005379</v>
      </c>
      <c r="V28" s="18"/>
      <c r="W28" s="18">
        <f t="shared" ref="W28:Z28" si="39">W10/W$18*100</f>
        <v>14.068006979709146</v>
      </c>
      <c r="X28" s="18">
        <f t="shared" si="39"/>
        <v>8.7471610217560567</v>
      </c>
      <c r="Y28" s="18">
        <f t="shared" si="39"/>
        <v>8.2166987597196304</v>
      </c>
      <c r="Z28" s="18">
        <f t="shared" si="39"/>
        <v>12.410500889633012</v>
      </c>
      <c r="AA28" s="18"/>
      <c r="AB28" s="18">
        <f t="shared" ref="AB28:AE28" si="40">AB10/AB$18*100</f>
        <v>13.497501061311803</v>
      </c>
      <c r="AC28" s="18">
        <f t="shared" si="40"/>
        <v>8.3049597946779006</v>
      </c>
      <c r="AD28" s="18">
        <f t="shared" si="40"/>
        <v>7.9941619256042262</v>
      </c>
      <c r="AE28" s="18">
        <f t="shared" si="40"/>
        <v>11.867262314541621</v>
      </c>
      <c r="AG28" t="str">
        <f>$A$10</f>
        <v>Associate professional occupations</v>
      </c>
      <c r="AH28" s="18">
        <f t="shared" ref="AH28:AK28" si="41">AH10/AH$18*100</f>
        <v>11.737874189896525</v>
      </c>
      <c r="AI28" s="18">
        <f t="shared" si="41"/>
        <v>7.4128052821329016</v>
      </c>
      <c r="AJ28" s="18">
        <f t="shared" si="41"/>
        <v>15.946731813141129</v>
      </c>
      <c r="AK28" s="18">
        <f t="shared" si="41"/>
        <v>10.122050921047141</v>
      </c>
      <c r="AL28" s="18"/>
      <c r="AM28" s="18">
        <f t="shared" ref="AM28:AP28" si="42">AM10/AM$18*100</f>
        <v>13.485602085420545</v>
      </c>
      <c r="AN28" s="18">
        <f t="shared" si="42"/>
        <v>8.3348092689336664</v>
      </c>
      <c r="AO28" s="18">
        <f t="shared" si="42"/>
        <v>14.942419193902287</v>
      </c>
      <c r="AP28" s="18">
        <f t="shared" si="42"/>
        <v>11.408941723303448</v>
      </c>
      <c r="AQ28" s="18"/>
      <c r="AR28" s="18">
        <f t="shared" ref="AR28:AU28" si="43">AR10/AR$18*100</f>
        <v>17.087386024885287</v>
      </c>
      <c r="AS28" s="18">
        <f t="shared" si="43"/>
        <v>11.141612941235413</v>
      </c>
      <c r="AT28" s="18">
        <f t="shared" si="43"/>
        <v>14.688236843174799</v>
      </c>
      <c r="AU28" s="18">
        <f t="shared" si="43"/>
        <v>14.408330160011593</v>
      </c>
    </row>
    <row r="29" spans="1:47" x14ac:dyDescent="0.2">
      <c r="A29" t="str">
        <f>$A$11</f>
        <v>Administrative and secretarial occupations</v>
      </c>
      <c r="B29" s="18">
        <f t="shared" si="29"/>
        <v>9.509009517643161</v>
      </c>
      <c r="C29" s="18">
        <f t="shared" ref="C29:O29" si="44">C11/C$18*100</f>
        <v>14.546143661053057</v>
      </c>
      <c r="D29" s="18">
        <f t="shared" si="44"/>
        <v>3.3380453566162109</v>
      </c>
      <c r="E29" s="18">
        <f t="shared" si="44"/>
        <v>10.240410371723357</v>
      </c>
      <c r="F29" s="18"/>
      <c r="G29" s="18">
        <f t="shared" si="44"/>
        <v>9.420775212123111</v>
      </c>
      <c r="H29" s="18">
        <f t="shared" si="44"/>
        <v>13.707006899436983</v>
      </c>
      <c r="I29" s="18">
        <f t="shared" si="44"/>
        <v>3.4824419980389321</v>
      </c>
      <c r="J29" s="18">
        <f t="shared" si="44"/>
        <v>9.9354447284243399</v>
      </c>
      <c r="K29" s="18"/>
      <c r="L29" s="18">
        <f t="shared" si="44"/>
        <v>8.9390210148475209</v>
      </c>
      <c r="M29" s="18">
        <f t="shared" si="44"/>
        <v>11.826475452322281</v>
      </c>
      <c r="N29" s="18">
        <f t="shared" si="44"/>
        <v>3.1128688389963721</v>
      </c>
      <c r="O29" s="18">
        <f t="shared" si="44"/>
        <v>9.0402592340431909</v>
      </c>
      <c r="Q29" t="str">
        <f>$A$11</f>
        <v>Administrative and secretarial occupations</v>
      </c>
      <c r="R29" s="18">
        <f t="shared" ref="R29:U29" si="45">R11/R$18*100</f>
        <v>4.4520743526878164</v>
      </c>
      <c r="S29" s="18">
        <f t="shared" si="45"/>
        <v>5.0318741139422274</v>
      </c>
      <c r="T29" s="18">
        <f t="shared" si="45"/>
        <v>1.1678543964182511</v>
      </c>
      <c r="U29" s="18">
        <f t="shared" si="45"/>
        <v>4.0450386261722127</v>
      </c>
      <c r="V29" s="18"/>
      <c r="W29" s="18">
        <f t="shared" ref="W29:Z29" si="46">W11/W$18*100</f>
        <v>4.8633950686806919</v>
      </c>
      <c r="X29" s="18">
        <f t="shared" si="46"/>
        <v>5.3198678266981778</v>
      </c>
      <c r="Y29" s="18">
        <f t="shared" si="46"/>
        <v>0.9711235946589758</v>
      </c>
      <c r="Z29" s="18">
        <f t="shared" si="46"/>
        <v>4.3945848514894204</v>
      </c>
      <c r="AA29" s="18"/>
      <c r="AB29" s="18">
        <f t="shared" ref="AB29:AE29" si="47">AB11/AB$18*100</f>
        <v>5.7722020332104158</v>
      </c>
      <c r="AC29" s="18">
        <f t="shared" si="47"/>
        <v>4.4833932571716844</v>
      </c>
      <c r="AD29" s="18">
        <f t="shared" si="47"/>
        <v>1.1568522626206026</v>
      </c>
      <c r="AE29" s="18">
        <f t="shared" si="47"/>
        <v>4.9102829565531554</v>
      </c>
      <c r="AG29" t="str">
        <f>$A$11</f>
        <v>Administrative and secretarial occupations</v>
      </c>
      <c r="AH29" s="18">
        <f t="shared" ref="AH29:AK29" si="48">AH11/AH$18*100</f>
        <v>18.405194615089389</v>
      </c>
      <c r="AI29" s="18">
        <f t="shared" si="48"/>
        <v>18.066749827531751</v>
      </c>
      <c r="AJ29" s="18">
        <f t="shared" si="48"/>
        <v>7.6385276642977145</v>
      </c>
      <c r="AK29" s="18">
        <f t="shared" si="48"/>
        <v>17.318434134275414</v>
      </c>
      <c r="AL29" s="18"/>
      <c r="AM29" s="18">
        <f t="shared" ref="AM29:AP29" si="49">AM11/AM$18*100</f>
        <v>16.99098530315942</v>
      </c>
      <c r="AN29" s="18">
        <f t="shared" si="49"/>
        <v>17.08595096586139</v>
      </c>
      <c r="AO29" s="18">
        <f t="shared" si="49"/>
        <v>7.1971013066315415</v>
      </c>
      <c r="AP29" s="18">
        <f t="shared" si="49"/>
        <v>16.020898203154445</v>
      </c>
      <c r="AQ29" s="18"/>
      <c r="AR29" s="18">
        <f t="shared" ref="AR29:AU29" si="50">AR11/AR$18*100</f>
        <v>13.744523047490873</v>
      </c>
      <c r="AS29" s="18">
        <f t="shared" si="50"/>
        <v>14.98068468438154</v>
      </c>
      <c r="AT29" s="18">
        <f t="shared" si="50"/>
        <v>5.9388508820072818</v>
      </c>
      <c r="AU29" s="18">
        <f t="shared" si="50"/>
        <v>13.439804109349751</v>
      </c>
    </row>
    <row r="30" spans="1:47" x14ac:dyDescent="0.2">
      <c r="A30" t="str">
        <f>$A$12</f>
        <v>Skilled trades occupations</v>
      </c>
      <c r="B30" s="18">
        <f t="shared" si="29"/>
        <v>10.945190467002233</v>
      </c>
      <c r="C30" s="18">
        <f t="shared" ref="C30:O30" si="51">C12/C$18*100</f>
        <v>4.1224002113782268</v>
      </c>
      <c r="D30" s="18">
        <f t="shared" si="51"/>
        <v>28.638719569093652</v>
      </c>
      <c r="E30" s="18">
        <f t="shared" si="51"/>
        <v>11.078850490546223</v>
      </c>
      <c r="F30" s="18"/>
      <c r="G30" s="18">
        <f t="shared" si="51"/>
        <v>9.3121232429686263</v>
      </c>
      <c r="H30" s="18">
        <f t="shared" si="51"/>
        <v>3.1691656893098026</v>
      </c>
      <c r="I30" s="18">
        <f t="shared" si="51"/>
        <v>24.809060589966716</v>
      </c>
      <c r="J30" s="18">
        <f t="shared" si="51"/>
        <v>9.4267091935209848</v>
      </c>
      <c r="K30" s="18"/>
      <c r="L30" s="18">
        <f t="shared" si="51"/>
        <v>7.2270370774338426</v>
      </c>
      <c r="M30" s="18">
        <f t="shared" si="51"/>
        <v>3.4394077338711511</v>
      </c>
      <c r="N30" s="18">
        <f t="shared" si="51"/>
        <v>23.163108804673627</v>
      </c>
      <c r="O30" s="18">
        <f t="shared" si="51"/>
        <v>8.1129511854474234</v>
      </c>
      <c r="Q30" t="str">
        <f>$A$12</f>
        <v>Skilled trades occupations</v>
      </c>
      <c r="R30" s="18">
        <f t="shared" ref="R30:U30" si="52">R12/R$18*100</f>
        <v>15.603922766379142</v>
      </c>
      <c r="S30" s="18">
        <f t="shared" si="52"/>
        <v>10.676651992646962</v>
      </c>
      <c r="T30" s="18">
        <f t="shared" si="52"/>
        <v>38.080488245303009</v>
      </c>
      <c r="U30" s="18">
        <f t="shared" si="52"/>
        <v>18.247359552029547</v>
      </c>
      <c r="V30" s="18"/>
      <c r="W30" s="18">
        <f t="shared" ref="W30:Z30" si="53">W12/W$18*100</f>
        <v>13.301078467397639</v>
      </c>
      <c r="X30" s="18">
        <f t="shared" si="53"/>
        <v>7.3294359982955806</v>
      </c>
      <c r="Y30" s="18">
        <f t="shared" si="53"/>
        <v>35.349105104746016</v>
      </c>
      <c r="Z30" s="18">
        <f t="shared" si="53"/>
        <v>15.41966835621977</v>
      </c>
      <c r="AA30" s="18"/>
      <c r="AB30" s="18">
        <f t="shared" ref="AB30:AE30" si="54">AB12/AB$18*100</f>
        <v>10.396907561770295</v>
      </c>
      <c r="AC30" s="18">
        <f t="shared" si="54"/>
        <v>8.0788893540237048</v>
      </c>
      <c r="AD30" s="18">
        <f t="shared" si="54"/>
        <v>32.923458778475606</v>
      </c>
      <c r="AE30" s="18">
        <f t="shared" si="54"/>
        <v>13.185045597753481</v>
      </c>
      <c r="AG30" t="str">
        <f>$A$12</f>
        <v>Skilled trades occupations</v>
      </c>
      <c r="AH30" s="18">
        <f t="shared" ref="AH30:AK30" si="55">AH12/AH$18*100</f>
        <v>2.7495258000073615</v>
      </c>
      <c r="AI30" s="18">
        <f t="shared" si="55"/>
        <v>1.6971021763025034</v>
      </c>
      <c r="AJ30" s="18">
        <f t="shared" si="55"/>
        <v>9.9287719700326367</v>
      </c>
      <c r="AK30" s="18">
        <f t="shared" si="55"/>
        <v>2.8890469463627824</v>
      </c>
      <c r="AL30" s="18"/>
      <c r="AM30" s="18">
        <f t="shared" ref="AM30:AP30" si="56">AM12/AM$18*100</f>
        <v>2.6861170415515541</v>
      </c>
      <c r="AN30" s="18">
        <f t="shared" si="56"/>
        <v>1.4931089847106847</v>
      </c>
      <c r="AO30" s="18">
        <f t="shared" si="56"/>
        <v>9.2185745659284173</v>
      </c>
      <c r="AP30" s="18">
        <f t="shared" si="56"/>
        <v>2.8447210237109317</v>
      </c>
      <c r="AQ30" s="18"/>
      <c r="AR30" s="18">
        <f t="shared" ref="AR30:AU30" si="57">AR12/AR$18*100</f>
        <v>2.4169045299080825</v>
      </c>
      <c r="AS30" s="18">
        <f t="shared" si="57"/>
        <v>1.4465258119012798</v>
      </c>
      <c r="AT30" s="18">
        <f t="shared" si="57"/>
        <v>9.0617079818988575</v>
      </c>
      <c r="AU30" s="18">
        <f t="shared" si="57"/>
        <v>2.7097949735444584</v>
      </c>
    </row>
    <row r="31" spans="1:47" x14ac:dyDescent="0.2">
      <c r="A31" t="str">
        <f>$A$13</f>
        <v>Caring, leisure and other service occupations</v>
      </c>
      <c r="B31" s="18">
        <f t="shared" si="29"/>
        <v>8.6485007787043688</v>
      </c>
      <c r="C31" s="18">
        <f t="shared" ref="C31:O31" si="58">C13/C$18*100</f>
        <v>17.350352907805817</v>
      </c>
      <c r="D31" s="18">
        <f t="shared" si="58"/>
        <v>7.094805645028468</v>
      </c>
      <c r="E31" s="18">
        <f t="shared" si="58"/>
        <v>11.008896403928169</v>
      </c>
      <c r="F31" s="18"/>
      <c r="G31" s="18">
        <f t="shared" si="58"/>
        <v>8.4864508162901036</v>
      </c>
      <c r="H31" s="18">
        <f t="shared" si="58"/>
        <v>16.610454863901005</v>
      </c>
      <c r="I31" s="18">
        <f t="shared" si="58"/>
        <v>10.179890975526744</v>
      </c>
      <c r="J31" s="18">
        <f t="shared" si="58"/>
        <v>11.041478118790826</v>
      </c>
      <c r="K31" s="18"/>
      <c r="L31" s="18">
        <f t="shared" si="58"/>
        <v>9.2206620050640495</v>
      </c>
      <c r="M31" s="18">
        <f t="shared" si="58"/>
        <v>16.037801606555433</v>
      </c>
      <c r="N31" s="18">
        <f t="shared" si="58"/>
        <v>10.766546244582683</v>
      </c>
      <c r="O31" s="18">
        <f t="shared" si="58"/>
        <v>11.339141587537915</v>
      </c>
      <c r="Q31" t="str">
        <f>$A$13</f>
        <v>Caring, leisure and other service occupations</v>
      </c>
      <c r="R31" s="18">
        <f t="shared" ref="R31:U31" si="59">R13/R$18*100</f>
        <v>3.4283984406955401</v>
      </c>
      <c r="S31" s="18">
        <f t="shared" si="59"/>
        <v>7.371360849732393</v>
      </c>
      <c r="T31" s="18">
        <f t="shared" si="59"/>
        <v>1.8370764838116136</v>
      </c>
      <c r="U31" s="18">
        <f t="shared" si="59"/>
        <v>3.7741874783608949</v>
      </c>
      <c r="V31" s="18"/>
      <c r="W31" s="18">
        <f t="shared" ref="W31:Z31" si="60">W13/W$18*100</f>
        <v>3.512021704649102</v>
      </c>
      <c r="X31" s="18">
        <f t="shared" si="60"/>
        <v>7.8131111115401541</v>
      </c>
      <c r="Y31" s="18">
        <f t="shared" si="60"/>
        <v>2.1482064439619459</v>
      </c>
      <c r="Z31" s="18">
        <f t="shared" si="60"/>
        <v>4.004551672391492</v>
      </c>
      <c r="AA31" s="18"/>
      <c r="AB31" s="18">
        <f t="shared" ref="AB31:AE31" si="61">AB13/AB$18*100</f>
        <v>4.0154946498079269</v>
      </c>
      <c r="AC31" s="18">
        <f t="shared" si="61"/>
        <v>9.8058760785639478</v>
      </c>
      <c r="AD31" s="18">
        <f t="shared" si="61"/>
        <v>3.04075265570027</v>
      </c>
      <c r="AE31" s="18">
        <f t="shared" si="61"/>
        <v>4.8326008411739867</v>
      </c>
      <c r="AG31" t="str">
        <f>$A$13</f>
        <v>Caring, leisure and other service occupations</v>
      </c>
      <c r="AH31" s="18">
        <f t="shared" ref="AH31:AK31" si="62">AH13/AH$18*100</f>
        <v>17.831730365739922</v>
      </c>
      <c r="AI31" s="18">
        <f t="shared" si="62"/>
        <v>21.042922347943634</v>
      </c>
      <c r="AJ31" s="18">
        <f t="shared" si="62"/>
        <v>17.513599037445733</v>
      </c>
      <c r="AK31" s="18">
        <f t="shared" si="62"/>
        <v>19.274331279096778</v>
      </c>
      <c r="AL31" s="18"/>
      <c r="AM31" s="18">
        <f t="shared" ref="AM31:AP31" si="63">AM13/AM$18*100</f>
        <v>16.749416000854435</v>
      </c>
      <c r="AN31" s="18">
        <f t="shared" si="63"/>
        <v>20.154658938083433</v>
      </c>
      <c r="AO31" s="18">
        <f t="shared" si="63"/>
        <v>22.060093688453094</v>
      </c>
      <c r="AP31" s="18">
        <f t="shared" si="63"/>
        <v>18.770041815721861</v>
      </c>
      <c r="AQ31" s="18"/>
      <c r="AR31" s="18">
        <f t="shared" ref="AR31:AU31" si="64">AR13/AR$18*100</f>
        <v>17.119263867366026</v>
      </c>
      <c r="AS31" s="18">
        <f t="shared" si="64"/>
        <v>18.714715266445818</v>
      </c>
      <c r="AT31" s="18">
        <f t="shared" si="64"/>
        <v>21.928493548037537</v>
      </c>
      <c r="AU31" s="18">
        <f t="shared" si="64"/>
        <v>18.270372198391655</v>
      </c>
    </row>
    <row r="32" spans="1:47" x14ac:dyDescent="0.2">
      <c r="A32" t="str">
        <f>$A$14</f>
        <v>Sales and customer service occupations</v>
      </c>
      <c r="B32" s="18">
        <f t="shared" si="29"/>
        <v>5.4653653416278472</v>
      </c>
      <c r="C32" s="18">
        <f t="shared" ref="C32:O32" si="65">C14/C$18*100</f>
        <v>18.448345803272197</v>
      </c>
      <c r="D32" s="18">
        <f t="shared" si="65"/>
        <v>5.2803531718029015</v>
      </c>
      <c r="E32" s="18">
        <f t="shared" si="65"/>
        <v>9.2439413823017329</v>
      </c>
      <c r="F32" s="18"/>
      <c r="G32" s="18">
        <f t="shared" si="65"/>
        <v>4.7244886005974767</v>
      </c>
      <c r="H32" s="18">
        <f t="shared" si="65"/>
        <v>17.489887360621015</v>
      </c>
      <c r="I32" s="18">
        <f t="shared" si="65"/>
        <v>3.9363243970409725</v>
      </c>
      <c r="J32" s="18">
        <f t="shared" si="65"/>
        <v>8.3185179696422953</v>
      </c>
      <c r="K32" s="18"/>
      <c r="L32" s="18">
        <f t="shared" si="65"/>
        <v>4.2848542512275145</v>
      </c>
      <c r="M32" s="18">
        <f t="shared" si="65"/>
        <v>17.924552559773591</v>
      </c>
      <c r="N32" s="18">
        <f t="shared" si="65"/>
        <v>2.9456533430775718</v>
      </c>
      <c r="O32" s="18">
        <f t="shared" si="65"/>
        <v>7.9790843777936962</v>
      </c>
      <c r="Q32" t="str">
        <f>$A$14</f>
        <v>Sales and customer service occupations</v>
      </c>
      <c r="R32" s="18">
        <f t="shared" ref="R32:U32" si="66">R14/R$18*100</f>
        <v>3.5507936564107405</v>
      </c>
      <c r="S32" s="18">
        <f t="shared" si="66"/>
        <v>20.856396112978299</v>
      </c>
      <c r="T32" s="18">
        <f t="shared" si="66"/>
        <v>3.9873906563378032</v>
      </c>
      <c r="U32" s="18">
        <f t="shared" si="66"/>
        <v>6.1824400323735418</v>
      </c>
      <c r="V32" s="18"/>
      <c r="W32" s="18">
        <f t="shared" ref="W32:Z32" si="67">W14/W$18*100</f>
        <v>3.2801061024072866</v>
      </c>
      <c r="X32" s="18">
        <f t="shared" si="67"/>
        <v>19.271897667117113</v>
      </c>
      <c r="Y32" s="18">
        <f t="shared" si="67"/>
        <v>3.9785503362743806</v>
      </c>
      <c r="Z32" s="18">
        <f t="shared" si="67"/>
        <v>5.9135629908186473</v>
      </c>
      <c r="AA32" s="18"/>
      <c r="AB32" s="18">
        <f>AB14/AB$18*100</f>
        <v>3.2060408455526086</v>
      </c>
      <c r="AC32" s="18">
        <f t="shared" ref="AC32:AE32" si="68">AC14/AC$18*100</f>
        <v>20.204058436912494</v>
      </c>
      <c r="AD32" s="18">
        <f t="shared" si="68"/>
        <v>3.219107166760951</v>
      </c>
      <c r="AE32" s="18">
        <f t="shared" si="68"/>
        <v>6.0092311197037711</v>
      </c>
      <c r="AG32" t="str">
        <f>$A$14</f>
        <v>Sales and customer service occupations</v>
      </c>
      <c r="AH32" s="18">
        <f t="shared" ref="AH32:AK32" si="69">AH14/AH$18*100</f>
        <v>8.8334892226804964</v>
      </c>
      <c r="AI32" s="18">
        <f t="shared" si="69"/>
        <v>17.557284568611596</v>
      </c>
      <c r="AJ32" s="18">
        <f t="shared" si="69"/>
        <v>7.8425066984887897</v>
      </c>
      <c r="AK32" s="18">
        <f t="shared" si="69"/>
        <v>12.741613546920041</v>
      </c>
      <c r="AL32" s="18"/>
      <c r="AM32" s="18">
        <f t="shared" ref="AM32:AP32" si="70">AM14/AM$18*100</f>
        <v>7.1237352333035266</v>
      </c>
      <c r="AN32" s="18">
        <f t="shared" si="70"/>
        <v>16.771965182483591</v>
      </c>
      <c r="AO32" s="18">
        <f t="shared" si="70"/>
        <v>3.8738651811859279</v>
      </c>
      <c r="AP32" s="18">
        <f t="shared" si="70"/>
        <v>10.959848369166441</v>
      </c>
      <c r="AQ32" s="18"/>
      <c r="AR32" s="18">
        <f t="shared" ref="AR32:AU32" si="71">AR14/AR$18*100</f>
        <v>5.9219039354294214</v>
      </c>
      <c r="AS32" s="18">
        <f t="shared" si="71"/>
        <v>16.945394449987862</v>
      </c>
      <c r="AT32" s="18">
        <f t="shared" si="71"/>
        <v>2.5505771434915001</v>
      </c>
      <c r="AU32" s="18">
        <f t="shared" si="71"/>
        <v>10.077512364891582</v>
      </c>
    </row>
    <row r="33" spans="1:47" x14ac:dyDescent="0.2">
      <c r="A33" t="str">
        <f>$A$15</f>
        <v>Process, plant and machine operatives</v>
      </c>
      <c r="B33" s="18">
        <f t="shared" si="29"/>
        <v>11.761774982397476</v>
      </c>
      <c r="C33" s="18">
        <f t="shared" ref="C33:O33" si="72">C15/C$18*100</f>
        <v>3.9545093391848432</v>
      </c>
      <c r="D33" s="18">
        <f t="shared" si="72"/>
        <v>7.1089948488501458</v>
      </c>
      <c r="E33" s="18">
        <f t="shared" si="72"/>
        <v>8.9157428881824785</v>
      </c>
      <c r="F33" s="18"/>
      <c r="G33" s="18">
        <f t="shared" si="72"/>
        <v>9.76391803306743</v>
      </c>
      <c r="H33" s="18">
        <f t="shared" si="72"/>
        <v>4.5468931012841249</v>
      </c>
      <c r="I33" s="18">
        <f t="shared" si="72"/>
        <v>8.2106242377402552</v>
      </c>
      <c r="J33" s="18">
        <f t="shared" si="72"/>
        <v>8.0663245759909277</v>
      </c>
      <c r="K33" s="18"/>
      <c r="L33" s="18">
        <f t="shared" si="72"/>
        <v>8.1733290695978305</v>
      </c>
      <c r="M33" s="18">
        <f t="shared" si="72"/>
        <v>5.0366293408632261</v>
      </c>
      <c r="N33" s="18">
        <f t="shared" si="72"/>
        <v>8.8345930884246506</v>
      </c>
      <c r="O33" s="18">
        <f t="shared" si="72"/>
        <v>7.3671679580500955</v>
      </c>
      <c r="Q33" t="str">
        <f>$A$15</f>
        <v>Process, plant and machine operatives</v>
      </c>
      <c r="R33" s="18">
        <f t="shared" ref="R33:U33" si="73">R15/R$18*100</f>
        <v>15.958086518768585</v>
      </c>
      <c r="S33" s="18">
        <f t="shared" si="73"/>
        <v>10.101571036291809</v>
      </c>
      <c r="T33" s="18">
        <f t="shared" si="73"/>
        <v>9.509950133027175</v>
      </c>
      <c r="U33" s="18">
        <f t="shared" si="73"/>
        <v>14.12171186380991</v>
      </c>
      <c r="V33" s="18"/>
      <c r="W33" s="18">
        <f t="shared" ref="W33:Z33" si="74">W15/W$18*100</f>
        <v>13.702268420167663</v>
      </c>
      <c r="X33" s="18">
        <f t="shared" si="74"/>
        <v>11.67786898699922</v>
      </c>
      <c r="Y33" s="18">
        <f t="shared" si="74"/>
        <v>11.9557176420782</v>
      </c>
      <c r="Z33" s="18">
        <f t="shared" si="74"/>
        <v>13.138340970142709</v>
      </c>
      <c r="AA33" s="18"/>
      <c r="AB33" s="18">
        <f t="shared" ref="AB33:AE33" si="75">AB15/AB$18*100</f>
        <v>11.270885727830029</v>
      </c>
      <c r="AC33" s="18">
        <f t="shared" si="75"/>
        <v>11.548311520097904</v>
      </c>
      <c r="AD33" s="18">
        <f t="shared" si="75"/>
        <v>13.196886254901427</v>
      </c>
      <c r="AE33" s="18">
        <f t="shared" si="75"/>
        <v>11.587652532441727</v>
      </c>
      <c r="AG33" t="str">
        <f>$A$15</f>
        <v>Process, plant and machine operatives</v>
      </c>
      <c r="AH33" s="18">
        <f t="shared" ref="AH33:AK33" si="76">AH15/AH$18*100</f>
        <v>4.3796031853746138</v>
      </c>
      <c r="AI33" s="18">
        <f t="shared" si="76"/>
        <v>1.6798856059176324</v>
      </c>
      <c r="AJ33" s="18">
        <f t="shared" si="76"/>
        <v>2.3512265646269412</v>
      </c>
      <c r="AK33" s="18">
        <f t="shared" si="76"/>
        <v>2.9680816936689909</v>
      </c>
      <c r="AL33" s="18"/>
      <c r="AM33" s="18">
        <f t="shared" ref="AM33:AP33" si="77">AM15/AM$18*100</f>
        <v>3.2219709266004988</v>
      </c>
      <c r="AN33" s="18">
        <f t="shared" si="77"/>
        <v>1.674022096298597</v>
      </c>
      <c r="AO33" s="18">
        <f t="shared" si="77"/>
        <v>2.6710056623939002</v>
      </c>
      <c r="AP33" s="18">
        <f t="shared" si="77"/>
        <v>2.4957957275420282</v>
      </c>
      <c r="AQ33" s="18"/>
      <c r="AR33" s="18">
        <f t="shared" ref="AR33:AU33" si="78">AR15/AR$18*100</f>
        <v>3.4729294245042071</v>
      </c>
      <c r="AS33" s="18">
        <f t="shared" si="78"/>
        <v>2.2395466581251808</v>
      </c>
      <c r="AT33" s="18">
        <f t="shared" si="78"/>
        <v>2.5321096106751009</v>
      </c>
      <c r="AU33" s="18">
        <f t="shared" si="78"/>
        <v>2.8712071987161982</v>
      </c>
    </row>
    <row r="34" spans="1:47" x14ac:dyDescent="0.2">
      <c r="A34" t="str">
        <f>$A$16</f>
        <v>Elementary occupations</v>
      </c>
      <c r="B34" s="18">
        <f t="shared" si="29"/>
        <v>10.737993150436056</v>
      </c>
      <c r="C34" s="18">
        <f t="shared" ref="C34:O34" si="79">C16/C$18*100</f>
        <v>20.11946398595526</v>
      </c>
      <c r="D34" s="18">
        <f t="shared" si="79"/>
        <v>5.6251671082405901</v>
      </c>
      <c r="E34" s="18">
        <f t="shared" si="79"/>
        <v>12.868675837247153</v>
      </c>
      <c r="F34" s="18"/>
      <c r="G34" s="18">
        <f t="shared" si="79"/>
        <v>8.9217970035494734</v>
      </c>
      <c r="H34" s="18">
        <f t="shared" si="79"/>
        <v>17.822728878127077</v>
      </c>
      <c r="I34" s="18">
        <f t="shared" si="79"/>
        <v>5.2234731424564345</v>
      </c>
      <c r="J34" s="18">
        <f t="shared" si="79"/>
        <v>11.043710130125833</v>
      </c>
      <c r="K34" s="18"/>
      <c r="L34" s="18">
        <f t="shared" si="79"/>
        <v>9.4020637525037376</v>
      </c>
      <c r="M34" s="18">
        <f t="shared" si="79"/>
        <v>14.690613056364851</v>
      </c>
      <c r="N34" s="18">
        <f t="shared" si="79"/>
        <v>6.6518924654553819</v>
      </c>
      <c r="O34" s="18">
        <f t="shared" si="79"/>
        <v>10.560408464616563</v>
      </c>
      <c r="Q34" t="str">
        <f>$A$16</f>
        <v>Elementary occupations</v>
      </c>
      <c r="R34" s="18">
        <f t="shared" ref="R34:U34" si="80">R16/R$18*100</f>
        <v>12.738543368815813</v>
      </c>
      <c r="S34" s="18">
        <f t="shared" si="80"/>
        <v>25.092117229543149</v>
      </c>
      <c r="T34" s="18">
        <f t="shared" si="80"/>
        <v>5.6078928101646284</v>
      </c>
      <c r="U34" s="18">
        <f t="shared" si="80"/>
        <v>13.49993910501227</v>
      </c>
      <c r="V34" s="18"/>
      <c r="W34" s="18">
        <f t="shared" ref="W34:Z34" si="81">W16/W$18*100</f>
        <v>10.748208836375174</v>
      </c>
      <c r="X34" s="18">
        <f t="shared" si="81"/>
        <v>20.393990414628192</v>
      </c>
      <c r="Y34" s="18">
        <f t="shared" si="81"/>
        <v>5.900770553634703</v>
      </c>
      <c r="Z34" s="18">
        <f t="shared" si="81"/>
        <v>11.604034384086393</v>
      </c>
      <c r="AA34" s="18"/>
      <c r="AB34" s="18">
        <f t="shared" ref="AB34:AE34" si="82">AB16/AB$18*100</f>
        <v>11.443220928447408</v>
      </c>
      <c r="AC34" s="18">
        <f t="shared" si="82"/>
        <v>14.92018200937639</v>
      </c>
      <c r="AD34" s="18">
        <f t="shared" si="82"/>
        <v>7.5668251634500558</v>
      </c>
      <c r="AE34" s="18">
        <f t="shared" si="82"/>
        <v>11.47071552010245</v>
      </c>
      <c r="AG34" t="str">
        <f>$A$16</f>
        <v>Elementary occupations</v>
      </c>
      <c r="AH34" s="18">
        <f t="shared" ref="AH34:AK34" si="83">AH16/AH$18*100</f>
        <v>7.2186154129522322</v>
      </c>
      <c r="AI34" s="18">
        <f t="shared" si="83"/>
        <v>18.279411674377446</v>
      </c>
      <c r="AJ34" s="18">
        <f t="shared" si="83"/>
        <v>5.6593981112333003</v>
      </c>
      <c r="AK34" s="18">
        <f t="shared" si="83"/>
        <v>12.147476756195033</v>
      </c>
      <c r="AL34" s="18"/>
      <c r="AM34" s="18">
        <f t="shared" ref="AM34:AP34" si="84">AM16/AM$18*100</f>
        <v>5.8879659751811531</v>
      </c>
      <c r="AN34" s="18">
        <f t="shared" si="84"/>
        <v>16.786839424448484</v>
      </c>
      <c r="AO34" s="18">
        <f t="shared" si="84"/>
        <v>4.2216371627045692</v>
      </c>
      <c r="AP34" s="18">
        <f t="shared" si="84"/>
        <v>10.428313376918986</v>
      </c>
      <c r="AQ34" s="18"/>
      <c r="AR34" s="18">
        <f t="shared" ref="AR34:AU34" si="85">AR16/AR$18*100</f>
        <v>6.3047016946095686</v>
      </c>
      <c r="AS34" s="18">
        <f t="shared" si="85"/>
        <v>14.592002079156769</v>
      </c>
      <c r="AT34" s="18">
        <f t="shared" si="85"/>
        <v>5.3300307765901573</v>
      </c>
      <c r="AU34" s="18">
        <f t="shared" si="85"/>
        <v>9.5906845553663462</v>
      </c>
    </row>
    <row r="35" spans="1:47" x14ac:dyDescent="0.2">
      <c r="B35" s="18"/>
      <c r="C35" s="18"/>
      <c r="D35" s="18"/>
      <c r="E35" s="18"/>
      <c r="F35" s="18"/>
      <c r="G35" s="18"/>
      <c r="H35" s="18"/>
      <c r="I35" s="18"/>
      <c r="J35" s="18"/>
      <c r="K35" s="18"/>
      <c r="L35" s="18"/>
      <c r="M35" s="18"/>
      <c r="N35" s="18"/>
      <c r="O35" s="18"/>
      <c r="R35" s="18"/>
      <c r="S35" s="18"/>
      <c r="T35" s="18"/>
      <c r="U35" s="18"/>
      <c r="V35" s="18"/>
      <c r="W35" s="18"/>
      <c r="X35" s="18"/>
      <c r="Y35" s="18"/>
      <c r="Z35" s="18"/>
      <c r="AA35" s="18"/>
      <c r="AB35" s="18"/>
      <c r="AC35" s="18"/>
      <c r="AD35" s="18"/>
      <c r="AE35" s="18"/>
      <c r="AH35" s="18"/>
      <c r="AI35" s="18"/>
      <c r="AJ35" s="18"/>
      <c r="AK35" s="18"/>
      <c r="AL35" s="18"/>
      <c r="AM35" s="18"/>
      <c r="AN35" s="18"/>
      <c r="AO35" s="18"/>
      <c r="AP35" s="18"/>
      <c r="AQ35" s="18"/>
      <c r="AR35" s="18"/>
      <c r="AS35" s="18"/>
      <c r="AT35" s="18"/>
      <c r="AU35" s="18"/>
    </row>
    <row r="36" spans="1:47" x14ac:dyDescent="0.2">
      <c r="A36" s="24" t="str">
        <f>$A$18</f>
        <v>All occupations</v>
      </c>
      <c r="B36" s="26">
        <f>B18/B$18*100</f>
        <v>100</v>
      </c>
      <c r="C36" s="26">
        <f t="shared" ref="C36:O36" si="86">C18/C$18*100</f>
        <v>100</v>
      </c>
      <c r="D36" s="26">
        <f t="shared" si="86"/>
        <v>100</v>
      </c>
      <c r="E36" s="26">
        <f t="shared" si="86"/>
        <v>100</v>
      </c>
      <c r="F36" s="26"/>
      <c r="G36" s="26">
        <f t="shared" si="86"/>
        <v>100</v>
      </c>
      <c r="H36" s="26">
        <f t="shared" si="86"/>
        <v>100</v>
      </c>
      <c r="I36" s="26">
        <f t="shared" si="86"/>
        <v>100</v>
      </c>
      <c r="J36" s="26">
        <f t="shared" si="86"/>
        <v>100</v>
      </c>
      <c r="K36" s="26"/>
      <c r="L36" s="26">
        <f t="shared" si="86"/>
        <v>100</v>
      </c>
      <c r="M36" s="26">
        <f t="shared" si="86"/>
        <v>100</v>
      </c>
      <c r="N36" s="26">
        <f t="shared" si="86"/>
        <v>100</v>
      </c>
      <c r="O36" s="26">
        <f t="shared" si="86"/>
        <v>100</v>
      </c>
      <c r="Q36" s="24" t="str">
        <f>$A$18</f>
        <v>All occupations</v>
      </c>
      <c r="R36" s="26">
        <f>R18/R$18*100</f>
        <v>100</v>
      </c>
      <c r="S36" s="26">
        <f t="shared" ref="S36:U36" si="87">S18/S$18*100</f>
        <v>100</v>
      </c>
      <c r="T36" s="26">
        <f t="shared" si="87"/>
        <v>100</v>
      </c>
      <c r="U36" s="26">
        <f t="shared" si="87"/>
        <v>100</v>
      </c>
      <c r="V36" s="26"/>
      <c r="W36" s="26">
        <f t="shared" ref="W36:Z36" si="88">W18/W$18*100</f>
        <v>100</v>
      </c>
      <c r="X36" s="26">
        <f t="shared" si="88"/>
        <v>100</v>
      </c>
      <c r="Y36" s="26">
        <f t="shared" si="88"/>
        <v>100</v>
      </c>
      <c r="Z36" s="26">
        <f t="shared" si="88"/>
        <v>100</v>
      </c>
      <c r="AA36" s="26"/>
      <c r="AB36" s="26">
        <f t="shared" ref="AB36:AE36" si="89">AB18/AB$18*100</f>
        <v>100</v>
      </c>
      <c r="AC36" s="26">
        <f t="shared" si="89"/>
        <v>100</v>
      </c>
      <c r="AD36" s="26">
        <f t="shared" si="89"/>
        <v>100</v>
      </c>
      <c r="AE36" s="26">
        <f t="shared" si="89"/>
        <v>100</v>
      </c>
      <c r="AG36" s="24" t="str">
        <f>$A$18</f>
        <v>All occupations</v>
      </c>
      <c r="AH36" s="26">
        <f>AH18/AH$18*100</f>
        <v>100</v>
      </c>
      <c r="AI36" s="26">
        <f t="shared" ref="AI36:AK36" si="90">AI18/AI$18*100</f>
        <v>100</v>
      </c>
      <c r="AJ36" s="26">
        <f t="shared" si="90"/>
        <v>100</v>
      </c>
      <c r="AK36" s="26">
        <f t="shared" si="90"/>
        <v>100</v>
      </c>
      <c r="AL36" s="26"/>
      <c r="AM36" s="26">
        <f t="shared" ref="AM36:AP36" si="91">AM18/AM$18*100</f>
        <v>100</v>
      </c>
      <c r="AN36" s="26">
        <f t="shared" si="91"/>
        <v>100</v>
      </c>
      <c r="AO36" s="26">
        <f t="shared" si="91"/>
        <v>100</v>
      </c>
      <c r="AP36" s="26">
        <f t="shared" si="91"/>
        <v>100</v>
      </c>
      <c r="AQ36" s="26"/>
      <c r="AR36" s="26">
        <f t="shared" ref="AR36:AU36" si="92">AR18/AR$18*100</f>
        <v>100</v>
      </c>
      <c r="AS36" s="26">
        <f t="shared" si="92"/>
        <v>100</v>
      </c>
      <c r="AT36" s="26">
        <f t="shared" si="92"/>
        <v>100</v>
      </c>
      <c r="AU36" s="26">
        <f t="shared" si="92"/>
        <v>100</v>
      </c>
    </row>
    <row r="37" spans="1:47" x14ac:dyDescent="0.2">
      <c r="B37" s="18"/>
      <c r="C37" s="18"/>
      <c r="D37" s="18"/>
      <c r="E37" s="18"/>
      <c r="F37" s="18"/>
      <c r="G37" s="18"/>
      <c r="H37" s="18"/>
      <c r="I37" s="18"/>
      <c r="J37" s="18"/>
      <c r="K37" s="18"/>
      <c r="L37" s="18"/>
      <c r="M37" s="18"/>
      <c r="N37" s="18"/>
      <c r="O37" s="18"/>
      <c r="R37" s="18"/>
      <c r="S37" s="18"/>
      <c r="T37" s="18"/>
      <c r="U37" s="18"/>
      <c r="V37" s="18"/>
      <c r="W37" s="18"/>
      <c r="X37" s="18"/>
      <c r="Y37" s="18"/>
      <c r="Z37" s="18"/>
      <c r="AA37" s="18"/>
      <c r="AB37" s="18"/>
      <c r="AC37" s="18"/>
      <c r="AD37" s="18"/>
      <c r="AE37" s="18"/>
      <c r="AH37" s="18"/>
      <c r="AI37" s="18"/>
      <c r="AJ37" s="18"/>
      <c r="AK37" s="18"/>
      <c r="AL37" s="18"/>
      <c r="AM37" s="18"/>
      <c r="AN37" s="18"/>
      <c r="AO37" s="18"/>
      <c r="AP37" s="18"/>
      <c r="AQ37" s="18"/>
      <c r="AR37" s="18"/>
      <c r="AS37" s="18"/>
      <c r="AT37" s="18"/>
      <c r="AU37" s="18"/>
    </row>
    <row r="38" spans="1:47" x14ac:dyDescent="0.2">
      <c r="B38" s="18"/>
      <c r="C38" s="18"/>
      <c r="D38" s="18"/>
      <c r="E38" s="18"/>
      <c r="F38" s="18"/>
      <c r="G38" s="18"/>
      <c r="H38" s="18"/>
      <c r="I38" s="18"/>
      <c r="J38" s="18"/>
      <c r="K38" s="18"/>
      <c r="L38" s="18"/>
      <c r="M38" s="18"/>
      <c r="N38" s="18"/>
      <c r="O38" s="18"/>
      <c r="R38" s="18"/>
      <c r="S38" s="18"/>
      <c r="T38" s="18"/>
      <c r="U38" s="18"/>
      <c r="V38" s="18"/>
      <c r="W38" s="18"/>
      <c r="X38" s="18"/>
      <c r="Y38" s="18"/>
      <c r="Z38" s="18"/>
      <c r="AA38" s="18"/>
      <c r="AB38" s="18"/>
      <c r="AC38" s="18"/>
      <c r="AD38" s="18"/>
      <c r="AE38" s="18"/>
      <c r="AH38" s="18"/>
      <c r="AI38" s="18"/>
      <c r="AJ38" s="18"/>
      <c r="AK38" s="18"/>
      <c r="AL38" s="18"/>
      <c r="AM38" s="18"/>
      <c r="AN38" s="18"/>
      <c r="AO38" s="18"/>
      <c r="AP38" s="18"/>
      <c r="AQ38" s="18"/>
      <c r="AR38" s="18"/>
      <c r="AS38" s="18"/>
      <c r="AT38" s="18"/>
      <c r="AU38" s="18"/>
    </row>
    <row r="39" spans="1:47" x14ac:dyDescent="0.2">
      <c r="B39" s="18"/>
      <c r="C39" s="18"/>
      <c r="D39" s="18"/>
      <c r="E39" s="18"/>
      <c r="F39" s="18"/>
      <c r="G39" s="18"/>
      <c r="H39" s="18"/>
      <c r="I39" s="18"/>
      <c r="J39" s="18"/>
      <c r="K39" s="18"/>
      <c r="L39" s="18"/>
      <c r="M39" s="18"/>
      <c r="N39" s="18"/>
      <c r="O39" s="18"/>
      <c r="R39" s="18"/>
      <c r="S39" s="18"/>
      <c r="T39" s="18"/>
      <c r="U39" s="18"/>
      <c r="V39" s="18"/>
      <c r="W39" s="18"/>
      <c r="X39" s="18"/>
      <c r="Y39" s="18"/>
      <c r="Z39" s="18"/>
      <c r="AA39" s="18"/>
      <c r="AB39" s="18"/>
      <c r="AC39" s="18"/>
      <c r="AD39" s="18"/>
      <c r="AE39" s="18"/>
      <c r="AH39" s="18"/>
      <c r="AI39" s="18"/>
      <c r="AJ39" s="18"/>
      <c r="AK39" s="18"/>
      <c r="AL39" s="18"/>
      <c r="AM39" s="18"/>
      <c r="AN39" s="18"/>
      <c r="AO39" s="18"/>
      <c r="AP39" s="18"/>
      <c r="AQ39" s="18"/>
      <c r="AR39" s="18"/>
      <c r="AS39" s="18"/>
      <c r="AT39" s="18"/>
      <c r="AU39" s="18"/>
    </row>
    <row r="40" spans="1:47" x14ac:dyDescent="0.2">
      <c r="A40" s="36"/>
      <c r="B40" s="66"/>
      <c r="C40" s="66"/>
      <c r="D40" s="66"/>
      <c r="E40" s="66"/>
      <c r="F40" s="66"/>
      <c r="G40" s="66"/>
      <c r="H40" s="66"/>
      <c r="I40" s="66"/>
      <c r="J40" s="66"/>
      <c r="K40" s="66"/>
      <c r="L40" s="66"/>
      <c r="M40" s="66"/>
      <c r="N40" s="66"/>
      <c r="O40" s="66"/>
      <c r="Q40" s="36"/>
      <c r="R40" s="66"/>
      <c r="S40" s="66"/>
      <c r="T40" s="66"/>
      <c r="U40" s="66"/>
      <c r="V40" s="66"/>
      <c r="W40" s="66"/>
      <c r="X40" s="66"/>
      <c r="Y40" s="66"/>
      <c r="Z40" s="66"/>
      <c r="AA40" s="66"/>
      <c r="AB40" s="66"/>
      <c r="AC40" s="66"/>
      <c r="AD40" s="66"/>
      <c r="AE40" s="66"/>
      <c r="AG40" s="36"/>
      <c r="AH40" s="66"/>
      <c r="AI40" s="66"/>
      <c r="AJ40" s="66"/>
      <c r="AK40" s="66"/>
      <c r="AL40" s="66"/>
      <c r="AM40" s="66"/>
      <c r="AN40" s="66"/>
      <c r="AO40" s="66"/>
      <c r="AP40" s="66"/>
      <c r="AQ40" s="66"/>
      <c r="AR40" s="66"/>
      <c r="AS40" s="66"/>
      <c r="AT40" s="66"/>
      <c r="AU40" s="66"/>
    </row>
    <row r="41" spans="1:47" x14ac:dyDescent="0.2">
      <c r="B41" s="378" t="str">
        <f>B5&amp;"-"&amp;G5</f>
        <v>2015-2020</v>
      </c>
      <c r="C41" s="378"/>
      <c r="D41" s="378"/>
      <c r="E41" s="378"/>
      <c r="F41" s="1"/>
      <c r="G41" s="378" t="str">
        <f>G5&amp;"-"&amp;L5</f>
        <v>2020-2035</v>
      </c>
      <c r="H41" s="378"/>
      <c r="I41" s="378"/>
      <c r="J41" s="378"/>
      <c r="K41" s="1"/>
      <c r="L41" s="378" t="str">
        <f>B5&amp;"-"&amp;L5</f>
        <v>2015-2035</v>
      </c>
      <c r="M41" s="378"/>
      <c r="N41" s="378"/>
      <c r="O41" s="378"/>
      <c r="R41" s="378" t="str">
        <f>R5&amp;"-"&amp;W5</f>
        <v>2015-2020</v>
      </c>
      <c r="S41" s="378"/>
      <c r="T41" s="378"/>
      <c r="U41" s="378"/>
      <c r="V41" s="1"/>
      <c r="W41" s="378" t="str">
        <f>W5&amp;"-"&amp;AB5</f>
        <v>2020-2035</v>
      </c>
      <c r="X41" s="378"/>
      <c r="Y41" s="378"/>
      <c r="Z41" s="378"/>
      <c r="AA41" s="1"/>
      <c r="AB41" s="378" t="str">
        <f>R5&amp;"-"&amp;AB5</f>
        <v>2015-2035</v>
      </c>
      <c r="AC41" s="378"/>
      <c r="AD41" s="378"/>
      <c r="AE41" s="378"/>
      <c r="AH41" s="378" t="str">
        <f>AH5&amp;"-"&amp;AM5</f>
        <v>2015-2020</v>
      </c>
      <c r="AI41" s="378"/>
      <c r="AJ41" s="378"/>
      <c r="AK41" s="378"/>
      <c r="AL41" s="1"/>
      <c r="AM41" s="378" t="str">
        <f>AM5&amp;"-"&amp;AR5</f>
        <v>2020-2035</v>
      </c>
      <c r="AN41" s="378"/>
      <c r="AO41" s="378"/>
      <c r="AP41" s="378"/>
      <c r="AQ41" s="1"/>
      <c r="AR41" s="378" t="str">
        <f>AH5&amp;"-"&amp;AR5</f>
        <v>2015-2035</v>
      </c>
      <c r="AS41" s="378"/>
      <c r="AT41" s="378"/>
      <c r="AU41" s="378"/>
    </row>
    <row r="42" spans="1:47" x14ac:dyDescent="0.2">
      <c r="A42" s="41" t="s">
        <v>19</v>
      </c>
      <c r="B42" s="338" t="s">
        <v>345</v>
      </c>
      <c r="C42" s="338" t="s">
        <v>347</v>
      </c>
      <c r="D42" s="338" t="s">
        <v>343</v>
      </c>
      <c r="E42" s="338" t="s">
        <v>33</v>
      </c>
      <c r="F42" s="339"/>
      <c r="G42" s="338" t="s">
        <v>345</v>
      </c>
      <c r="H42" s="338" t="s">
        <v>347</v>
      </c>
      <c r="I42" s="338" t="s">
        <v>343</v>
      </c>
      <c r="J42" s="338" t="s">
        <v>33</v>
      </c>
      <c r="K42" s="339"/>
      <c r="L42" s="338" t="s">
        <v>345</v>
      </c>
      <c r="M42" s="338" t="s">
        <v>347</v>
      </c>
      <c r="N42" s="338" t="s">
        <v>343</v>
      </c>
      <c r="O42" s="338" t="s">
        <v>33</v>
      </c>
      <c r="Q42" s="41" t="s">
        <v>19</v>
      </c>
      <c r="R42" s="338" t="s">
        <v>345</v>
      </c>
      <c r="S42" s="338" t="s">
        <v>347</v>
      </c>
      <c r="T42" s="338" t="s">
        <v>343</v>
      </c>
      <c r="U42" s="338" t="s">
        <v>33</v>
      </c>
      <c r="V42" s="339"/>
      <c r="W42" s="338" t="s">
        <v>345</v>
      </c>
      <c r="X42" s="338" t="s">
        <v>347</v>
      </c>
      <c r="Y42" s="338" t="s">
        <v>343</v>
      </c>
      <c r="Z42" s="338" t="s">
        <v>33</v>
      </c>
      <c r="AA42" s="339"/>
      <c r="AB42" s="338" t="s">
        <v>345</v>
      </c>
      <c r="AC42" s="338" t="s">
        <v>347</v>
      </c>
      <c r="AD42" s="338" t="s">
        <v>343</v>
      </c>
      <c r="AE42" s="338" t="s">
        <v>33</v>
      </c>
      <c r="AG42" s="41" t="s">
        <v>19</v>
      </c>
      <c r="AH42" s="338" t="s">
        <v>345</v>
      </c>
      <c r="AI42" s="338" t="s">
        <v>347</v>
      </c>
      <c r="AJ42" s="338" t="s">
        <v>343</v>
      </c>
      <c r="AK42" s="338" t="s">
        <v>33</v>
      </c>
      <c r="AL42" s="339"/>
      <c r="AM42" s="338" t="s">
        <v>345</v>
      </c>
      <c r="AN42" s="338" t="s">
        <v>347</v>
      </c>
      <c r="AO42" s="338" t="s">
        <v>343</v>
      </c>
      <c r="AP42" s="338" t="s">
        <v>33</v>
      </c>
      <c r="AQ42" s="339"/>
      <c r="AR42" s="338" t="s">
        <v>345</v>
      </c>
      <c r="AS42" s="338" t="s">
        <v>347</v>
      </c>
      <c r="AT42" s="338" t="s">
        <v>343</v>
      </c>
      <c r="AU42" s="338" t="s">
        <v>33</v>
      </c>
    </row>
    <row r="43" spans="1:47" x14ac:dyDescent="0.2">
      <c r="A43" s="1"/>
      <c r="B43" s="20"/>
      <c r="C43" s="20"/>
      <c r="D43" s="20"/>
      <c r="E43" s="20"/>
      <c r="F43" s="20"/>
      <c r="G43" s="20"/>
      <c r="H43" s="20"/>
      <c r="I43" s="20"/>
      <c r="J43" s="20"/>
      <c r="K43" s="20"/>
      <c r="L43" s="20"/>
      <c r="M43" s="20"/>
      <c r="N43" s="20"/>
      <c r="O43" s="20"/>
      <c r="Q43" s="1"/>
      <c r="R43" s="20"/>
      <c r="S43" s="20"/>
      <c r="T43" s="20"/>
      <c r="U43" s="20"/>
      <c r="V43" s="20"/>
      <c r="W43" s="20"/>
      <c r="X43" s="20"/>
      <c r="Y43" s="20"/>
      <c r="Z43" s="20"/>
      <c r="AA43" s="20"/>
      <c r="AB43" s="20"/>
      <c r="AC43" s="20"/>
      <c r="AD43" s="20"/>
      <c r="AE43" s="20"/>
      <c r="AG43" s="1"/>
      <c r="AH43" s="20"/>
      <c r="AI43" s="20"/>
      <c r="AJ43" s="20"/>
      <c r="AK43" s="20"/>
      <c r="AL43" s="20"/>
      <c r="AM43" s="20"/>
      <c r="AN43" s="20"/>
      <c r="AO43" s="20"/>
      <c r="AP43" s="20"/>
      <c r="AQ43" s="20"/>
      <c r="AR43" s="20"/>
      <c r="AS43" s="20"/>
      <c r="AT43" s="20"/>
      <c r="AU43" s="20"/>
    </row>
    <row r="44" spans="1:47" x14ac:dyDescent="0.2">
      <c r="A44" t="str">
        <f>$A$8</f>
        <v>Managers, directors and senior officials</v>
      </c>
      <c r="B44" s="27">
        <f>G8-B8</f>
        <v>5.1007595243225836</v>
      </c>
      <c r="C44" s="27">
        <f t="shared" ref="C44:E44" si="93">H8-C8</f>
        <v>2.4516420036683728</v>
      </c>
      <c r="D44" s="27">
        <f t="shared" si="93"/>
        <v>1.6252902335822856</v>
      </c>
      <c r="E44" s="27">
        <f t="shared" si="93"/>
        <v>9.177691761573243</v>
      </c>
      <c r="F44" s="27"/>
      <c r="G44" s="27">
        <f>L8-G8</f>
        <v>-1.3791143940153958</v>
      </c>
      <c r="H44" s="27">
        <f t="shared" ref="H44:J44" si="94">M8-H8</f>
        <v>1.1409843260896659</v>
      </c>
      <c r="I44" s="27">
        <f t="shared" si="94"/>
        <v>1.2733507298252835</v>
      </c>
      <c r="J44" s="27">
        <f t="shared" si="94"/>
        <v>1.0352206618995581</v>
      </c>
      <c r="K44" s="27"/>
      <c r="L44" s="27">
        <f>L8-B8</f>
        <v>3.7216451303071878</v>
      </c>
      <c r="M44" s="27">
        <f t="shared" ref="M44:O44" si="95">M8-C8</f>
        <v>3.5926263297580388</v>
      </c>
      <c r="N44" s="27">
        <f t="shared" si="95"/>
        <v>2.8986409634075692</v>
      </c>
      <c r="O44" s="27">
        <f t="shared" si="95"/>
        <v>10.212912423472801</v>
      </c>
      <c r="Q44" t="str">
        <f>$A$8</f>
        <v>Managers, directors and senior officials</v>
      </c>
      <c r="R44" s="27">
        <f>W8-R8</f>
        <v>3.1315916603046432</v>
      </c>
      <c r="S44" s="27">
        <f t="shared" ref="S44:S52" si="96">X8-S8</f>
        <v>1.1164779099672986</v>
      </c>
      <c r="T44" s="27">
        <f t="shared" ref="T44:T52" si="97">Y8-T8</f>
        <v>1.0194409432754847</v>
      </c>
      <c r="U44" s="27">
        <f t="shared" ref="U44:U52" si="98">Z8-U8</f>
        <v>5.2675105135474212</v>
      </c>
      <c r="V44" s="27"/>
      <c r="W44" s="27">
        <f>AB8-W8</f>
        <v>-1.6008659938920005</v>
      </c>
      <c r="X44" s="27">
        <f t="shared" ref="X44:X52" si="99">AC8-X8</f>
        <v>0.45641729523697538</v>
      </c>
      <c r="Y44" s="27">
        <f t="shared" ref="Y44:Y52" si="100">AD8-Y8</f>
        <v>0.93939093850650668</v>
      </c>
      <c r="Z44" s="27">
        <f t="shared" ref="Z44:Z52" si="101">AE8-Z8</f>
        <v>-0.20505776014851307</v>
      </c>
      <c r="AA44" s="27"/>
      <c r="AB44" s="27">
        <f>AB8-R8</f>
        <v>1.5307256664126427</v>
      </c>
      <c r="AC44" s="27">
        <f t="shared" ref="AC44:AC52" si="102">AC8-S8</f>
        <v>1.5728952052042739</v>
      </c>
      <c r="AD44" s="27">
        <f t="shared" ref="AD44:AD52" si="103">AD8-T8</f>
        <v>1.9588318817819914</v>
      </c>
      <c r="AE44" s="27">
        <f t="shared" ref="AE44:AE52" si="104">AE8-U8</f>
        <v>5.0624527533989081</v>
      </c>
      <c r="AG44" t="str">
        <f>$A$8</f>
        <v>Managers, directors and senior officials</v>
      </c>
      <c r="AH44" s="27">
        <f>AM8-AH8</f>
        <v>1.9691678640179084</v>
      </c>
      <c r="AI44" s="27">
        <f t="shared" ref="AI44:AI52" si="105">AN8-AI8</f>
        <v>1.3351640937010765</v>
      </c>
      <c r="AJ44" s="27">
        <f t="shared" ref="AJ44:AJ52" si="106">AO8-AJ8</f>
        <v>0.60584929030680534</v>
      </c>
      <c r="AK44" s="27">
        <f t="shared" ref="AK44:AK52" si="107">AP8-AK8</f>
        <v>3.9101812480257916</v>
      </c>
      <c r="AL44" s="27"/>
      <c r="AM44" s="27">
        <f>AR8-AM8</f>
        <v>0.22175159987664017</v>
      </c>
      <c r="AN44" s="27">
        <f t="shared" ref="AN44:AN52" si="108">AS8-AN8</f>
        <v>0.68456703085269144</v>
      </c>
      <c r="AO44" s="27">
        <f t="shared" ref="AO44:AO52" si="109">AT8-AO8</f>
        <v>0.33395979131876485</v>
      </c>
      <c r="AP44" s="27">
        <f t="shared" ref="AP44:AP52" si="110">AU8-AP8</f>
        <v>1.240278422048096</v>
      </c>
      <c r="AQ44" s="27"/>
      <c r="AR44" s="27">
        <f>AR8-AH8</f>
        <v>2.1909194638945486</v>
      </c>
      <c r="AS44" s="27">
        <f t="shared" ref="AS44:AS52" si="111">AS8-AI8</f>
        <v>2.0197311245537679</v>
      </c>
      <c r="AT44" s="27">
        <f t="shared" ref="AT44:AT52" si="112">AT8-AJ8</f>
        <v>0.9398090816255702</v>
      </c>
      <c r="AU44" s="27">
        <f t="shared" ref="AU44:AU52" si="113">AU8-AK8</f>
        <v>5.1504596700738876</v>
      </c>
    </row>
    <row r="45" spans="1:47" x14ac:dyDescent="0.2">
      <c r="A45" t="str">
        <f>$A$9</f>
        <v>Professional occupations</v>
      </c>
      <c r="B45" s="27">
        <f t="shared" ref="B45:B54" si="114">G9-B9</f>
        <v>12.356070090832524</v>
      </c>
      <c r="C45" s="27">
        <f t="shared" ref="C45:C54" si="115">H9-C9</f>
        <v>3.8303447135076176</v>
      </c>
      <c r="D45" s="27">
        <f t="shared" ref="D45:D54" si="116">I9-D9</f>
        <v>0.41875330729824611</v>
      </c>
      <c r="E45" s="27">
        <f t="shared" ref="E45:E54" si="117">J9-E9</f>
        <v>16.605168111638392</v>
      </c>
      <c r="F45" s="27"/>
      <c r="G45" s="27">
        <f t="shared" ref="G45:G54" si="118">L9-G9</f>
        <v>13.476509269332695</v>
      </c>
      <c r="H45" s="27">
        <f t="shared" ref="H45:H54" si="119">M9-H9</f>
        <v>3.0623630478545003</v>
      </c>
      <c r="I45" s="27">
        <f t="shared" ref="I45:I54" si="120">N9-I9</f>
        <v>-2.13817270279133E-2</v>
      </c>
      <c r="J45" s="27">
        <f t="shared" ref="J45:J54" si="121">O9-J9</f>
        <v>16.517490590159284</v>
      </c>
      <c r="K45" s="27"/>
      <c r="L45" s="27">
        <f t="shared" ref="L45:L54" si="122">L9-B9</f>
        <v>25.832579360165219</v>
      </c>
      <c r="M45" s="27">
        <f t="shared" ref="M45:M54" si="123">M9-C9</f>
        <v>6.8927077613621179</v>
      </c>
      <c r="N45" s="27">
        <f t="shared" ref="N45:N54" si="124">N9-D9</f>
        <v>0.39737158027033281</v>
      </c>
      <c r="O45" s="27">
        <f t="shared" ref="O45:O54" si="125">O9-E9</f>
        <v>33.122658701797675</v>
      </c>
      <c r="Q45" t="str">
        <f>$A$9</f>
        <v>Professional occupations</v>
      </c>
      <c r="R45" s="27">
        <f t="shared" ref="R45:R52" si="126">W9-R9</f>
        <v>6.5202704730438725</v>
      </c>
      <c r="S45" s="27">
        <f t="shared" si="96"/>
        <v>1.6780089957676338</v>
      </c>
      <c r="T45" s="27">
        <f t="shared" si="97"/>
        <v>-1.3373414051877681</v>
      </c>
      <c r="U45" s="27">
        <f t="shared" si="98"/>
        <v>6.8609380636237418</v>
      </c>
      <c r="V45" s="27"/>
      <c r="W45" s="27">
        <f t="shared" ref="W45:W52" si="127">AB9-W9</f>
        <v>9.5865803953281912</v>
      </c>
      <c r="X45" s="27">
        <f t="shared" si="99"/>
        <v>1.4946545749285569</v>
      </c>
      <c r="Y45" s="27">
        <f t="shared" si="100"/>
        <v>-0.78108111343843056</v>
      </c>
      <c r="Z45" s="27">
        <f t="shared" si="101"/>
        <v>10.300153856818312</v>
      </c>
      <c r="AA45" s="27"/>
      <c r="AB45" s="27">
        <f t="shared" ref="AB45:AB52" si="128">AB9-R9</f>
        <v>16.106850868372064</v>
      </c>
      <c r="AC45" s="27">
        <f t="shared" si="102"/>
        <v>3.1726635706961908</v>
      </c>
      <c r="AD45" s="27">
        <f t="shared" si="103"/>
        <v>-2.1184225186261987</v>
      </c>
      <c r="AE45" s="27">
        <f t="shared" si="104"/>
        <v>17.161091920442054</v>
      </c>
      <c r="AG45" t="str">
        <f>$A$9</f>
        <v>Professional occupations</v>
      </c>
      <c r="AH45" s="27">
        <f t="shared" ref="AH45:AH52" si="129">AM9-AH9</f>
        <v>5.8357996177886591</v>
      </c>
      <c r="AI45" s="27">
        <f t="shared" si="105"/>
        <v>2.1523357177399838</v>
      </c>
      <c r="AJ45" s="27">
        <f t="shared" si="106"/>
        <v>1.7560947124860165</v>
      </c>
      <c r="AK45" s="27">
        <f t="shared" si="107"/>
        <v>9.7442300480146642</v>
      </c>
      <c r="AL45" s="27"/>
      <c r="AM45" s="27">
        <f t="shared" ref="AM45:AM52" si="130">AR9-AM9</f>
        <v>3.8899288740045179</v>
      </c>
      <c r="AN45" s="27">
        <f t="shared" si="108"/>
        <v>1.5677084729259469</v>
      </c>
      <c r="AO45" s="27">
        <f t="shared" si="109"/>
        <v>0.75969938641051549</v>
      </c>
      <c r="AP45" s="27">
        <f t="shared" si="110"/>
        <v>6.2173367333409786</v>
      </c>
      <c r="AQ45" s="27"/>
      <c r="AR45" s="27">
        <f t="shared" ref="AR45:AR52" si="131">AR9-AH9</f>
        <v>9.725728491793177</v>
      </c>
      <c r="AS45" s="27">
        <f t="shared" si="111"/>
        <v>3.7200441906659307</v>
      </c>
      <c r="AT45" s="27">
        <f t="shared" si="112"/>
        <v>2.5157940988965319</v>
      </c>
      <c r="AU45" s="27">
        <f t="shared" si="113"/>
        <v>15.961566781355643</v>
      </c>
    </row>
    <row r="46" spans="1:47" x14ac:dyDescent="0.2">
      <c r="A46" t="str">
        <f>$A$10</f>
        <v>Associate professional occupations</v>
      </c>
      <c r="B46" s="27">
        <f t="shared" si="114"/>
        <v>5.8737494724800996</v>
      </c>
      <c r="C46" s="27">
        <f t="shared" si="115"/>
        <v>1.8749142582192277</v>
      </c>
      <c r="D46" s="27">
        <f t="shared" si="116"/>
        <v>-0.23817603405355481</v>
      </c>
      <c r="E46" s="27">
        <f t="shared" si="117"/>
        <v>7.5104876966457752</v>
      </c>
      <c r="F46" s="27"/>
      <c r="G46" s="27">
        <f t="shared" si="118"/>
        <v>5.2689113140893014</v>
      </c>
      <c r="H46" s="27">
        <f t="shared" si="119"/>
        <v>2.9315059363402174</v>
      </c>
      <c r="I46" s="27">
        <f t="shared" si="120"/>
        <v>0.16111576850618015</v>
      </c>
      <c r="J46" s="27">
        <f t="shared" si="121"/>
        <v>8.3615330189356953</v>
      </c>
      <c r="K46" s="27"/>
      <c r="L46" s="27">
        <f t="shared" si="122"/>
        <v>11.142660786569401</v>
      </c>
      <c r="M46" s="27">
        <f t="shared" si="123"/>
        <v>4.8064201945594451</v>
      </c>
      <c r="N46" s="27">
        <f t="shared" si="124"/>
        <v>-7.7060265547374662E-2</v>
      </c>
      <c r="O46" s="27">
        <f t="shared" si="125"/>
        <v>15.872020715581471</v>
      </c>
      <c r="Q46" t="str">
        <f>$A$10</f>
        <v>Associate professional occupations</v>
      </c>
      <c r="R46" s="27">
        <f t="shared" si="126"/>
        <v>3.029321578261122</v>
      </c>
      <c r="S46" s="27">
        <f t="shared" si="96"/>
        <v>0.97807712623293241</v>
      </c>
      <c r="T46" s="27">
        <f t="shared" si="97"/>
        <v>-0.79217924797416606</v>
      </c>
      <c r="U46" s="27">
        <f t="shared" si="98"/>
        <v>3.2152194565198933</v>
      </c>
      <c r="V46" s="27"/>
      <c r="W46" s="27">
        <f>AB10-W10</f>
        <v>-0.86074572113083647</v>
      </c>
      <c r="X46" s="27">
        <f t="shared" si="99"/>
        <v>2.3665738333469299E-2</v>
      </c>
      <c r="Y46" s="27">
        <f t="shared" si="100"/>
        <v>1.3583722109344887E-2</v>
      </c>
      <c r="Z46" s="27">
        <f t="shared" si="101"/>
        <v>-0.82349626068802451</v>
      </c>
      <c r="AA46" s="27"/>
      <c r="AB46" s="27">
        <f t="shared" si="128"/>
        <v>2.1685758571302856</v>
      </c>
      <c r="AC46" s="27">
        <f t="shared" si="102"/>
        <v>1.0017428645664017</v>
      </c>
      <c r="AD46" s="27">
        <f t="shared" si="103"/>
        <v>-0.77859552586482117</v>
      </c>
      <c r="AE46" s="27">
        <f t="shared" si="104"/>
        <v>2.3917231958318688</v>
      </c>
      <c r="AG46" t="str">
        <f>$A$10</f>
        <v>Associate professional occupations</v>
      </c>
      <c r="AH46" s="27">
        <f t="shared" si="129"/>
        <v>2.8444278942189563</v>
      </c>
      <c r="AI46" s="27">
        <f t="shared" si="105"/>
        <v>0.89683713198629267</v>
      </c>
      <c r="AJ46" s="27">
        <f t="shared" si="106"/>
        <v>0.5540032139206108</v>
      </c>
      <c r="AK46" s="27">
        <f t="shared" si="107"/>
        <v>4.2952682401258606</v>
      </c>
      <c r="AL46" s="27"/>
      <c r="AM46" s="27">
        <f t="shared" si="130"/>
        <v>6.1296570352201574</v>
      </c>
      <c r="AN46" s="27">
        <f t="shared" si="108"/>
        <v>2.9078401980067525</v>
      </c>
      <c r="AO46" s="27">
        <f t="shared" si="109"/>
        <v>0.14753204639683615</v>
      </c>
      <c r="AP46" s="27">
        <f t="shared" si="110"/>
        <v>9.1850292796237447</v>
      </c>
      <c r="AQ46" s="27"/>
      <c r="AR46" s="27">
        <f t="shared" si="131"/>
        <v>8.9740849294391136</v>
      </c>
      <c r="AS46" s="27">
        <f t="shared" si="111"/>
        <v>3.8046773299930452</v>
      </c>
      <c r="AT46" s="27">
        <f t="shared" si="112"/>
        <v>0.70153526031744695</v>
      </c>
      <c r="AU46" s="27">
        <f t="shared" si="113"/>
        <v>13.480297519749605</v>
      </c>
    </row>
    <row r="47" spans="1:47" x14ac:dyDescent="0.2">
      <c r="A47" t="str">
        <f>$A$11</f>
        <v>Administrative and secretarial occupations</v>
      </c>
      <c r="B47" s="27">
        <f t="shared" si="114"/>
        <v>0.57608518719818846</v>
      </c>
      <c r="C47" s="27">
        <f t="shared" si="115"/>
        <v>-0.96072525631612038</v>
      </c>
      <c r="D47" s="27">
        <f t="shared" si="116"/>
        <v>0.17037003609130785</v>
      </c>
      <c r="E47" s="27">
        <f t="shared" si="117"/>
        <v>-0.21427003302662229</v>
      </c>
      <c r="F47" s="27"/>
      <c r="G47" s="27">
        <f t="shared" si="118"/>
        <v>-0.25597256789852807</v>
      </c>
      <c r="H47" s="27">
        <f t="shared" si="119"/>
        <v>-2.5701118481131324</v>
      </c>
      <c r="I47" s="27">
        <f t="shared" si="120"/>
        <v>-0.14942970672041422</v>
      </c>
      <c r="J47" s="27">
        <f t="shared" si="121"/>
        <v>-2.9755141227320792</v>
      </c>
      <c r="K47" s="27"/>
      <c r="L47" s="27">
        <f t="shared" si="122"/>
        <v>0.32011261929966039</v>
      </c>
      <c r="M47" s="27">
        <f t="shared" si="123"/>
        <v>-3.5308371044292528</v>
      </c>
      <c r="N47" s="27">
        <f t="shared" si="124"/>
        <v>2.0940329370893629E-2</v>
      </c>
      <c r="O47" s="27">
        <f t="shared" si="125"/>
        <v>-3.1897841557587014</v>
      </c>
      <c r="Q47" t="str">
        <f>$A$11</f>
        <v>Administrative and secretarial occupations</v>
      </c>
      <c r="R47" s="27">
        <f t="shared" si="126"/>
        <v>0.84994716692419736</v>
      </c>
      <c r="S47" s="27">
        <f t="shared" si="96"/>
        <v>0.27796300093155102</v>
      </c>
      <c r="T47" s="27">
        <f t="shared" si="97"/>
        <v>-0.10504118123038586</v>
      </c>
      <c r="U47" s="27">
        <f t="shared" si="98"/>
        <v>1.0228689866253635</v>
      </c>
      <c r="V47" s="27"/>
      <c r="W47" s="27">
        <f t="shared" si="127"/>
        <v>1.8137737116116686</v>
      </c>
      <c r="X47" s="27">
        <f t="shared" si="99"/>
        <v>-0.24270632141753001</v>
      </c>
      <c r="Y47" s="27">
        <f t="shared" si="100"/>
        <v>8.3625923670583913E-2</v>
      </c>
      <c r="Z47" s="27">
        <f t="shared" si="101"/>
        <v>1.6546933138647226</v>
      </c>
      <c r="AA47" s="27"/>
      <c r="AB47" s="27">
        <f t="shared" si="128"/>
        <v>2.6637208785358659</v>
      </c>
      <c r="AC47" s="27">
        <f t="shared" si="102"/>
        <v>3.5256679514021005E-2</v>
      </c>
      <c r="AD47" s="27">
        <f t="shared" si="103"/>
        <v>-2.1415257559801948E-2</v>
      </c>
      <c r="AE47" s="27">
        <f t="shared" si="104"/>
        <v>2.6775623004900861</v>
      </c>
      <c r="AG47" t="str">
        <f>$A$11</f>
        <v>Administrative and secretarial occupations</v>
      </c>
      <c r="AH47" s="27">
        <f t="shared" si="129"/>
        <v>-0.27386197972599291</v>
      </c>
      <c r="AI47" s="27">
        <f t="shared" si="105"/>
        <v>-1.2386882572476701</v>
      </c>
      <c r="AJ47" s="27">
        <f t="shared" si="106"/>
        <v>0.27541121732169405</v>
      </c>
      <c r="AK47" s="27">
        <f t="shared" si="107"/>
        <v>-1.2371390196519698</v>
      </c>
      <c r="AL47" s="27"/>
      <c r="AM47" s="27">
        <f t="shared" si="130"/>
        <v>-2.06974627951017</v>
      </c>
      <c r="AN47" s="27">
        <f t="shared" si="108"/>
        <v>-2.3274055266956069</v>
      </c>
      <c r="AO47" s="27">
        <f t="shared" si="109"/>
        <v>-0.23305563039099875</v>
      </c>
      <c r="AP47" s="27">
        <f>AU11-AP11</f>
        <v>-4.6302074365967769</v>
      </c>
      <c r="AQ47" s="27"/>
      <c r="AR47" s="27">
        <f t="shared" si="131"/>
        <v>-2.3436082592361629</v>
      </c>
      <c r="AS47" s="27">
        <f t="shared" si="111"/>
        <v>-3.5660937839432769</v>
      </c>
      <c r="AT47" s="27">
        <f t="shared" si="112"/>
        <v>4.2355586930695299E-2</v>
      </c>
      <c r="AU47" s="27">
        <f t="shared" si="113"/>
        <v>-5.8673464562487467</v>
      </c>
    </row>
    <row r="48" spans="1:47" x14ac:dyDescent="0.2">
      <c r="A48" t="str">
        <f>$A$12</f>
        <v>Skilled trades occupations</v>
      </c>
      <c r="B48" s="27">
        <f t="shared" si="114"/>
        <v>-3.9806345954462472</v>
      </c>
      <c r="C48" s="27">
        <f t="shared" si="115"/>
        <v>-1.3370291449217779</v>
      </c>
      <c r="D48" s="27">
        <f t="shared" si="116"/>
        <v>-1.7214633153532084</v>
      </c>
      <c r="E48" s="27">
        <f t="shared" si="117"/>
        <v>-7.039127055721238</v>
      </c>
      <c r="F48" s="27"/>
      <c r="G48" s="27">
        <f t="shared" si="118"/>
        <v>-5.3482196847188348</v>
      </c>
      <c r="H48" s="27">
        <f t="shared" si="119"/>
        <v>0.46870264565185504</v>
      </c>
      <c r="I48" s="27">
        <f t="shared" si="120"/>
        <v>-0.41853348692460202</v>
      </c>
      <c r="J48" s="27">
        <f t="shared" si="121"/>
        <v>-5.2980505259915773</v>
      </c>
      <c r="K48" s="27"/>
      <c r="L48" s="27">
        <f t="shared" si="122"/>
        <v>-9.328854280165082</v>
      </c>
      <c r="M48" s="27">
        <f t="shared" si="123"/>
        <v>-0.86832649926992289</v>
      </c>
      <c r="N48" s="27">
        <f t="shared" si="124"/>
        <v>-2.1399968022778104</v>
      </c>
      <c r="O48" s="27">
        <f t="shared" si="125"/>
        <v>-12.337177581712815</v>
      </c>
      <c r="Q48" t="str">
        <f>$A$12</f>
        <v>Skilled trades occupations</v>
      </c>
      <c r="R48" s="27">
        <f t="shared" si="126"/>
        <v>-4.1081969260887874</v>
      </c>
      <c r="S48" s="27">
        <f t="shared" si="96"/>
        <v>-1.1019997317836556</v>
      </c>
      <c r="T48" s="27">
        <f t="shared" si="97"/>
        <v>-2.0448926963982093</v>
      </c>
      <c r="U48" s="27">
        <f t="shared" si="98"/>
        <v>-7.2550893542706518</v>
      </c>
      <c r="V48" s="27"/>
      <c r="W48" s="27">
        <f t="shared" si="127"/>
        <v>-5.3279881414675572</v>
      </c>
      <c r="X48" s="27">
        <f t="shared" si="99"/>
        <v>0.52719385513413375</v>
      </c>
      <c r="Y48" s="27">
        <f t="shared" si="100"/>
        <v>-0.50953814342574155</v>
      </c>
      <c r="Z48" s="27">
        <f t="shared" si="101"/>
        <v>-5.3103324297591712</v>
      </c>
      <c r="AA48" s="27"/>
      <c r="AB48" s="27">
        <f t="shared" si="128"/>
        <v>-9.4361850675563446</v>
      </c>
      <c r="AC48" s="27">
        <f t="shared" si="102"/>
        <v>-0.57480587664952187</v>
      </c>
      <c r="AD48" s="27">
        <f t="shared" si="103"/>
        <v>-2.5544308398239508</v>
      </c>
      <c r="AE48" s="27">
        <f t="shared" si="104"/>
        <v>-12.565421784029823</v>
      </c>
      <c r="AG48" t="str">
        <f>$A$12</f>
        <v>Skilled trades occupations</v>
      </c>
      <c r="AH48" s="27">
        <f t="shared" si="129"/>
        <v>0.12756233064256017</v>
      </c>
      <c r="AI48" s="27">
        <f t="shared" si="105"/>
        <v>-0.23502941313812342</v>
      </c>
      <c r="AJ48" s="27">
        <f t="shared" si="106"/>
        <v>0.32342938104499686</v>
      </c>
      <c r="AK48" s="27">
        <f t="shared" si="107"/>
        <v>0.21596229854943427</v>
      </c>
      <c r="AL48" s="27"/>
      <c r="AM48" s="27">
        <f t="shared" si="130"/>
        <v>-2.0231543251297168E-2</v>
      </c>
      <c r="AN48" s="27">
        <f t="shared" si="108"/>
        <v>-5.849120948228026E-2</v>
      </c>
      <c r="AO48" s="27">
        <f t="shared" si="109"/>
        <v>9.1004656501139092E-2</v>
      </c>
      <c r="AP48" s="27">
        <f t="shared" si="110"/>
        <v>1.2281903767560998E-2</v>
      </c>
      <c r="AQ48" s="27"/>
      <c r="AR48" s="27">
        <f t="shared" si="131"/>
        <v>0.10733078739126301</v>
      </c>
      <c r="AS48" s="27">
        <f t="shared" si="111"/>
        <v>-0.29352062262040368</v>
      </c>
      <c r="AT48" s="27">
        <f t="shared" si="112"/>
        <v>0.41443403754613595</v>
      </c>
      <c r="AU48" s="27">
        <f t="shared" si="113"/>
        <v>0.22824420231699527</v>
      </c>
    </row>
    <row r="49" spans="1:47" x14ac:dyDescent="0.2">
      <c r="A49" t="str">
        <f>$A$13</f>
        <v>Caring, leisure and other service occupations</v>
      </c>
      <c r="B49" s="27">
        <f t="shared" si="114"/>
        <v>0.2759235980253365</v>
      </c>
      <c r="C49" s="27">
        <f t="shared" si="115"/>
        <v>-0.75747787553240542</v>
      </c>
      <c r="D49" s="27">
        <f t="shared" si="116"/>
        <v>2.1068774912718444</v>
      </c>
      <c r="E49" s="27">
        <f t="shared" si="117"/>
        <v>1.6253232137647728</v>
      </c>
      <c r="F49" s="27"/>
      <c r="G49" s="27">
        <f t="shared" si="118"/>
        <v>3.4689519636647006</v>
      </c>
      <c r="H49" s="27">
        <f t="shared" si="119"/>
        <v>-0.54217595749452485</v>
      </c>
      <c r="I49" s="27">
        <f t="shared" si="120"/>
        <v>0.65437219012120984</v>
      </c>
      <c r="J49" s="27">
        <f t="shared" si="121"/>
        <v>3.5811481962913874</v>
      </c>
      <c r="K49" s="27"/>
      <c r="L49" s="27">
        <f t="shared" si="122"/>
        <v>3.7448755616900371</v>
      </c>
      <c r="M49" s="27">
        <f t="shared" si="123"/>
        <v>-1.2996538330269303</v>
      </c>
      <c r="N49" s="27">
        <f t="shared" si="124"/>
        <v>2.7612496813930543</v>
      </c>
      <c r="O49" s="27">
        <f t="shared" si="125"/>
        <v>5.2064714100561602</v>
      </c>
      <c r="Q49" t="str">
        <f>$A$13</f>
        <v>Caring, leisure and other service occupations</v>
      </c>
      <c r="R49" s="27">
        <f t="shared" si="126"/>
        <v>0.21328818414353012</v>
      </c>
      <c r="S49" s="27">
        <f t="shared" si="96"/>
        <v>0.41568494955027013</v>
      </c>
      <c r="T49" s="27">
        <f t="shared" si="97"/>
        <v>6.7305827491898951E-2</v>
      </c>
      <c r="U49" s="27">
        <f t="shared" si="98"/>
        <v>0.69627896118569765</v>
      </c>
      <c r="V49" s="27"/>
      <c r="W49" s="27">
        <f t="shared" si="127"/>
        <v>1.0180893591599602</v>
      </c>
      <c r="X49" s="27">
        <f t="shared" si="99"/>
        <v>1.10281202794642</v>
      </c>
      <c r="Y49" s="27">
        <f t="shared" si="100"/>
        <v>0.37132510951522668</v>
      </c>
      <c r="Z49" s="27">
        <f t="shared" si="101"/>
        <v>2.4922264966216083</v>
      </c>
      <c r="AA49" s="27"/>
      <c r="AB49" s="27">
        <f t="shared" si="128"/>
        <v>1.2313775433034904</v>
      </c>
      <c r="AC49" s="27">
        <f t="shared" si="102"/>
        <v>1.5184969774966901</v>
      </c>
      <c r="AD49" s="27">
        <f t="shared" si="103"/>
        <v>0.43863093700712563</v>
      </c>
      <c r="AE49" s="27">
        <f t="shared" si="104"/>
        <v>3.188505457807306</v>
      </c>
      <c r="AG49" t="str">
        <f>$A$13</f>
        <v>Caring, leisure and other service occupations</v>
      </c>
      <c r="AH49" s="27">
        <f t="shared" si="129"/>
        <v>6.2635413881807267E-2</v>
      </c>
      <c r="AI49" s="27">
        <f t="shared" si="105"/>
        <v>-1.1731628250826809</v>
      </c>
      <c r="AJ49" s="27">
        <f t="shared" si="106"/>
        <v>2.0395716637799457</v>
      </c>
      <c r="AK49" s="27">
        <f t="shared" si="107"/>
        <v>0.92904425257907519</v>
      </c>
      <c r="AL49" s="27"/>
      <c r="AM49" s="27">
        <f t="shared" si="130"/>
        <v>2.4508626045047528</v>
      </c>
      <c r="AN49" s="27">
        <f t="shared" si="108"/>
        <v>-1.6449879854409488</v>
      </c>
      <c r="AO49" s="27">
        <f t="shared" si="109"/>
        <v>0.28304708060598305</v>
      </c>
      <c r="AP49" s="27">
        <f t="shared" si="110"/>
        <v>1.0889216996697897</v>
      </c>
      <c r="AQ49" s="27"/>
      <c r="AR49" s="27">
        <f t="shared" si="131"/>
        <v>2.5134980183865601</v>
      </c>
      <c r="AS49" s="27">
        <f t="shared" si="111"/>
        <v>-2.8181508105236297</v>
      </c>
      <c r="AT49" s="27">
        <f t="shared" si="112"/>
        <v>2.3226187443859287</v>
      </c>
      <c r="AU49" s="27">
        <f t="shared" si="113"/>
        <v>2.0179659522488649</v>
      </c>
    </row>
    <row r="50" spans="1:47" x14ac:dyDescent="0.2">
      <c r="A50" t="str">
        <f>$A$14</f>
        <v>Sales and customer service occupations</v>
      </c>
      <c r="B50" s="27">
        <f t="shared" si="114"/>
        <v>-1.7615572006042122</v>
      </c>
      <c r="C50" s="27">
        <f t="shared" si="115"/>
        <v>-1.0610089426083036</v>
      </c>
      <c r="D50" s="27">
        <f t="shared" si="116"/>
        <v>-0.71803218667719815</v>
      </c>
      <c r="E50" s="27">
        <f t="shared" si="117"/>
        <v>-3.5405983298897183</v>
      </c>
      <c r="F50" s="27"/>
      <c r="G50" s="27">
        <f t="shared" si="118"/>
        <v>-0.75553155123931681</v>
      </c>
      <c r="H50" s="27">
        <f t="shared" si="119"/>
        <v>0.99349160535047076</v>
      </c>
      <c r="I50" s="27">
        <f t="shared" si="120"/>
        <v>-0.54393575552811035</v>
      </c>
      <c r="J50" s="27">
        <f t="shared" si="121"/>
        <v>-0.30597570141695485</v>
      </c>
      <c r="K50" s="27"/>
      <c r="L50" s="27">
        <f t="shared" si="122"/>
        <v>-2.517088751843529</v>
      </c>
      <c r="M50" s="27">
        <f t="shared" si="123"/>
        <v>-6.7517337257832821E-2</v>
      </c>
      <c r="N50" s="27">
        <f t="shared" si="124"/>
        <v>-1.2619679422053085</v>
      </c>
      <c r="O50" s="27">
        <f t="shared" si="125"/>
        <v>-3.8465740313066732</v>
      </c>
      <c r="Q50" t="str">
        <f>$A$14</f>
        <v>Sales and customer service occupations</v>
      </c>
      <c r="R50" s="27">
        <f t="shared" si="126"/>
        <v>-0.45535116664022635</v>
      </c>
      <c r="S50" s="27">
        <f t="shared" si="96"/>
        <v>-3.5291208192173684E-2</v>
      </c>
      <c r="T50" s="27">
        <f t="shared" si="97"/>
        <v>-0.1102661949975996</v>
      </c>
      <c r="U50" s="27">
        <f t="shared" si="98"/>
        <v>-0.60090856983000229</v>
      </c>
      <c r="V50" s="27"/>
      <c r="W50" s="27">
        <f t="shared" si="127"/>
        <v>-8.8152621701403255E-2</v>
      </c>
      <c r="X50" s="27">
        <f t="shared" si="99"/>
        <v>0.91577118048323491</v>
      </c>
      <c r="Y50" s="27">
        <f t="shared" si="100"/>
        <v>-0.24551873559023729</v>
      </c>
      <c r="Z50" s="27">
        <f t="shared" si="101"/>
        <v>0.58209982319159614</v>
      </c>
      <c r="AA50" s="27"/>
      <c r="AB50" s="27">
        <f t="shared" si="128"/>
        <v>-0.5435037883416296</v>
      </c>
      <c r="AC50" s="27">
        <f t="shared" si="102"/>
        <v>0.88047997229106123</v>
      </c>
      <c r="AD50" s="27">
        <f t="shared" si="103"/>
        <v>-0.35578493058783689</v>
      </c>
      <c r="AE50" s="27">
        <f t="shared" si="104"/>
        <v>-1.8808746638406149E-2</v>
      </c>
      <c r="AG50" t="str">
        <f>$A$14</f>
        <v>Sales and customer service occupations</v>
      </c>
      <c r="AH50" s="27">
        <f t="shared" si="129"/>
        <v>-1.3062060339639849</v>
      </c>
      <c r="AI50" s="27">
        <f t="shared" si="105"/>
        <v>-1.0257177344161335</v>
      </c>
      <c r="AJ50" s="27">
        <f t="shared" si="106"/>
        <v>-0.60776599167959999</v>
      </c>
      <c r="AK50" s="27">
        <f t="shared" si="107"/>
        <v>-2.9396897600597214</v>
      </c>
      <c r="AL50" s="27"/>
      <c r="AM50" s="27">
        <f t="shared" si="130"/>
        <v>-0.66737892953792333</v>
      </c>
      <c r="AN50" s="27">
        <f t="shared" si="108"/>
        <v>7.7720424867244731E-2</v>
      </c>
      <c r="AO50" s="27">
        <f t="shared" si="109"/>
        <v>-0.29841701993787284</v>
      </c>
      <c r="AP50" s="27">
        <f t="shared" si="110"/>
        <v>-0.88807552460855277</v>
      </c>
      <c r="AQ50" s="27"/>
      <c r="AR50" s="27">
        <f t="shared" si="131"/>
        <v>-1.9735849635019083</v>
      </c>
      <c r="AS50" s="27">
        <f t="shared" si="111"/>
        <v>-0.94799730954888872</v>
      </c>
      <c r="AT50" s="27">
        <f t="shared" si="112"/>
        <v>-0.90618301161747283</v>
      </c>
      <c r="AU50" s="27">
        <f t="shared" si="113"/>
        <v>-3.8277652846682741</v>
      </c>
    </row>
    <row r="51" spans="1:47" x14ac:dyDescent="0.2">
      <c r="A51" t="str">
        <f>$A$15</f>
        <v>Process, plant and machine operatives</v>
      </c>
      <c r="B51" s="27">
        <f t="shared" si="114"/>
        <v>-5.0142787309858399</v>
      </c>
      <c r="C51" s="27">
        <f t="shared" si="115"/>
        <v>0.95997951491697719</v>
      </c>
      <c r="D51" s="27">
        <f t="shared" si="116"/>
        <v>0.86155586506166237</v>
      </c>
      <c r="E51" s="27">
        <f t="shared" si="117"/>
        <v>-3.192743351007195</v>
      </c>
      <c r="F51" s="27"/>
      <c r="G51" s="27">
        <f t="shared" si="118"/>
        <v>-3.7213017064129872</v>
      </c>
      <c r="H51" s="27">
        <f t="shared" si="119"/>
        <v>0.82625779475861982</v>
      </c>
      <c r="I51" s="27">
        <f t="shared" si="120"/>
        <v>0.62649725699777559</v>
      </c>
      <c r="J51" s="27">
        <f t="shared" si="121"/>
        <v>-2.2685466546565962</v>
      </c>
      <c r="K51" s="27"/>
      <c r="L51" s="27">
        <f t="shared" si="122"/>
        <v>-8.7355804373988271</v>
      </c>
      <c r="M51" s="27">
        <f t="shared" si="123"/>
        <v>1.786237309675597</v>
      </c>
      <c r="N51" s="27">
        <f t="shared" si="124"/>
        <v>1.488053122059438</v>
      </c>
      <c r="O51" s="27">
        <f t="shared" si="125"/>
        <v>-5.4612900056637912</v>
      </c>
      <c r="Q51" t="str">
        <f>$A$15</f>
        <v>Process, plant and machine operatives</v>
      </c>
      <c r="R51" s="27">
        <f t="shared" si="126"/>
        <v>-4.0135073570476294</v>
      </c>
      <c r="S51" s="27">
        <f t="shared" si="96"/>
        <v>0.98462612645593151</v>
      </c>
      <c r="T51" s="27">
        <f t="shared" si="97"/>
        <v>0.66135406892641413</v>
      </c>
      <c r="U51" s="27">
        <f t="shared" si="98"/>
        <v>-2.3675271616652864</v>
      </c>
      <c r="V51" s="27"/>
      <c r="W51" s="27">
        <f t="shared" si="127"/>
        <v>-4.4189590999771937</v>
      </c>
      <c r="X51" s="27">
        <f t="shared" si="99"/>
        <v>0.24034277810037441</v>
      </c>
      <c r="Y51" s="27">
        <f t="shared" si="100"/>
        <v>0.62514929067990899</v>
      </c>
      <c r="Z51" s="27">
        <f t="shared" si="101"/>
        <v>-3.5534670311969094</v>
      </c>
      <c r="AA51" s="27"/>
      <c r="AB51" s="27">
        <f t="shared" si="128"/>
        <v>-8.4324664570248231</v>
      </c>
      <c r="AC51" s="27">
        <f t="shared" si="102"/>
        <v>1.2249689045563059</v>
      </c>
      <c r="AD51" s="27">
        <f t="shared" si="103"/>
        <v>1.2865033596063231</v>
      </c>
      <c r="AE51" s="27">
        <f t="shared" si="104"/>
        <v>-5.9209941928621959</v>
      </c>
      <c r="AG51" t="str">
        <f>$A$15</f>
        <v>Process, plant and machine operatives</v>
      </c>
      <c r="AH51" s="27">
        <f t="shared" si="129"/>
        <v>-1.0007713739381985</v>
      </c>
      <c r="AI51" s="27">
        <f t="shared" si="105"/>
        <v>-2.4646611538956975E-2</v>
      </c>
      <c r="AJ51" s="27">
        <f t="shared" si="106"/>
        <v>0.20020179613524819</v>
      </c>
      <c r="AK51" s="27">
        <f t="shared" si="107"/>
        <v>-0.82521618934190766</v>
      </c>
      <c r="AL51" s="27"/>
      <c r="AM51" s="27">
        <f t="shared" si="130"/>
        <v>0.6976573935642123</v>
      </c>
      <c r="AN51" s="27">
        <f t="shared" si="108"/>
        <v>0.58591501665824608</v>
      </c>
      <c r="AO51" s="27">
        <f t="shared" si="109"/>
        <v>1.3479663178714851E-3</v>
      </c>
      <c r="AP51" s="27">
        <f t="shared" si="110"/>
        <v>1.2849203765403292</v>
      </c>
      <c r="AQ51" s="27"/>
      <c r="AR51" s="27">
        <f t="shared" si="131"/>
        <v>-0.30311398037398618</v>
      </c>
      <c r="AS51" s="27">
        <f t="shared" si="111"/>
        <v>0.5612684051192891</v>
      </c>
      <c r="AT51" s="27">
        <f t="shared" si="112"/>
        <v>0.20154976245311967</v>
      </c>
      <c r="AU51" s="27">
        <f t="shared" si="113"/>
        <v>0.45970418719842154</v>
      </c>
    </row>
    <row r="52" spans="1:47" x14ac:dyDescent="0.2">
      <c r="A52" t="str">
        <f>$A$16</f>
        <v>Elementary occupations</v>
      </c>
      <c r="B52" s="27">
        <f t="shared" si="114"/>
        <v>-4.5542876167239932</v>
      </c>
      <c r="C52" s="27">
        <f t="shared" si="115"/>
        <v>-3.0196535788519405</v>
      </c>
      <c r="D52" s="27">
        <f t="shared" si="116"/>
        <v>-0.11799081840126213</v>
      </c>
      <c r="E52" s="27">
        <f t="shared" si="117"/>
        <v>-7.6919320139772012</v>
      </c>
      <c r="F52" s="27"/>
      <c r="G52" s="27">
        <f t="shared" si="118"/>
        <v>2.7234079083030132</v>
      </c>
      <c r="H52" s="27">
        <f t="shared" si="119"/>
        <v>-4.377457657014773</v>
      </c>
      <c r="I52" s="27">
        <f t="shared" si="120"/>
        <v>1.073744286222782</v>
      </c>
      <c r="J52" s="27">
        <f t="shared" si="121"/>
        <v>-0.58030546248897252</v>
      </c>
      <c r="K52" s="27"/>
      <c r="L52" s="27">
        <f t="shared" si="122"/>
        <v>-1.83087970842098</v>
      </c>
      <c r="M52" s="27">
        <f t="shared" si="123"/>
        <v>-7.3971112358667135</v>
      </c>
      <c r="N52" s="27">
        <f t="shared" si="124"/>
        <v>0.95575346782151982</v>
      </c>
      <c r="O52" s="27">
        <f t="shared" si="125"/>
        <v>-8.2722374764661737</v>
      </c>
      <c r="Q52" t="str">
        <f>$A$16</f>
        <v>Elementary occupations</v>
      </c>
      <c r="R52" s="27">
        <f t="shared" si="126"/>
        <v>-3.5626902795055067</v>
      </c>
      <c r="S52" s="27">
        <f t="shared" si="96"/>
        <v>-1.2356970240514453</v>
      </c>
      <c r="T52" s="27">
        <f t="shared" si="97"/>
        <v>-4.0677875870991809E-2</v>
      </c>
      <c r="U52" s="27">
        <f t="shared" si="98"/>
        <v>-4.8390651794279442</v>
      </c>
      <c r="V52" s="27"/>
      <c r="W52" s="27">
        <f t="shared" si="127"/>
        <v>1.5011590237010104</v>
      </c>
      <c r="X52" s="27">
        <f t="shared" si="99"/>
        <v>-1.95746454407558</v>
      </c>
      <c r="Y52" s="27">
        <f t="shared" si="100"/>
        <v>0.71606318809599001</v>
      </c>
      <c r="Z52" s="27">
        <f t="shared" si="101"/>
        <v>0.25975766772141995</v>
      </c>
      <c r="AA52" s="27"/>
      <c r="AB52" s="27">
        <f t="shared" si="128"/>
        <v>-2.0615312558044963</v>
      </c>
      <c r="AC52" s="27">
        <f t="shared" si="102"/>
        <v>-3.1931615681270253</v>
      </c>
      <c r="AD52" s="27">
        <f t="shared" si="103"/>
        <v>0.6753853122249982</v>
      </c>
      <c r="AE52" s="27">
        <f t="shared" si="104"/>
        <v>-4.5793075117065243</v>
      </c>
      <c r="AG52" t="str">
        <f>$A$16</f>
        <v>Elementary occupations</v>
      </c>
      <c r="AH52" s="27">
        <f t="shared" si="129"/>
        <v>-0.99159733721847854</v>
      </c>
      <c r="AI52" s="27">
        <f t="shared" si="105"/>
        <v>-1.7839565548005218</v>
      </c>
      <c r="AJ52" s="27">
        <f t="shared" si="106"/>
        <v>-7.7312942530271878E-2</v>
      </c>
      <c r="AK52" s="27">
        <f t="shared" si="107"/>
        <v>-2.8528668345492711</v>
      </c>
      <c r="AL52" s="27"/>
      <c r="AM52" s="27">
        <f t="shared" si="130"/>
        <v>1.2222488846020374</v>
      </c>
      <c r="AN52" s="27">
        <f t="shared" si="108"/>
        <v>-2.4199931129391672</v>
      </c>
      <c r="AO52" s="27">
        <f t="shared" si="109"/>
        <v>0.35768109812679416</v>
      </c>
      <c r="AP52" s="27">
        <f t="shared" si="110"/>
        <v>-0.84006313021033563</v>
      </c>
      <c r="AQ52" s="27"/>
      <c r="AR52" s="27">
        <f t="shared" si="131"/>
        <v>0.23065154738355886</v>
      </c>
      <c r="AS52" s="27">
        <f t="shared" si="111"/>
        <v>-4.203949667739689</v>
      </c>
      <c r="AT52" s="27">
        <f t="shared" si="112"/>
        <v>0.28036815559652228</v>
      </c>
      <c r="AU52" s="27">
        <f t="shared" si="113"/>
        <v>-3.6929299647596068</v>
      </c>
    </row>
    <row r="53" spans="1:47" x14ac:dyDescent="0.2">
      <c r="B53" s="27"/>
      <c r="C53" s="27"/>
      <c r="D53" s="27"/>
      <c r="E53" s="27"/>
      <c r="F53" s="27"/>
      <c r="G53" s="27"/>
      <c r="H53" s="27"/>
      <c r="I53" s="27"/>
      <c r="J53" s="27"/>
      <c r="K53" s="27"/>
      <c r="L53" s="27"/>
      <c r="M53" s="27"/>
      <c r="N53" s="27"/>
      <c r="O53" s="27"/>
      <c r="R53" s="27"/>
      <c r="S53" s="27"/>
      <c r="T53" s="27"/>
      <c r="U53" s="27"/>
      <c r="V53" s="27"/>
      <c r="W53" s="27"/>
      <c r="X53" s="27"/>
      <c r="Y53" s="27"/>
      <c r="Z53" s="27"/>
      <c r="AA53" s="27"/>
      <c r="AB53" s="27"/>
      <c r="AC53" s="27"/>
      <c r="AD53" s="27"/>
      <c r="AE53" s="27"/>
      <c r="AH53" s="27"/>
      <c r="AI53" s="27"/>
      <c r="AJ53" s="27"/>
      <c r="AK53" s="27"/>
      <c r="AL53" s="27"/>
      <c r="AM53" s="27"/>
      <c r="AN53" s="27"/>
      <c r="AO53" s="27"/>
      <c r="AP53" s="27"/>
      <c r="AQ53" s="27"/>
      <c r="AR53" s="27"/>
      <c r="AS53" s="27"/>
      <c r="AT53" s="27"/>
      <c r="AU53" s="27"/>
    </row>
    <row r="54" spans="1:47" x14ac:dyDescent="0.2">
      <c r="A54" s="24" t="str">
        <f>$A$18</f>
        <v>All occupations</v>
      </c>
      <c r="B54" s="29">
        <f t="shared" si="114"/>
        <v>8.871829729098522</v>
      </c>
      <c r="C54" s="29">
        <f t="shared" si="115"/>
        <v>1.9809856920816458</v>
      </c>
      <c r="D54" s="29">
        <f t="shared" si="116"/>
        <v>2.3871845788201185</v>
      </c>
      <c r="E54" s="29">
        <f t="shared" si="117"/>
        <v>13.240000000000293</v>
      </c>
      <c r="F54" s="29"/>
      <c r="G54" s="29">
        <f t="shared" si="118"/>
        <v>13.477640551104571</v>
      </c>
      <c r="H54" s="29">
        <f t="shared" si="119"/>
        <v>1.9335598934228813</v>
      </c>
      <c r="I54" s="29">
        <f t="shared" si="120"/>
        <v>2.6557995554722069</v>
      </c>
      <c r="J54" s="29">
        <f t="shared" si="121"/>
        <v>18.066999999999666</v>
      </c>
      <c r="K54" s="29"/>
      <c r="L54" s="29">
        <f t="shared" si="122"/>
        <v>22.349470280203093</v>
      </c>
      <c r="M54" s="29">
        <f t="shared" si="123"/>
        <v>3.914545585504527</v>
      </c>
      <c r="N54" s="29">
        <f t="shared" si="124"/>
        <v>5.0429841342923254</v>
      </c>
      <c r="O54" s="29">
        <f t="shared" si="125"/>
        <v>31.30699999999996</v>
      </c>
      <c r="Q54" s="24" t="str">
        <f>$A$18</f>
        <v>All occupations</v>
      </c>
      <c r="R54" s="29">
        <f t="shared" ref="R54" si="132">W18-R18</f>
        <v>1.604673333395283</v>
      </c>
      <c r="S54" s="29">
        <f t="shared" ref="S54" si="133">X18-S18</f>
        <v>3.0778501448783473</v>
      </c>
      <c r="T54" s="29">
        <f t="shared" ref="T54" si="134">Y18-T18</f>
        <v>-2.6822977619653301</v>
      </c>
      <c r="U54" s="29">
        <f t="shared" ref="U54" si="135">Z18-U18</f>
        <v>2.0002257163083073</v>
      </c>
      <c r="V54" s="29"/>
      <c r="W54" s="29">
        <f t="shared" ref="W54" si="136">AB18-W18</f>
        <v>1.6228909116317993</v>
      </c>
      <c r="X54" s="29">
        <f t="shared" ref="X54" si="137">AC18-X18</f>
        <v>2.5606865846700586</v>
      </c>
      <c r="Y54" s="29">
        <f t="shared" ref="Y54" si="138">AD18-Y18</f>
        <v>1.2130001801231529</v>
      </c>
      <c r="Z54" s="29">
        <f t="shared" ref="Z54" si="139">AE18-Z18</f>
        <v>5.3965776764250108</v>
      </c>
      <c r="AA54" s="29"/>
      <c r="AB54" s="29">
        <f t="shared" ref="AB54" si="140">AB18-R18</f>
        <v>3.2275642450270823</v>
      </c>
      <c r="AC54" s="29">
        <f t="shared" ref="AC54" si="141">AC18-S18</f>
        <v>5.6385367295484059</v>
      </c>
      <c r="AD54" s="29">
        <f t="shared" ref="AD54" si="142">AD18-T18</f>
        <v>-1.4692975818421772</v>
      </c>
      <c r="AE54" s="29">
        <f t="shared" ref="AE54" si="143">AE18-U18</f>
        <v>7.3968033927333181</v>
      </c>
      <c r="AG54" s="24" t="str">
        <f>$A$18</f>
        <v>All occupations</v>
      </c>
      <c r="AH54" s="29">
        <f t="shared" ref="AH54" si="144">AM18-AH18</f>
        <v>7.267156395703239</v>
      </c>
      <c r="AI54" s="29">
        <f t="shared" ref="AI54" si="145">AN18-AI18</f>
        <v>-1.0968644527967371</v>
      </c>
      <c r="AJ54" s="29">
        <f t="shared" ref="AJ54" si="146">AO18-AJ18</f>
        <v>5.069482340785445</v>
      </c>
      <c r="AK54" s="29">
        <f t="shared" ref="AK54" si="147">AP18-AK18</f>
        <v>11.239774283691929</v>
      </c>
      <c r="AL54" s="29"/>
      <c r="AM54" s="29">
        <f t="shared" ref="AM54" si="148">AR18-AM18</f>
        <v>11.854749639472928</v>
      </c>
      <c r="AN54" s="29">
        <f t="shared" ref="AN54" si="149">AS18-AN18</f>
        <v>-0.62712669124712761</v>
      </c>
      <c r="AO54" s="29">
        <f t="shared" ref="AO54" si="150">AT18-AO18</f>
        <v>1.4427993753490291</v>
      </c>
      <c r="AP54" s="29">
        <f t="shared" ref="AP54" si="151">AU18-AP18</f>
        <v>12.670422323574854</v>
      </c>
      <c r="AQ54" s="29"/>
      <c r="AR54" s="29">
        <f t="shared" ref="AR54" si="152">AR18-AH18</f>
        <v>19.121906035176167</v>
      </c>
      <c r="AS54" s="29">
        <f t="shared" ref="AS54" si="153">AS18-AI18</f>
        <v>-1.7239911440438647</v>
      </c>
      <c r="AT54" s="29">
        <f t="shared" ref="AT54" si="154">AT18-AJ18</f>
        <v>6.5122817161344742</v>
      </c>
      <c r="AU54" s="29">
        <f t="shared" ref="AU54" si="155">AU18-AK18</f>
        <v>23.910196607266784</v>
      </c>
    </row>
  </sheetData>
  <mergeCells count="27">
    <mergeCell ref="AH5:AK5"/>
    <mergeCell ref="AM5:AP5"/>
    <mergeCell ref="AR5:AU5"/>
    <mergeCell ref="AH23:AK23"/>
    <mergeCell ref="AM23:AP23"/>
    <mergeCell ref="AR23:AU23"/>
    <mergeCell ref="AH41:AK41"/>
    <mergeCell ref="W41:Z41"/>
    <mergeCell ref="AB41:AE41"/>
    <mergeCell ref="AM41:AP41"/>
    <mergeCell ref="AR41:AU41"/>
    <mergeCell ref="B41:E41"/>
    <mergeCell ref="G41:J41"/>
    <mergeCell ref="L41:O41"/>
    <mergeCell ref="R5:U5"/>
    <mergeCell ref="W5:Z5"/>
    <mergeCell ref="B5:E5"/>
    <mergeCell ref="G5:J5"/>
    <mergeCell ref="L5:O5"/>
    <mergeCell ref="B23:E23"/>
    <mergeCell ref="G23:J23"/>
    <mergeCell ref="L23:O23"/>
    <mergeCell ref="AB5:AE5"/>
    <mergeCell ref="R23:U23"/>
    <mergeCell ref="W23:Z23"/>
    <mergeCell ref="AB23:AE23"/>
    <mergeCell ref="R41:U41"/>
  </mergeCells>
  <pageMargins left="0.39370078740157483" right="0.39370078740157483" top="0.78740157480314965" bottom="0.78740157480314965" header="0.51181102362204722" footer="0.51181102362204722"/>
  <pageSetup paperSize="9" scale="70" orientation="portrait" r:id="rId1"/>
  <headerFooter alignWithMargins="0"/>
  <colBreaks count="2" manualBreakCount="2">
    <brk id="16" max="53" man="1"/>
    <brk id="32" max="53" man="1"/>
  </colBreaks>
  <drawing r:id="rId2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300-000000000000}">
  <sheetPr codeName="Sheet46"/>
  <dimension ref="A1:N163"/>
  <sheetViews>
    <sheetView zoomScale="75" zoomScaleNormal="75" workbookViewId="0"/>
  </sheetViews>
  <sheetFormatPr defaultColWidth="9.140625" defaultRowHeight="12.75" x14ac:dyDescent="0.2"/>
  <cols>
    <col min="1" max="1" width="11" style="157" bestFit="1" customWidth="1"/>
    <col min="2" max="9" width="9.140625" style="157"/>
    <col min="10" max="10" width="17.5703125" style="157" customWidth="1"/>
    <col min="11" max="11" width="8.28515625" style="157" customWidth="1"/>
    <col min="12" max="12" width="52.7109375" style="91" customWidth="1"/>
    <col min="13" max="14" width="10.140625" style="91" customWidth="1"/>
    <col min="15" max="16384" width="9.140625" style="91"/>
  </cols>
  <sheetData>
    <row r="1" spans="1:14" ht="15.75" x14ac:dyDescent="0.25">
      <c r="A1" s="156" t="str">
        <f>CONCATENATE("Occupation Figure 1  Growth in Employment by Occupation (SOC 2020), ",M6," and ",N6,", ",Info!B5)</f>
        <v>Occupation Figure 1  Growth in Employment by Occupation (SOC 2020), 2015-2020 and 2020-2035, Greater Lincolnshire</v>
      </c>
    </row>
    <row r="2" spans="1:14" x14ac:dyDescent="0.2">
      <c r="A2" s="364" t="s">
        <v>519</v>
      </c>
    </row>
    <row r="3" spans="1:14" x14ac:dyDescent="0.2">
      <c r="L3" s="158" t="s">
        <v>428</v>
      </c>
    </row>
    <row r="5" spans="1:14" x14ac:dyDescent="0.2">
      <c r="L5" s="122" t="s">
        <v>411</v>
      </c>
    </row>
    <row r="6" spans="1:14" x14ac:dyDescent="0.2">
      <c r="M6" s="178" t="str">
        <f>'Occ T2'!H151</f>
        <v>2015-2020</v>
      </c>
      <c r="N6" s="178" t="str">
        <f>'Occ T2'!I151</f>
        <v>2020-2035</v>
      </c>
    </row>
    <row r="7" spans="1:14" x14ac:dyDescent="0.2">
      <c r="L7" s="114" t="str">
        <f>'Occ T3'!A51</f>
        <v>All occupations</v>
      </c>
      <c r="M7" s="91">
        <f>'Occ T2'!H180</f>
        <v>0.52241841326519101</v>
      </c>
      <c r="N7" s="91">
        <f>'Occ T2'!I180</f>
        <v>0.23020070827648453</v>
      </c>
    </row>
    <row r="8" spans="1:14" x14ac:dyDescent="0.2">
      <c r="L8" s="114"/>
    </row>
    <row r="9" spans="1:14" x14ac:dyDescent="0.2">
      <c r="L9" s="91" t="str">
        <f>'Occ T3'!A49</f>
        <v>92 Elementary administration and service occupations</v>
      </c>
      <c r="M9" s="91">
        <f>'Occ T2'!H178</f>
        <v>-2.1353288962586814</v>
      </c>
      <c r="N9" s="91">
        <f>'Occ T2'!I178</f>
        <v>-1.4832785420224925</v>
      </c>
    </row>
    <row r="10" spans="1:14" x14ac:dyDescent="0.2">
      <c r="L10" s="91" t="str">
        <f>'Occ T3'!A48</f>
        <v>91 Elementary trades and related occupations</v>
      </c>
      <c r="M10" s="91">
        <f>'Occ T2'!H177</f>
        <v>-4.0270258989486667</v>
      </c>
      <c r="N10" s="91">
        <f>'Occ T2'!I177</f>
        <v>4.0733207095563051</v>
      </c>
    </row>
    <row r="11" spans="1:14" x14ac:dyDescent="0.2">
      <c r="L11" s="114" t="str">
        <f>"["&amp;'Occ T3'!A47&amp;"]"</f>
        <v>[Elementary occupations]</v>
      </c>
      <c r="M11" s="91">
        <f>'Occ T1'!H88</f>
        <v>-2.5057155715052626</v>
      </c>
      <c r="N11" s="91">
        <f>'Occ T1'!I88</f>
        <v>-6.8367726321361122E-2</v>
      </c>
    </row>
    <row r="12" spans="1:14" x14ac:dyDescent="0.2">
      <c r="L12" s="114"/>
    </row>
    <row r="13" spans="1:14" x14ac:dyDescent="0.2">
      <c r="L13" s="91" t="str">
        <f>'Occ T3'!A45</f>
        <v>82 Transport and mobile machine drivers and operatives</v>
      </c>
      <c r="M13" s="91">
        <f>'Occ T2'!H176</f>
        <v>0.28881492085373051</v>
      </c>
      <c r="N13" s="91">
        <f>'Occ T2'!I176</f>
        <v>-0.36341294700982241</v>
      </c>
    </row>
    <row r="14" spans="1:14" x14ac:dyDescent="0.2">
      <c r="L14" s="91" t="str">
        <f>'Occ T3'!A44</f>
        <v>81 Process, plant and machine operatives</v>
      </c>
      <c r="M14" s="91">
        <f>'Occ T2'!H175</f>
        <v>-3.1562684905210081</v>
      </c>
      <c r="N14" s="91">
        <f>'Occ T2'!I175</f>
        <v>-0.38485807210871803</v>
      </c>
    </row>
    <row r="15" spans="1:14" x14ac:dyDescent="0.2">
      <c r="L15" s="114" t="str">
        <f>"["&amp;'Occ T3'!A43&amp;"]"</f>
        <v>[Process, plant and machine operatives]</v>
      </c>
      <c r="M15" s="91">
        <f>'Occ T1'!H87</f>
        <v>-1.4704362294704287</v>
      </c>
      <c r="N15" s="91">
        <f>'Occ T1'!I87</f>
        <v>-0.37379395565542151</v>
      </c>
    </row>
    <row r="16" spans="1:14" x14ac:dyDescent="0.2">
      <c r="L16" s="114"/>
    </row>
    <row r="17" spans="12:14" x14ac:dyDescent="0.2">
      <c r="L17" s="91" t="str">
        <f>'Occ T3'!A41</f>
        <v>72 Customer service occupations</v>
      </c>
      <c r="M17" s="91">
        <f>'Occ T2'!H174</f>
        <v>1.7720764793354604</v>
      </c>
      <c r="N17" s="91">
        <f>'Occ T2'!I174</f>
        <v>1.2904033636425893</v>
      </c>
    </row>
    <row r="18" spans="12:14" x14ac:dyDescent="0.2">
      <c r="L18" s="91" t="str">
        <f>'Occ T3'!A40</f>
        <v>71 Sales occupations</v>
      </c>
      <c r="M18" s="91">
        <f>'Occ T2'!H173</f>
        <v>-2.2656371889221871</v>
      </c>
      <c r="N18" s="91">
        <f>'Occ T2'!I173</f>
        <v>-0.39800448581286396</v>
      </c>
    </row>
    <row r="19" spans="12:14" x14ac:dyDescent="0.2">
      <c r="L19" s="114" t="str">
        <f>"["&amp;'Occ T3'!A39&amp;"]"</f>
        <v>[Sales and customer service occupations]</v>
      </c>
      <c r="M19" s="91">
        <f>'Occ T1'!H86</f>
        <v>-1.5760741652843135</v>
      </c>
      <c r="N19" s="91">
        <f>'Occ T1'!I86</f>
        <v>-4.7788725599950954E-2</v>
      </c>
    </row>
    <row r="20" spans="12:14" x14ac:dyDescent="0.2">
      <c r="L20" s="114"/>
    </row>
    <row r="21" spans="12:14" x14ac:dyDescent="0.2">
      <c r="L21" s="107" t="str">
        <f>'Occ T3'!A37</f>
        <v>63 Community and civil enforcement occupations</v>
      </c>
      <c r="M21" s="91">
        <f>'Occ T2'!H172</f>
        <v>0.72981010636821164</v>
      </c>
      <c r="N21" s="91">
        <f>'Occ T2'!I172</f>
        <v>-1.0369852633635102</v>
      </c>
    </row>
    <row r="22" spans="12:14" x14ac:dyDescent="0.2">
      <c r="L22" s="91" t="str">
        <f>'Occ T3'!A36</f>
        <v>62 Leisure, travel and related personal service occupations</v>
      </c>
      <c r="M22" s="91">
        <f>'Occ T2'!H171</f>
        <v>4.1226804193178701</v>
      </c>
      <c r="N22" s="91">
        <f>'Occ T2'!I171</f>
        <v>-0.50589225225016188</v>
      </c>
    </row>
    <row r="23" spans="12:14" x14ac:dyDescent="0.2">
      <c r="L23" s="91" t="str">
        <f>'Occ T3'!A35</f>
        <v>61 Caring personal service occupations</v>
      </c>
      <c r="M23" s="91">
        <f>'Occ T2'!H170</f>
        <v>-0.35252486004240247</v>
      </c>
      <c r="N23" s="91">
        <f>'Occ T2'!I170</f>
        <v>0.67727316714287777</v>
      </c>
    </row>
    <row r="24" spans="12:14" x14ac:dyDescent="0.2">
      <c r="L24" s="114" t="str">
        <f>"["&amp;'Occ T3'!A34&amp;"]"</f>
        <v>[Caring, leisure and other service occupations]</v>
      </c>
      <c r="M24" s="91">
        <f>'Occ T1'!H85</f>
        <v>0.58184893647519331</v>
      </c>
      <c r="N24" s="91">
        <f>'Occ T1'!I85</f>
        <v>0.40811118875707653</v>
      </c>
    </row>
    <row r="25" spans="12:14" x14ac:dyDescent="0.2">
      <c r="L25" s="114"/>
    </row>
    <row r="26" spans="12:14" x14ac:dyDescent="0.2">
      <c r="L26" s="91" t="str">
        <f>'Occ T3'!A32</f>
        <v>54 Textiles, printing and other skilled trades</v>
      </c>
      <c r="M26" s="91">
        <f>'Occ T2'!H169</f>
        <v>-3.7651518734696188</v>
      </c>
      <c r="N26" s="91">
        <f>'Occ T2'!I169</f>
        <v>-0.51178783423651009</v>
      </c>
    </row>
    <row r="27" spans="12:14" x14ac:dyDescent="0.2">
      <c r="L27" s="91" t="str">
        <f>'Occ T3'!A31</f>
        <v>53 Skilled construction and building trades</v>
      </c>
      <c r="M27" s="91">
        <f>'Occ T2'!H168</f>
        <v>-5.0577405135382447</v>
      </c>
      <c r="N27" s="91">
        <f>'Occ T2'!I168</f>
        <v>-1.2747230980522328</v>
      </c>
    </row>
    <row r="28" spans="12:14" x14ac:dyDescent="0.2">
      <c r="L28" s="91" t="str">
        <f>'Occ T3'!A30</f>
        <v>52 Skilled metal, electrical and electronic trades</v>
      </c>
      <c r="M28" s="91">
        <f>'Occ T2'!H167</f>
        <v>-2.9197928323575928</v>
      </c>
      <c r="N28" s="91">
        <f>'Occ T2'!I167</f>
        <v>-0.71745943929563127</v>
      </c>
    </row>
    <row r="29" spans="12:14" x14ac:dyDescent="0.2">
      <c r="L29" s="91" t="str">
        <f>'Occ T3'!A29</f>
        <v>51 Skilled agricultural and related trades</v>
      </c>
      <c r="M29" s="91">
        <f>'Occ T2'!H166</f>
        <v>2.3463485233949255</v>
      </c>
      <c r="N29" s="91">
        <f>'Occ T2'!I166</f>
        <v>-0.55377716898685758</v>
      </c>
    </row>
    <row r="30" spans="12:14" x14ac:dyDescent="0.2">
      <c r="L30" s="114" t="str">
        <f>"["&amp;'Occ T3'!A28&amp;"]"</f>
        <v>[Skilled trades occupations]</v>
      </c>
      <c r="M30" s="91">
        <f>'Occ T1'!H84</f>
        <v>-2.6724009271615778</v>
      </c>
      <c r="N30" s="91">
        <f>'Occ T1'!I84</f>
        <v>-0.76767119895284619</v>
      </c>
    </row>
    <row r="31" spans="12:14" x14ac:dyDescent="0.2">
      <c r="L31" s="114"/>
    </row>
    <row r="32" spans="12:14" x14ac:dyDescent="0.2">
      <c r="L32" s="91" t="str">
        <f>'Occ T3'!A26</f>
        <v>42 Secretarial and related occupations</v>
      </c>
      <c r="M32" s="91">
        <f>'Occ T2'!H165</f>
        <v>-1.7950375833312715</v>
      </c>
      <c r="N32" s="91">
        <f>'Occ T2'!I165</f>
        <v>-2.3579790711757642</v>
      </c>
    </row>
    <row r="33" spans="12:14" x14ac:dyDescent="0.2">
      <c r="L33" s="91" t="str">
        <f>'Occ T3'!A25</f>
        <v>41 Administrative occupations</v>
      </c>
      <c r="M33" s="91">
        <f>'Occ T2'!H164</f>
        <v>0.31320689803877588</v>
      </c>
      <c r="N33" s="91">
        <f>'Occ T2'!I164</f>
        <v>-3.6025625880720114E-2</v>
      </c>
    </row>
    <row r="34" spans="12:14" x14ac:dyDescent="0.2">
      <c r="L34" s="114" t="str">
        <f>"["&amp;'Occ T3'!A24&amp;"]"</f>
        <v>[Administrative and secretarial occupations]</v>
      </c>
      <c r="M34" s="91">
        <f>'Occ T1'!H83</f>
        <v>-8.3567627689740132E-2</v>
      </c>
      <c r="N34" s="91">
        <f>'Occ T1'!I83</f>
        <v>-0.39873868858705253</v>
      </c>
    </row>
    <row r="35" spans="12:14" x14ac:dyDescent="0.2">
      <c r="L35" s="114"/>
    </row>
    <row r="36" spans="12:14" x14ac:dyDescent="0.2">
      <c r="L36" s="91" t="str">
        <f>'Occ T3'!A22</f>
        <v>35 Business and public service associate professionals</v>
      </c>
      <c r="M36" s="91">
        <f>'Occ T2'!H163</f>
        <v>2.4235085007760837</v>
      </c>
      <c r="N36" s="91">
        <f>'Occ T2'!I163</f>
        <v>0.28478195746237667</v>
      </c>
    </row>
    <row r="37" spans="12:14" x14ac:dyDescent="0.2">
      <c r="L37" s="91" t="str">
        <f>'Occ T3'!A21</f>
        <v>34 Culture, media and sports occupations</v>
      </c>
      <c r="M37" s="91">
        <f>'Occ T2'!H162</f>
        <v>0.86223860740157754</v>
      </c>
      <c r="N37" s="91">
        <f>'Occ T2'!I162</f>
        <v>-0.72565251059176772</v>
      </c>
    </row>
    <row r="38" spans="12:14" x14ac:dyDescent="0.2">
      <c r="L38" s="91" t="str">
        <f>'Occ T3'!A20</f>
        <v>33 Protective service occupations</v>
      </c>
      <c r="M38" s="91">
        <f>'Occ T2'!H161</f>
        <v>0.96975369409324497</v>
      </c>
      <c r="N38" s="91">
        <f>'Occ T2'!I161</f>
        <v>-0.6060276737569148</v>
      </c>
    </row>
    <row r="39" spans="12:14" x14ac:dyDescent="0.2">
      <c r="L39" s="91" t="str">
        <f>'Occ T3'!A19</f>
        <v>32 Health and social care associate professionals</v>
      </c>
      <c r="M39" s="91">
        <f>'Occ T2'!H160</f>
        <v>3.0071343626423941</v>
      </c>
      <c r="N39" s="91">
        <f>'Occ T2'!I160</f>
        <v>4.1773881525108081</v>
      </c>
    </row>
    <row r="40" spans="12:14" x14ac:dyDescent="0.2">
      <c r="L40" s="91" t="str">
        <f>'Occ T3'!A18</f>
        <v>31 Science, engineering and technology associate professionals</v>
      </c>
      <c r="M40" s="91">
        <f>'Occ T2'!H159</f>
        <v>5.3226719309982462</v>
      </c>
      <c r="N40" s="91">
        <f>'Occ T2'!I159</f>
        <v>-3.4129669856530764E-2</v>
      </c>
    </row>
    <row r="41" spans="12:14" x14ac:dyDescent="0.2">
      <c r="L41" s="114" t="str">
        <f>"["&amp;'Occ T3'!A17&amp;"]"</f>
        <v>[Associate professional occupations]</v>
      </c>
      <c r="M41" s="91">
        <f>'Occ T1'!H82</f>
        <v>2.6420837278857245</v>
      </c>
      <c r="N41" s="91">
        <f>'Occ T1'!I82</f>
        <v>0.85429515401460598</v>
      </c>
    </row>
    <row r="42" spans="12:14" x14ac:dyDescent="0.2">
      <c r="L42" s="114"/>
    </row>
    <row r="43" spans="12:14" x14ac:dyDescent="0.2">
      <c r="L43" s="91" t="str">
        <f>'Occ T3'!A15</f>
        <v>24 Business, media and public service professionals</v>
      </c>
      <c r="M43" s="91">
        <f>'Occ T2'!H158</f>
        <v>5.7371092945450286</v>
      </c>
      <c r="N43" s="91">
        <f>'Occ T2'!I158</f>
        <v>0.97877453193280228</v>
      </c>
    </row>
    <row r="44" spans="12:14" x14ac:dyDescent="0.2">
      <c r="L44" s="91" t="str">
        <f>'Occ T3'!A14</f>
        <v>23 Teaching and other educational professionals</v>
      </c>
      <c r="M44" s="91">
        <f>'Occ T2'!H157</f>
        <v>1.2465473525053561</v>
      </c>
      <c r="N44" s="91">
        <f>'Occ T2'!I157</f>
        <v>-0.30432640784666676</v>
      </c>
    </row>
    <row r="45" spans="12:14" x14ac:dyDescent="0.2">
      <c r="L45" s="91" t="str">
        <f>'Occ T3'!A13</f>
        <v>22 Health professionals</v>
      </c>
      <c r="M45" s="91">
        <f>'Occ T2'!H156</f>
        <v>3.0055465035826234</v>
      </c>
      <c r="N45" s="91">
        <f>'Occ T2'!I156</f>
        <v>0.29370944541005084</v>
      </c>
    </row>
    <row r="46" spans="12:14" x14ac:dyDescent="0.2">
      <c r="L46" s="91" t="str">
        <f>'Occ T3'!A12</f>
        <v>21 Science, research, engineering and technology professionals</v>
      </c>
      <c r="M46" s="91">
        <f>'Occ T2'!H155</f>
        <v>3.8445963923345428</v>
      </c>
      <c r="N46" s="91">
        <f>'Occ T2'!I155</f>
        <v>2.3151079070570457</v>
      </c>
    </row>
    <row r="47" spans="12:14" x14ac:dyDescent="0.2">
      <c r="L47" s="114" t="str">
        <f>"["&amp;'Occ T3'!A11&amp;"]"</f>
        <v>[Professional occupations]</v>
      </c>
      <c r="M47" s="91">
        <f>'Occ T1'!H81</f>
        <v>3.6675828025585666</v>
      </c>
      <c r="N47" s="91">
        <f>'Occ T1'!I81</f>
        <v>1.0172111429947783</v>
      </c>
    </row>
    <row r="49" spans="12:14" x14ac:dyDescent="0.2">
      <c r="L49" s="107" t="str">
        <f>'Occ T3'!A9</f>
        <v>12 Other managers and proprietors</v>
      </c>
      <c r="M49" s="91">
        <f>'Occ T2'!H154</f>
        <v>2.6231971261082121</v>
      </c>
      <c r="N49" s="91">
        <f>'Occ T2'!I154</f>
        <v>0.90415009162645443</v>
      </c>
    </row>
    <row r="50" spans="12:14" x14ac:dyDescent="0.2">
      <c r="L50" s="107" t="str">
        <f>'Occ T3'!A8</f>
        <v>11 Corporate managers and directors</v>
      </c>
      <c r="M50" s="91">
        <f>'Occ T2'!H153</f>
        <v>4.2723240701384002</v>
      </c>
      <c r="N50" s="91">
        <f>'Occ T2'!I153</f>
        <v>-0.27564721899374645</v>
      </c>
    </row>
    <row r="51" spans="12:14" x14ac:dyDescent="0.2">
      <c r="L51" s="114" t="str">
        <f>"["&amp;'Occ T3'!A7&amp;"]"</f>
        <v>[Managers, directors and senior officials]</v>
      </c>
      <c r="M51" s="91">
        <f>'Occ T1'!H80</f>
        <v>3.725660303447631</v>
      </c>
      <c r="N51" s="91">
        <f>'Occ T1'!I80</f>
        <v>0.12459826275421637</v>
      </c>
    </row>
    <row r="80" spans="1:1" ht="15.75" x14ac:dyDescent="0.25">
      <c r="A80" s="156" t="str">
        <f>CONCATENATE("Occupation Figure 1.1  Change in Employment by Occupation (SOC 2020), ",M81," and ",N81,", ",Info!B5)</f>
        <v>Occupation Figure 1.1  Change in Employment by Occupation (SOC 2020), 2015-2020 and 2020-2035, Greater Lincolnshire</v>
      </c>
    </row>
    <row r="81" spans="12:14" x14ac:dyDescent="0.2">
      <c r="M81" s="107" t="str">
        <f>'Occ F1'!M6</f>
        <v>2015-2020</v>
      </c>
      <c r="N81" s="107" t="str">
        <f>'Occ F1'!N6</f>
        <v>2020-2035</v>
      </c>
    </row>
    <row r="82" spans="12:14" x14ac:dyDescent="0.2">
      <c r="L82" s="10" t="str">
        <f>name!D4</f>
        <v>11 Corporate managers and directors</v>
      </c>
      <c r="M82" s="94">
        <f>'Occ T2'!D8-'Occ T2'!B8</f>
        <v>7.0375665505287088</v>
      </c>
      <c r="N82" s="94">
        <f>'Occ T2'!F119</f>
        <v>-1.5122374746346736</v>
      </c>
    </row>
    <row r="83" spans="12:14" x14ac:dyDescent="0.2">
      <c r="L83" s="10" t="str">
        <f>name!D5</f>
        <v>12 Other managers and proprietors</v>
      </c>
      <c r="M83" s="94">
        <f>'Occ T2'!D9-'Occ T2'!B9</f>
        <v>2.1401252110444737</v>
      </c>
      <c r="N83" s="94">
        <f>'Occ T2'!F120</f>
        <v>2.54745813653415</v>
      </c>
    </row>
    <row r="84" spans="12:14" x14ac:dyDescent="0.2">
      <c r="L84" s="10" t="str">
        <f>name!D6</f>
        <v>21 Science, research, engineering and technology professionals</v>
      </c>
      <c r="M84" s="94">
        <f>'Occ T2'!D10-'Occ T2'!B10</f>
        <v>4.8283684069273249</v>
      </c>
      <c r="N84" s="94">
        <f>'Occ T2'!F121</f>
        <v>11.504705147656846</v>
      </c>
    </row>
    <row r="85" spans="12:14" x14ac:dyDescent="0.2">
      <c r="L85" s="10" t="str">
        <f>name!D7</f>
        <v>22 Health professionals</v>
      </c>
      <c r="M85" s="94">
        <f>'Occ T2'!D11-'Occ T2'!B11</f>
        <v>3.0558873387521608</v>
      </c>
      <c r="N85" s="94">
        <f>'Occ T2'!F122</f>
        <v>0.99863054774898075</v>
      </c>
    </row>
    <row r="86" spans="12:14" x14ac:dyDescent="0.2">
      <c r="L86" s="10" t="str">
        <f>name!D8</f>
        <v>23 Teaching and other educational professionals</v>
      </c>
      <c r="M86" s="94">
        <f>'Occ T2'!D12-'Occ T2'!B12</f>
        <v>1.1667694349103073</v>
      </c>
      <c r="N86" s="94">
        <f>'Occ T2'!F123</f>
        <v>-0.86812649724724267</v>
      </c>
    </row>
    <row r="87" spans="12:14" x14ac:dyDescent="0.2">
      <c r="L87" s="10" t="str">
        <f>name!D9</f>
        <v>24 Business, media and public service professionals</v>
      </c>
      <c r="M87" s="94">
        <f>'Occ T2'!D13-'Occ T2'!B13</f>
        <v>7.55414293104851</v>
      </c>
      <c r="N87" s="94">
        <f>'Occ T2'!F124</f>
        <v>4.8822813920006674</v>
      </c>
    </row>
    <row r="88" spans="12:14" x14ac:dyDescent="0.2">
      <c r="L88" s="10" t="str">
        <f>name!D10</f>
        <v>31 Science, engineering and technology associate professionals</v>
      </c>
      <c r="M88" s="94">
        <f>'Occ T2'!D14-'Occ T2'!B14</f>
        <v>2.3322301624823085</v>
      </c>
      <c r="N88" s="94">
        <f>'Occ T2'!F125</f>
        <v>-5.2150216649019754E-2</v>
      </c>
    </row>
    <row r="89" spans="12:14" x14ac:dyDescent="0.2">
      <c r="L89" s="10" t="str">
        <f>name!D11</f>
        <v>32 Health and social care associate professionals</v>
      </c>
      <c r="M89" s="94">
        <f>'Occ T2'!D15-'Occ T2'!B15</f>
        <v>1.3539686152072044</v>
      </c>
      <c r="N89" s="94">
        <f>'Occ T2'!F126</f>
        <v>8.3345936317451699</v>
      </c>
    </row>
    <row r="90" spans="12:14" x14ac:dyDescent="0.2">
      <c r="L90" s="10" t="str">
        <f>name!D12</f>
        <v>33 Protective service occupations</v>
      </c>
      <c r="M90" s="94">
        <f>'Occ T2'!D16-'Occ T2'!B16</f>
        <v>0.269741205091659</v>
      </c>
      <c r="N90" s="94">
        <f>'Occ T2'!F127</f>
        <v>-0.49900293981924815</v>
      </c>
    </row>
    <row r="91" spans="12:14" x14ac:dyDescent="0.2">
      <c r="L91" s="10" t="str">
        <f>name!D13</f>
        <v>34 Culture, media and sports occupations</v>
      </c>
      <c r="M91" s="94">
        <f>'Occ T2'!D17-'Occ T2'!B17</f>
        <v>0.27892387399426166</v>
      </c>
      <c r="N91" s="94">
        <f>'Occ T2'!F128</f>
        <v>-0.68696758629196086</v>
      </c>
    </row>
    <row r="92" spans="12:14" x14ac:dyDescent="0.2">
      <c r="L92" s="10" t="str">
        <f>name!D14</f>
        <v>35 Business and public service associate professionals</v>
      </c>
      <c r="M92" s="94">
        <f>'Occ T2'!D18-'Occ T2'!B18</f>
        <v>3.2756238398702813</v>
      </c>
      <c r="N92" s="94">
        <f>'Occ T2'!F129</f>
        <v>1.2650601299508288</v>
      </c>
    </row>
    <row r="93" spans="12:14" x14ac:dyDescent="0.2">
      <c r="L93" s="10" t="str">
        <f>name!D15</f>
        <v>41 Administrative occupations</v>
      </c>
      <c r="M93" s="94">
        <f>'Occ T2'!D19-'Occ T2'!B19</f>
        <v>0.65183945759230966</v>
      </c>
      <c r="N93" s="94">
        <f>'Occ T2'!F130</f>
        <v>-0.22647347361322545</v>
      </c>
    </row>
    <row r="94" spans="12:14" x14ac:dyDescent="0.2">
      <c r="L94" s="10" t="str">
        <f>name!D16</f>
        <v>42 Secretarial and related occupations</v>
      </c>
      <c r="M94" s="94">
        <f>'Occ T2'!D20-'Occ T2'!B20</f>
        <v>-0.86610949061900122</v>
      </c>
      <c r="N94" s="94">
        <f>'Occ T2'!F131</f>
        <v>-2.7490406491188173</v>
      </c>
    </row>
    <row r="95" spans="12:14" x14ac:dyDescent="0.2">
      <c r="L95" s="10" t="str">
        <f>name!D17</f>
        <v>51 Skilled agricultural and related trades</v>
      </c>
      <c r="M95" s="94">
        <f>'Occ T2'!D21-'Occ T2'!B21</f>
        <v>1.1007653322437214</v>
      </c>
      <c r="N95" s="94">
        <f>'Occ T2'!F132</f>
        <v>-0.80349844858393205</v>
      </c>
    </row>
    <row r="96" spans="12:14" x14ac:dyDescent="0.2">
      <c r="L96" s="10" t="str">
        <f>name!D18</f>
        <v>52 Skilled metal, electrical and electronic trades</v>
      </c>
      <c r="M96" s="94">
        <f>'Occ T2'!D22-'Occ T2'!B22</f>
        <v>-2.915452071265566</v>
      </c>
      <c r="N96" s="94">
        <f>'Occ T2'!F133</f>
        <v>-1.8689754160394614</v>
      </c>
    </row>
    <row r="97" spans="12:14" x14ac:dyDescent="0.2">
      <c r="L97" s="10" t="str">
        <f>name!D19</f>
        <v>53 Skilled construction and building trades</v>
      </c>
      <c r="M97" s="94">
        <f>'Occ T2'!D23-'Occ T2'!B23</f>
        <v>-3.3081611057947296</v>
      </c>
      <c r="N97" s="94">
        <f>'Occ T2'!F134</f>
        <v>-1.9545292325523675</v>
      </c>
    </row>
    <row r="98" spans="12:14" x14ac:dyDescent="0.2">
      <c r="L98" s="10" t="str">
        <f>name!D20</f>
        <v>54 Textiles, printing and other skilled trades</v>
      </c>
      <c r="M98" s="94">
        <f>'Occ T2'!D24-'Occ T2'!B24</f>
        <v>-1.916279210904694</v>
      </c>
      <c r="N98" s="94">
        <f>'Occ T2'!F135</f>
        <v>-0.67104742881584301</v>
      </c>
    </row>
    <row r="99" spans="12:14" x14ac:dyDescent="0.2">
      <c r="L99" s="10" t="str">
        <f>name!D21</f>
        <v>61 Caring personal service occupations</v>
      </c>
      <c r="M99" s="94">
        <f>'Occ T2'!D25-'Occ T2'!B25</f>
        <v>-0.77130094255694814</v>
      </c>
      <c r="N99" s="94">
        <f>'Occ T2'!F136</f>
        <v>4.6133615373514871</v>
      </c>
    </row>
    <row r="100" spans="12:14" x14ac:dyDescent="0.2">
      <c r="L100" s="10" t="str">
        <f>name!D22</f>
        <v>62 Leisure, travel and related personal service occupations</v>
      </c>
      <c r="M100" s="94">
        <f>'Occ T2'!D26-'Occ T2'!B26</f>
        <v>2.3768233225480326</v>
      </c>
      <c r="N100" s="94">
        <f>'Occ T2'!F137</f>
        <v>-0.95194037749309146</v>
      </c>
    </row>
    <row r="101" spans="12:14" x14ac:dyDescent="0.2">
      <c r="L101" s="10" t="str">
        <f>name!D23</f>
        <v>63 Community and civil enforcement occupations</v>
      </c>
      <c r="M101" s="94">
        <f>'Occ T2'!D27-'Occ T2'!B27</f>
        <v>1.9800833773732873E-2</v>
      </c>
      <c r="N101" s="94">
        <f>'Occ T2'!F138</f>
        <v>-8.0272963567101896E-2</v>
      </c>
    </row>
    <row r="102" spans="12:14" x14ac:dyDescent="0.2">
      <c r="L102" s="10" t="str">
        <f>name!D24</f>
        <v>71 Sales occupations</v>
      </c>
      <c r="M102" s="94">
        <f>'Occ T2'!D28-'Occ T2'!B28</f>
        <v>-4.2194193695712201</v>
      </c>
      <c r="N102" s="94">
        <f>'Occ T2'!F139</f>
        <v>-2.0180228862945455</v>
      </c>
    </row>
    <row r="103" spans="12:14" x14ac:dyDescent="0.2">
      <c r="L103" s="10" t="str">
        <f>name!D25</f>
        <v>72 Customer service occupations</v>
      </c>
      <c r="M103" s="94">
        <f>'Occ T2'!D29-'Occ T2'!B29</f>
        <v>0.67882103968152041</v>
      </c>
      <c r="N103" s="94">
        <f>'Occ T2'!F140</f>
        <v>1.7120471848774823</v>
      </c>
    </row>
    <row r="104" spans="12:14" x14ac:dyDescent="0.2">
      <c r="L104" s="10" t="str">
        <f>name!D26</f>
        <v>81 Process, plant and machine operatives</v>
      </c>
      <c r="M104" s="94">
        <f>'Occ T2'!D30-'Occ T2'!B30</f>
        <v>-3.4992636191876443</v>
      </c>
      <c r="N104" s="94">
        <f>'Occ T2'!F141</f>
        <v>-1.1306554681072321</v>
      </c>
    </row>
    <row r="105" spans="12:14" x14ac:dyDescent="0.2">
      <c r="L105" s="10" t="str">
        <f>name!D27</f>
        <v>82 Transport and mobile machine drivers and operatives</v>
      </c>
      <c r="M105" s="94">
        <f>'Occ T2'!D31-'Occ T2'!B31</f>
        <v>0.3065202681803072</v>
      </c>
      <c r="N105" s="94">
        <f>'Occ T2'!F142</f>
        <v>-1.1378911865492469</v>
      </c>
    </row>
    <row r="106" spans="12:14" x14ac:dyDescent="0.2">
      <c r="L106" s="10" t="str">
        <f>name!D28</f>
        <v>91 Elementary trades and related occupations</v>
      </c>
      <c r="M106" s="94">
        <f>'Occ T2'!D32-'Occ T2'!B32</f>
        <v>-2.4220689641209958</v>
      </c>
      <c r="N106" s="94">
        <f>'Occ T2'!F143</f>
        <v>8.7056909196960977</v>
      </c>
    </row>
    <row r="107" spans="12:14" x14ac:dyDescent="0.2">
      <c r="L107" s="10" t="str">
        <f>name!D29</f>
        <v>92 Elementary administration and service occupations</v>
      </c>
      <c r="M107" s="94">
        <f>'Occ T2'!D33-'Occ T2'!B33</f>
        <v>-5.2698630498561627</v>
      </c>
      <c r="N107" s="94">
        <f>'Occ T2'!F144</f>
        <v>-9.2859963821849902</v>
      </c>
    </row>
    <row r="108" spans="12:14" x14ac:dyDescent="0.2">
      <c r="L108" s="10"/>
      <c r="M108" s="94"/>
      <c r="N108" s="94"/>
    </row>
    <row r="109" spans="12:14" x14ac:dyDescent="0.2">
      <c r="L109" s="10" t="str">
        <f>name!D3</f>
        <v>All occupations</v>
      </c>
      <c r="M109" s="94">
        <f>'Occ T2'!D35-'Occ T2'!B35</f>
        <v>13.239999999999782</v>
      </c>
      <c r="N109" s="94">
        <f>'Occ T2'!F146</f>
        <v>18.066999999999666</v>
      </c>
    </row>
    <row r="150" spans="1:14" ht="15.75" x14ac:dyDescent="0.25">
      <c r="A150" s="156" t="str">
        <f>CONCATENATE("Occupation Figure 1.2  Change in Employment by Occupation (SOC 2020), ",M152," and ",N152,", ",Info!B5)</f>
        <v>Occupation Figure 1.2  Change in Employment by Occupation (SOC 2020), 2015 - 2020 and 2020-2035, Greater Lincolnshire</v>
      </c>
    </row>
    <row r="152" spans="1:14" x14ac:dyDescent="0.2">
      <c r="M152" s="91" t="str">
        <f>'Occ T1'!B6&amp;" - "&amp;'Occ T1'!D6</f>
        <v>2015 - 2020</v>
      </c>
      <c r="N152" s="91" t="str">
        <f>'Occ T1'!H4</f>
        <v>2020-2035</v>
      </c>
    </row>
    <row r="153" spans="1:14" x14ac:dyDescent="0.2">
      <c r="L153" s="10" t="str">
        <f>name!E4</f>
        <v>Managers, directors and senior officials</v>
      </c>
      <c r="M153" s="94">
        <f>'Occ T1'!D8-'Occ T1'!B8</f>
        <v>9.177691761573179</v>
      </c>
      <c r="N153" s="94">
        <f>'Occ T1'!H8</f>
        <v>1.0352206618994799</v>
      </c>
    </row>
    <row r="154" spans="1:14" x14ac:dyDescent="0.2">
      <c r="L154" s="10" t="str">
        <f>name!E5</f>
        <v>Professional occupations</v>
      </c>
      <c r="M154" s="94">
        <f>'Occ T1'!D9-'Occ T1'!B9</f>
        <v>16.605168111638307</v>
      </c>
      <c r="N154" s="94">
        <f>'Occ T1'!H9</f>
        <v>16.517490590159241</v>
      </c>
    </row>
    <row r="155" spans="1:14" x14ac:dyDescent="0.2">
      <c r="L155" s="10" t="str">
        <f>name!E6</f>
        <v>Associate professional occupations</v>
      </c>
      <c r="M155" s="94">
        <f>'Occ T1'!D10-'Occ T1'!B10</f>
        <v>7.5104876966457113</v>
      </c>
      <c r="N155" s="94">
        <f>'Occ T1'!H10</f>
        <v>8.3615330189357735</v>
      </c>
    </row>
    <row r="156" spans="1:14" x14ac:dyDescent="0.2">
      <c r="L156" s="10" t="str">
        <f>name!E7</f>
        <v>Administrative and secretarial occupations</v>
      </c>
      <c r="M156" s="94">
        <f>'Occ T1'!D11-'Occ T1'!B11</f>
        <v>-0.21427003302669334</v>
      </c>
      <c r="N156" s="94">
        <f>'Occ T1'!H11</f>
        <v>-2.9755141227320436</v>
      </c>
    </row>
    <row r="157" spans="1:14" x14ac:dyDescent="0.2">
      <c r="L157" s="10" t="str">
        <f>name!E8</f>
        <v>Skilled trades occupations</v>
      </c>
      <c r="M157" s="94">
        <f>'Occ T1'!D12-'Occ T1'!B12</f>
        <v>-7.0391270557212664</v>
      </c>
      <c r="N157" s="94">
        <f>'Occ T1'!H12</f>
        <v>-5.2980505259916129</v>
      </c>
    </row>
    <row r="158" spans="1:14" x14ac:dyDescent="0.2">
      <c r="L158" s="10" t="str">
        <f>name!E9</f>
        <v>Caring, leisure and other service occupations</v>
      </c>
      <c r="M158" s="94">
        <f>'Occ T1'!D13-'Occ T1'!B13</f>
        <v>1.6253232137648226</v>
      </c>
      <c r="N158" s="94">
        <f>'Occ T1'!H13</f>
        <v>3.5811481962912879</v>
      </c>
    </row>
    <row r="159" spans="1:14" x14ac:dyDescent="0.2">
      <c r="L159" s="10" t="str">
        <f>name!E10</f>
        <v>Sales and customer service occupations</v>
      </c>
      <c r="M159" s="94">
        <f>'Occ T1'!D14-'Occ T1'!B14</f>
        <v>-3.5405983298897041</v>
      </c>
      <c r="N159" s="94">
        <f>'Occ T1'!H14</f>
        <v>-0.30597570141706143</v>
      </c>
    </row>
    <row r="160" spans="1:14" x14ac:dyDescent="0.2">
      <c r="L160" s="10" t="str">
        <f>name!E11</f>
        <v>Process, plant and machine operatives</v>
      </c>
      <c r="M160" s="94">
        <f>'Occ T1'!D15-'Occ T1'!B15</f>
        <v>-3.1927433510073371</v>
      </c>
      <c r="N160" s="94">
        <f>'Occ T1'!H15</f>
        <v>-2.2685466546564825</v>
      </c>
    </row>
    <row r="161" spans="12:14" x14ac:dyDescent="0.2">
      <c r="L161" s="10" t="str">
        <f>name!E12</f>
        <v>Elementary occupations</v>
      </c>
      <c r="M161" s="94">
        <f>'Occ T1'!D16-'Occ T1'!B16</f>
        <v>-7.6919320139771585</v>
      </c>
      <c r="N161" s="94">
        <f>'Occ T1'!H16</f>
        <v>-0.58030546248888726</v>
      </c>
    </row>
    <row r="162" spans="12:14" x14ac:dyDescent="0.2">
      <c r="L162" s="10"/>
      <c r="M162" s="94"/>
      <c r="N162" s="94"/>
    </row>
    <row r="163" spans="12:14" x14ac:dyDescent="0.2">
      <c r="L163" s="10" t="str">
        <f>name!E3</f>
        <v>All occupations</v>
      </c>
      <c r="M163" s="94">
        <f>'Occ T1'!D18-'Occ T1'!B18</f>
        <v>13.239999999999782</v>
      </c>
      <c r="N163" s="94">
        <f>'Occ T1'!H18</f>
        <v>18.066999999999695</v>
      </c>
    </row>
  </sheetData>
  <conditionalFormatting sqref="L17:L18 L6:N6">
    <cfRule type="cellIs" dxfId="8" priority="1" stopIfTrue="1" operator="equal">
      <formula>0</formula>
    </cfRule>
  </conditionalFormatting>
  <pageMargins left="0.55118110236220474" right="0.55118110236220474" top="0.98425196850393704" bottom="0.98425196850393704" header="0.51181102362204722" footer="0.51181102362204722"/>
  <pageSetup paperSize="9" scale="71" fitToHeight="0" orientation="portrait" r:id="rId1"/>
  <headerFooter alignWithMargins="0"/>
  <rowBreaks count="2" manualBreakCount="2">
    <brk id="79" max="10" man="1"/>
    <brk id="149" max="10" man="1"/>
  </rowBreaks>
  <drawing r:id="rId2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400-000000000000}">
  <sheetPr codeName="Sheet16"/>
  <dimension ref="A1:BL508"/>
  <sheetViews>
    <sheetView zoomScale="75" zoomScaleNormal="75" workbookViewId="0"/>
  </sheetViews>
  <sheetFormatPr defaultColWidth="9.140625" defaultRowHeight="12.75" x14ac:dyDescent="0.2"/>
  <cols>
    <col min="1" max="1" width="17" style="81" customWidth="1"/>
    <col min="2" max="8" width="9.140625" style="81"/>
    <col min="9" max="9" width="31.85546875" style="81" customWidth="1"/>
    <col min="10" max="10" width="11.28515625" style="81" customWidth="1"/>
    <col min="11" max="11" width="6.140625" style="81" customWidth="1"/>
    <col min="12" max="12" width="52.28515625" customWidth="1"/>
    <col min="13" max="41" width="15.7109375" customWidth="1"/>
    <col min="42" max="63" width="6.28515625" customWidth="1"/>
  </cols>
  <sheetData>
    <row r="1" spans="1:64" ht="15.75" x14ac:dyDescent="0.25">
      <c r="A1" s="80" t="str">
        <f>CONCATENATE("Occupation Figure 2  Employment by Occupation (SOC 2020), ",$M$2,"-",$O$2,", ",Info!B5)</f>
        <v>Occupation Figure 2  Employment by Occupation (SOC 2020), 2010-2035, Greater Lincolnshire</v>
      </c>
      <c r="L1" s="46"/>
    </row>
    <row r="2" spans="1:64" x14ac:dyDescent="0.2">
      <c r="A2" s="364" t="s">
        <v>519</v>
      </c>
      <c r="L2" s="16" t="s">
        <v>29</v>
      </c>
      <c r="M2" s="48">
        <f>M4</f>
        <v>2010</v>
      </c>
      <c r="N2" s="47" t="s">
        <v>28</v>
      </c>
      <c r="O2" s="48">
        <f>MAX(N4:BL4)</f>
        <v>2035</v>
      </c>
    </row>
    <row r="3" spans="1:64" x14ac:dyDescent="0.2">
      <c r="L3" s="16"/>
      <c r="M3" s="16"/>
      <c r="N3" s="47"/>
      <c r="O3" s="16"/>
    </row>
    <row r="4" spans="1:64" x14ac:dyDescent="0.2">
      <c r="L4" s="1" t="s">
        <v>36</v>
      </c>
      <c r="M4" s="48">
        <v>2010</v>
      </c>
      <c r="N4" s="48">
        <v>2011</v>
      </c>
      <c r="O4" s="48">
        <v>2012</v>
      </c>
      <c r="P4" s="48">
        <v>2013</v>
      </c>
      <c r="Q4" s="48">
        <v>2014</v>
      </c>
      <c r="R4" s="48">
        <v>2015</v>
      </c>
      <c r="S4" s="48">
        <v>2016</v>
      </c>
      <c r="T4" s="48">
        <v>2017</v>
      </c>
      <c r="U4" s="48">
        <v>2018</v>
      </c>
      <c r="V4" s="48">
        <v>2019</v>
      </c>
      <c r="W4" s="48">
        <v>2020</v>
      </c>
      <c r="X4" s="48">
        <v>2021</v>
      </c>
      <c r="Y4" s="48">
        <v>2022</v>
      </c>
      <c r="Z4" s="48">
        <v>2023</v>
      </c>
      <c r="AA4" s="48">
        <v>2024</v>
      </c>
      <c r="AB4" s="48">
        <v>2025</v>
      </c>
      <c r="AC4" s="48">
        <v>2026</v>
      </c>
      <c r="AD4" s="48">
        <v>2027</v>
      </c>
      <c r="AE4" s="48">
        <v>2028</v>
      </c>
      <c r="AF4" s="48">
        <v>2029</v>
      </c>
      <c r="AG4" s="48">
        <v>2030</v>
      </c>
      <c r="AH4" s="48">
        <v>2031</v>
      </c>
      <c r="AI4" s="48">
        <v>2032</v>
      </c>
      <c r="AJ4" s="48">
        <v>2033</v>
      </c>
      <c r="AK4" s="48">
        <v>2034</v>
      </c>
      <c r="AL4" s="48">
        <v>2035</v>
      </c>
      <c r="AM4" s="48"/>
      <c r="AN4" s="10"/>
      <c r="AO4" s="10"/>
      <c r="AP4" s="10"/>
      <c r="AQ4" s="10"/>
      <c r="AR4" s="10"/>
      <c r="AS4" s="10"/>
      <c r="AT4" s="10"/>
      <c r="AU4" s="10"/>
      <c r="AV4" s="10"/>
      <c r="AW4" s="10"/>
      <c r="AX4" s="10"/>
      <c r="AY4" s="10"/>
      <c r="AZ4" s="10"/>
      <c r="BA4" s="10"/>
      <c r="BB4" s="10"/>
      <c r="BC4" s="10"/>
      <c r="BD4" s="10"/>
      <c r="BE4" s="10"/>
      <c r="BF4" s="10"/>
      <c r="BG4" s="10"/>
      <c r="BH4" s="10"/>
      <c r="BI4" s="10"/>
      <c r="BJ4" s="10"/>
      <c r="BK4" s="10"/>
      <c r="BL4" s="10"/>
    </row>
    <row r="5" spans="1:64" x14ac:dyDescent="0.2">
      <c r="L5" s="17" t="str">
        <f>'Occ T3'!A7</f>
        <v>Managers, directors and senior officials</v>
      </c>
      <c r="M5" s="87">
        <f t="shared" ref="M5" si="0">SUM(M6:M7)</f>
        <v>39.777051001068827</v>
      </c>
      <c r="N5" s="87">
        <f>SUM(N6:N7)</f>
        <v>43.691533133803986</v>
      </c>
      <c r="O5" s="87">
        <f t="shared" ref="O5:AL5" si="1">SUM(O6:O7)</f>
        <v>44.043397483682377</v>
      </c>
      <c r="P5" s="87">
        <f t="shared" si="1"/>
        <v>42.94999689269585</v>
      </c>
      <c r="Q5" s="87">
        <f t="shared" si="1"/>
        <v>44.872714371260187</v>
      </c>
      <c r="R5" s="87">
        <f t="shared" si="1"/>
        <v>45.730595176532695</v>
      </c>
      <c r="S5" s="87">
        <f t="shared" si="1"/>
        <v>47.39258309008175</v>
      </c>
      <c r="T5" s="87">
        <f t="shared" si="1"/>
        <v>50.682310526004571</v>
      </c>
      <c r="U5" s="87">
        <f t="shared" si="1"/>
        <v>49.604813934770597</v>
      </c>
      <c r="V5" s="87">
        <f t="shared" si="1"/>
        <v>52.216714304978296</v>
      </c>
      <c r="W5" s="87">
        <f t="shared" si="1"/>
        <v>54.908286938105874</v>
      </c>
      <c r="X5" s="87">
        <f t="shared" si="1"/>
        <v>49.485012889551697</v>
      </c>
      <c r="Y5" s="87">
        <f t="shared" si="1"/>
        <v>49.895973387058284</v>
      </c>
      <c r="Z5" s="87">
        <f t="shared" si="1"/>
        <v>50.347563874814931</v>
      </c>
      <c r="AA5" s="87">
        <f t="shared" si="1"/>
        <v>50.911415178589877</v>
      </c>
      <c r="AB5" s="87">
        <f t="shared" si="1"/>
        <v>51.386419923366432</v>
      </c>
      <c r="AC5" s="87">
        <f t="shared" si="1"/>
        <v>51.832594629029998</v>
      </c>
      <c r="AD5" s="87">
        <f t="shared" si="1"/>
        <v>52.273701223613706</v>
      </c>
      <c r="AE5" s="87">
        <f t="shared" si="1"/>
        <v>52.711524917407274</v>
      </c>
      <c r="AF5" s="87">
        <f t="shared" si="1"/>
        <v>53.143818484458976</v>
      </c>
      <c r="AG5" s="87">
        <f t="shared" si="1"/>
        <v>53.60334427142331</v>
      </c>
      <c r="AH5" s="87">
        <f t="shared" si="1"/>
        <v>54.071958697016129</v>
      </c>
      <c r="AI5" s="87">
        <f t="shared" si="1"/>
        <v>54.526225870759333</v>
      </c>
      <c r="AJ5" s="87">
        <f t="shared" si="1"/>
        <v>54.98845742514338</v>
      </c>
      <c r="AK5" s="87">
        <f t="shared" si="1"/>
        <v>55.460882456467751</v>
      </c>
      <c r="AL5" s="87">
        <f t="shared" si="1"/>
        <v>55.943507600005354</v>
      </c>
      <c r="AM5" s="11"/>
      <c r="AN5" s="11"/>
      <c r="AO5" s="11"/>
      <c r="AP5" s="11"/>
      <c r="AQ5" s="11"/>
      <c r="AR5" s="11"/>
      <c r="AS5" s="11"/>
      <c r="AT5" s="11"/>
      <c r="AU5" s="11"/>
      <c r="AV5" s="11"/>
      <c r="AW5" s="11"/>
      <c r="AX5" s="11"/>
      <c r="AY5" s="11"/>
      <c r="AZ5" s="11"/>
      <c r="BA5" s="11"/>
      <c r="BB5" s="11"/>
      <c r="BC5" s="11"/>
      <c r="BD5" s="11"/>
      <c r="BE5" s="11"/>
      <c r="BF5" s="11"/>
      <c r="BG5" s="11"/>
      <c r="BH5" s="11"/>
      <c r="BI5" s="11"/>
      <c r="BJ5" s="11"/>
      <c r="BK5" s="11"/>
      <c r="BL5" s="11"/>
    </row>
    <row r="6" spans="1:64" x14ac:dyDescent="0.2">
      <c r="L6" s="232" t="str">
        <f>'Occ T3'!A8</f>
        <v>11 Corporate managers and directors</v>
      </c>
      <c r="M6" s="11">
        <v>26.039097768455182</v>
      </c>
      <c r="N6" s="11">
        <v>28.686458448555751</v>
      </c>
      <c r="O6" s="11">
        <v>28.841634666860351</v>
      </c>
      <c r="P6" s="11">
        <v>28.163943847534632</v>
      </c>
      <c r="Q6" s="11">
        <v>28.72964474018681</v>
      </c>
      <c r="R6" s="11">
        <v>30.247562792471243</v>
      </c>
      <c r="S6" s="11">
        <v>32.318679479805681</v>
      </c>
      <c r="T6" s="11">
        <v>34.188942838094682</v>
      </c>
      <c r="U6" s="11">
        <v>33.950605193001813</v>
      </c>
      <c r="V6" s="11">
        <v>35.435168332564437</v>
      </c>
      <c r="W6" s="11">
        <v>37.285129342999952</v>
      </c>
      <c r="X6" s="11">
        <v>32.176417225158715</v>
      </c>
      <c r="Y6" s="11">
        <v>32.414168539891385</v>
      </c>
      <c r="Z6" s="11">
        <v>32.666917879624755</v>
      </c>
      <c r="AA6" s="11">
        <v>32.984553193633303</v>
      </c>
      <c r="AB6" s="11">
        <v>33.254205149928133</v>
      </c>
      <c r="AC6" s="11">
        <v>33.503676555017854</v>
      </c>
      <c r="AD6" s="11">
        <v>33.740801875833668</v>
      </c>
      <c r="AE6" s="11">
        <v>33.979837544384878</v>
      </c>
      <c r="AF6" s="11">
        <v>34.219667452259088</v>
      </c>
      <c r="AG6" s="11">
        <v>34.47874856632361</v>
      </c>
      <c r="AH6" s="11">
        <v>34.735659292329487</v>
      </c>
      <c r="AI6" s="11">
        <v>34.983994879404229</v>
      </c>
      <c r="AJ6" s="11">
        <v>35.234656543725301</v>
      </c>
      <c r="AK6" s="11">
        <v>35.501523678626612</v>
      </c>
      <c r="AL6" s="11">
        <v>35.772891868365278</v>
      </c>
      <c r="AM6" s="11"/>
      <c r="AN6" s="11"/>
      <c r="AO6" s="11"/>
      <c r="AP6" s="11"/>
      <c r="AQ6" s="11"/>
      <c r="AR6" s="11"/>
      <c r="AS6" s="11"/>
      <c r="AT6" s="11"/>
      <c r="AU6" s="11"/>
      <c r="AV6" s="11"/>
      <c r="AW6" s="11"/>
      <c r="AX6" s="11"/>
      <c r="AY6" s="11"/>
      <c r="AZ6" s="11"/>
      <c r="BA6" s="11"/>
      <c r="BB6" s="11"/>
      <c r="BC6" s="11"/>
      <c r="BD6" s="11"/>
      <c r="BE6" s="11"/>
      <c r="BF6" s="11"/>
      <c r="BG6" s="11"/>
      <c r="BH6" s="11"/>
      <c r="BI6" s="11"/>
      <c r="BJ6" s="11"/>
      <c r="BK6" s="11"/>
      <c r="BL6" s="11"/>
    </row>
    <row r="7" spans="1:64" x14ac:dyDescent="0.2">
      <c r="L7" s="232" t="str">
        <f>'Occ T3'!A9</f>
        <v>12 Other managers and proprietors</v>
      </c>
      <c r="M7" s="11">
        <v>13.737953232613643</v>
      </c>
      <c r="N7" s="11">
        <v>15.005074685248232</v>
      </c>
      <c r="O7" s="11">
        <v>15.201762816822026</v>
      </c>
      <c r="P7" s="11">
        <v>14.786053045161221</v>
      </c>
      <c r="Q7" s="11">
        <v>16.143069631073374</v>
      </c>
      <c r="R7" s="11">
        <v>15.483032384061453</v>
      </c>
      <c r="S7" s="11">
        <v>15.073903610276068</v>
      </c>
      <c r="T7" s="11">
        <v>16.493367687909885</v>
      </c>
      <c r="U7" s="11">
        <v>15.654208741768782</v>
      </c>
      <c r="V7" s="11">
        <v>16.781545972413859</v>
      </c>
      <c r="W7" s="11">
        <v>17.623157595105926</v>
      </c>
      <c r="X7" s="11">
        <v>17.308595664392985</v>
      </c>
      <c r="Y7" s="11">
        <v>17.481804847166899</v>
      </c>
      <c r="Z7" s="11">
        <v>17.680645995190176</v>
      </c>
      <c r="AA7" s="11">
        <v>17.92686198495657</v>
      </c>
      <c r="AB7" s="11">
        <v>18.132214773438296</v>
      </c>
      <c r="AC7" s="11">
        <v>18.32891807401214</v>
      </c>
      <c r="AD7" s="11">
        <v>18.532899347780038</v>
      </c>
      <c r="AE7" s="11">
        <v>18.731687373022393</v>
      </c>
      <c r="AF7" s="11">
        <v>18.924151032199887</v>
      </c>
      <c r="AG7" s="11">
        <v>19.124595705099701</v>
      </c>
      <c r="AH7" s="11">
        <v>19.336299404686642</v>
      </c>
      <c r="AI7" s="11">
        <v>19.542230991355108</v>
      </c>
      <c r="AJ7" s="11">
        <v>19.75380088141808</v>
      </c>
      <c r="AK7" s="11">
        <v>19.959358777841139</v>
      </c>
      <c r="AL7" s="11">
        <v>20.170615731640076</v>
      </c>
      <c r="AM7" s="11"/>
      <c r="AN7" s="11"/>
      <c r="AO7" s="11"/>
      <c r="AP7" s="11"/>
      <c r="AQ7" s="11"/>
      <c r="AR7" s="11"/>
      <c r="AS7" s="11"/>
      <c r="AT7" s="11"/>
      <c r="AU7" s="11"/>
      <c r="AV7" s="11"/>
      <c r="AW7" s="11"/>
      <c r="AX7" s="11"/>
      <c r="AY7" s="11"/>
      <c r="AZ7" s="11"/>
      <c r="BA7" s="11"/>
      <c r="BB7" s="11"/>
      <c r="BC7" s="11"/>
      <c r="BD7" s="11"/>
      <c r="BE7" s="11"/>
      <c r="BF7" s="11"/>
      <c r="BG7" s="11"/>
      <c r="BH7" s="11"/>
      <c r="BI7" s="11"/>
      <c r="BJ7" s="11"/>
      <c r="BK7" s="11"/>
      <c r="BL7" s="11"/>
    </row>
    <row r="8" spans="1:64" x14ac:dyDescent="0.2">
      <c r="L8" s="232"/>
      <c r="M8" s="11"/>
      <c r="N8" s="11"/>
      <c r="O8" s="11"/>
      <c r="P8" s="11"/>
      <c r="Q8" s="11"/>
      <c r="R8" s="11"/>
      <c r="S8" s="11"/>
      <c r="T8" s="11"/>
      <c r="U8" s="11"/>
      <c r="V8" s="11"/>
      <c r="W8" s="11"/>
      <c r="X8" s="11"/>
      <c r="Y8" s="11"/>
      <c r="Z8" s="11"/>
      <c r="AA8" s="11"/>
      <c r="AB8" s="11"/>
      <c r="AC8" s="11"/>
      <c r="AD8" s="11"/>
      <c r="AE8" s="11"/>
      <c r="AF8" s="11"/>
      <c r="AG8" s="11"/>
      <c r="AH8" s="11"/>
      <c r="AI8" s="11"/>
      <c r="AJ8" s="11"/>
      <c r="AK8" s="11"/>
      <c r="AL8" s="11"/>
      <c r="AM8" s="11"/>
      <c r="AN8" s="11"/>
      <c r="AO8" s="11"/>
      <c r="AP8" s="11"/>
      <c r="AQ8" s="11"/>
      <c r="AR8" s="11"/>
      <c r="AS8" s="11"/>
      <c r="AT8" s="11"/>
      <c r="AU8" s="11"/>
      <c r="AV8" s="11"/>
      <c r="AW8" s="11"/>
      <c r="AX8" s="11"/>
      <c r="AY8" s="11"/>
      <c r="AZ8" s="11"/>
      <c r="BA8" s="11"/>
      <c r="BB8" s="11"/>
      <c r="BC8" s="11"/>
      <c r="BD8" s="11"/>
      <c r="BE8" s="11"/>
      <c r="BF8" s="11"/>
      <c r="BG8" s="11"/>
      <c r="BH8" s="11"/>
      <c r="BI8" s="11"/>
      <c r="BJ8" s="11"/>
      <c r="BK8" s="11"/>
      <c r="BL8" s="11"/>
    </row>
    <row r="9" spans="1:64" x14ac:dyDescent="0.2">
      <c r="L9" s="17" t="str">
        <f>'Occ T3'!A11</f>
        <v>Professional occupations</v>
      </c>
      <c r="M9" s="87">
        <f t="shared" ref="M9" si="2">SUM(M10:M13)</f>
        <v>84.406094081105508</v>
      </c>
      <c r="N9" s="87">
        <f>SUM(N10:N13)</f>
        <v>82.36762403238626</v>
      </c>
      <c r="O9" s="87">
        <f t="shared" ref="O9:AL9" si="3">SUM(O10:O13)</f>
        <v>80.773404408219903</v>
      </c>
      <c r="P9" s="87">
        <f t="shared" si="3"/>
        <v>79.916889414423451</v>
      </c>
      <c r="Q9" s="87">
        <f t="shared" si="3"/>
        <v>85.466398668315463</v>
      </c>
      <c r="R9" s="87">
        <f t="shared" si="3"/>
        <v>84.148060400468779</v>
      </c>
      <c r="S9" s="87">
        <f t="shared" si="3"/>
        <v>87.324132285380699</v>
      </c>
      <c r="T9" s="87">
        <f t="shared" si="3"/>
        <v>88.596456501641484</v>
      </c>
      <c r="U9" s="87">
        <f t="shared" si="3"/>
        <v>91.645553663883973</v>
      </c>
      <c r="V9" s="87">
        <f t="shared" si="3"/>
        <v>93.942602772046001</v>
      </c>
      <c r="W9" s="87">
        <f t="shared" si="3"/>
        <v>100.75322851210709</v>
      </c>
      <c r="X9" s="87">
        <f t="shared" si="3"/>
        <v>102.28465407561157</v>
      </c>
      <c r="Y9" s="87">
        <f t="shared" si="3"/>
        <v>102.97701848800567</v>
      </c>
      <c r="Z9" s="87">
        <f t="shared" si="3"/>
        <v>104.0506761163881</v>
      </c>
      <c r="AA9" s="87">
        <f t="shared" si="3"/>
        <v>105.31401438314809</v>
      </c>
      <c r="AB9" s="87">
        <f t="shared" si="3"/>
        <v>106.41960924409312</v>
      </c>
      <c r="AC9" s="87">
        <f t="shared" si="3"/>
        <v>107.47877045749695</v>
      </c>
      <c r="AD9" s="87">
        <f t="shared" si="3"/>
        <v>108.51895519341011</v>
      </c>
      <c r="AE9" s="87">
        <f t="shared" si="3"/>
        <v>109.59025153947064</v>
      </c>
      <c r="AF9" s="87">
        <f t="shared" si="3"/>
        <v>110.64381246277497</v>
      </c>
      <c r="AG9" s="87">
        <f t="shared" si="3"/>
        <v>111.77282424604567</v>
      </c>
      <c r="AH9" s="87">
        <f t="shared" si="3"/>
        <v>112.88477927938978</v>
      </c>
      <c r="AI9" s="87">
        <f t="shared" si="3"/>
        <v>113.96810430736377</v>
      </c>
      <c r="AJ9" s="87">
        <f t="shared" si="3"/>
        <v>115.0517459580585</v>
      </c>
      <c r="AK9" s="87">
        <f t="shared" si="3"/>
        <v>116.14901381325845</v>
      </c>
      <c r="AL9" s="87">
        <f t="shared" si="3"/>
        <v>117.27071910226633</v>
      </c>
      <c r="AM9" s="11"/>
      <c r="AN9" s="11"/>
      <c r="AO9" s="11"/>
      <c r="AP9" s="11"/>
      <c r="AQ9" s="11"/>
      <c r="AR9" s="11"/>
      <c r="AS9" s="11"/>
      <c r="AT9" s="11"/>
      <c r="AU9" s="11"/>
      <c r="AV9" s="11"/>
      <c r="AW9" s="11"/>
      <c r="AX9" s="11"/>
      <c r="AY9" s="11"/>
      <c r="AZ9" s="11"/>
      <c r="BA9" s="11"/>
      <c r="BB9" s="11"/>
    </row>
    <row r="10" spans="1:64" x14ac:dyDescent="0.2">
      <c r="L10" s="232" t="str">
        <f>'Occ T3'!A12</f>
        <v>21 Science, research, engineering and technology professionals</v>
      </c>
      <c r="M10" s="11">
        <v>22.362488614189964</v>
      </c>
      <c r="N10" s="11">
        <v>20.992223124475977</v>
      </c>
      <c r="O10" s="11">
        <v>20.891016096397582</v>
      </c>
      <c r="P10" s="11">
        <v>20.645086485960416</v>
      </c>
      <c r="Q10" s="11">
        <v>22.963654934878267</v>
      </c>
      <c r="R10" s="11">
        <v>23.25915527928213</v>
      </c>
      <c r="S10" s="11">
        <v>24.007174062997347</v>
      </c>
      <c r="T10" s="11">
        <v>24.453552817073543</v>
      </c>
      <c r="U10" s="11">
        <v>25.908613539988892</v>
      </c>
      <c r="V10" s="11">
        <v>26.194759519288692</v>
      </c>
      <c r="W10" s="11">
        <v>28.087523686209455</v>
      </c>
      <c r="X10" s="11">
        <v>32.393808848084049</v>
      </c>
      <c r="Y10" s="11">
        <v>32.843391727494733</v>
      </c>
      <c r="Z10" s="11">
        <v>33.370694254027313</v>
      </c>
      <c r="AA10" s="11">
        <v>33.961528056285765</v>
      </c>
      <c r="AB10" s="11">
        <v>34.493218359218091</v>
      </c>
      <c r="AC10" s="11">
        <v>35.002235226858673</v>
      </c>
      <c r="AD10" s="11">
        <v>35.49084439283007</v>
      </c>
      <c r="AE10" s="11">
        <v>35.992463835961537</v>
      </c>
      <c r="AF10" s="11">
        <v>36.485091581465277</v>
      </c>
      <c r="AG10" s="11">
        <v>37.002042526811799</v>
      </c>
      <c r="AH10" s="11">
        <v>37.518003554211504</v>
      </c>
      <c r="AI10" s="11">
        <v>38.034113960919939</v>
      </c>
      <c r="AJ10" s="11">
        <v>38.54549227563087</v>
      </c>
      <c r="AK10" s="11">
        <v>39.067959406492911</v>
      </c>
      <c r="AL10" s="11">
        <v>39.592228833866301</v>
      </c>
      <c r="AM10" s="11"/>
      <c r="AN10" s="11"/>
      <c r="AO10" s="11"/>
      <c r="AP10" s="11"/>
      <c r="AQ10" s="11"/>
      <c r="AR10" s="11"/>
      <c r="AS10" s="11"/>
      <c r="AT10" s="11"/>
      <c r="AU10" s="11"/>
      <c r="AV10" s="11"/>
      <c r="AW10" s="11"/>
      <c r="AX10" s="11"/>
      <c r="AY10" s="11"/>
      <c r="AZ10" s="11"/>
      <c r="BA10" s="11"/>
      <c r="BB10" s="11"/>
      <c r="BC10" s="11"/>
      <c r="BD10" s="11"/>
      <c r="BE10" s="11"/>
      <c r="BF10" s="11"/>
      <c r="BG10" s="11"/>
      <c r="BH10" s="11"/>
      <c r="BI10" s="11"/>
      <c r="BJ10" s="11"/>
      <c r="BK10" s="11"/>
      <c r="BL10" s="11"/>
    </row>
    <row r="11" spans="1:64" x14ac:dyDescent="0.2">
      <c r="L11" s="232" t="str">
        <f>'Occ T3'!A13</f>
        <v>22 Health professionals</v>
      </c>
      <c r="M11" s="11">
        <v>18.549962758864211</v>
      </c>
      <c r="N11" s="11">
        <v>19.401912585812273</v>
      </c>
      <c r="O11" s="11">
        <v>18.949625607496781</v>
      </c>
      <c r="P11" s="11">
        <v>18.168646682755782</v>
      </c>
      <c r="Q11" s="11">
        <v>19.438109673456438</v>
      </c>
      <c r="R11" s="11">
        <v>19.148814719960843</v>
      </c>
      <c r="S11" s="11">
        <v>20.147145923280867</v>
      </c>
      <c r="T11" s="11">
        <v>21.632074927423613</v>
      </c>
      <c r="U11" s="11">
        <v>21.311057761619264</v>
      </c>
      <c r="V11" s="11">
        <v>21.995438768546176</v>
      </c>
      <c r="W11" s="11">
        <v>22.204702058713004</v>
      </c>
      <c r="X11" s="11">
        <v>21.087691353864123</v>
      </c>
      <c r="Y11" s="11">
        <v>21.203581688754568</v>
      </c>
      <c r="Z11" s="11">
        <v>21.378532211688942</v>
      </c>
      <c r="AA11" s="11">
        <v>21.567042341521077</v>
      </c>
      <c r="AB11" s="11">
        <v>21.725810467444898</v>
      </c>
      <c r="AC11" s="11">
        <v>21.868762836384274</v>
      </c>
      <c r="AD11" s="11">
        <v>22.032630924734356</v>
      </c>
      <c r="AE11" s="11">
        <v>22.19324026490651</v>
      </c>
      <c r="AF11" s="11">
        <v>22.331218908538862</v>
      </c>
      <c r="AG11" s="11">
        <v>22.484005561072859</v>
      </c>
      <c r="AH11" s="11">
        <v>22.626976066011078</v>
      </c>
      <c r="AI11" s="11">
        <v>22.771652702525643</v>
      </c>
      <c r="AJ11" s="11">
        <v>22.911955925474636</v>
      </c>
      <c r="AK11" s="11">
        <v>23.046509341054879</v>
      </c>
      <c r="AL11" s="11">
        <v>23.203332606461984</v>
      </c>
      <c r="AM11" s="11"/>
      <c r="AN11" s="11"/>
      <c r="AO11" s="11"/>
      <c r="AP11" s="11"/>
      <c r="AQ11" s="11"/>
      <c r="AR11" s="11"/>
      <c r="AS11" s="11"/>
      <c r="AT11" s="11"/>
      <c r="AU11" s="11"/>
      <c r="AV11" s="11"/>
      <c r="AW11" s="11"/>
      <c r="AX11" s="11"/>
      <c r="AY11" s="11"/>
      <c r="AZ11" s="11"/>
      <c r="BA11" s="11"/>
      <c r="BB11" s="11"/>
      <c r="BC11" s="11"/>
      <c r="BD11" s="11"/>
      <c r="BE11" s="11"/>
      <c r="BF11" s="11"/>
      <c r="BG11" s="11"/>
      <c r="BH11" s="11"/>
      <c r="BI11" s="11"/>
      <c r="BJ11" s="11"/>
      <c r="BK11" s="11"/>
      <c r="BL11" s="11"/>
    </row>
    <row r="12" spans="1:64" x14ac:dyDescent="0.2">
      <c r="L12" s="232" t="str">
        <f>'Occ T3'!A14</f>
        <v>23 Teaching and other educational professionals</v>
      </c>
      <c r="M12" s="11">
        <v>18.604224356237772</v>
      </c>
      <c r="N12" s="11">
        <v>18.221285339489071</v>
      </c>
      <c r="O12" s="11">
        <v>18.588603565604444</v>
      </c>
      <c r="P12" s="11">
        <v>18.372631118720946</v>
      </c>
      <c r="Q12" s="11">
        <v>18.294657321842617</v>
      </c>
      <c r="R12" s="11">
        <v>18.259091469867247</v>
      </c>
      <c r="S12" s="11">
        <v>17.758110491050179</v>
      </c>
      <c r="T12" s="11">
        <v>16.827601263370678</v>
      </c>
      <c r="U12" s="11">
        <v>17.778468566175601</v>
      </c>
      <c r="V12" s="11">
        <v>18.576127910613074</v>
      </c>
      <c r="W12" s="11">
        <v>19.425860904777554</v>
      </c>
      <c r="X12" s="11">
        <v>18.054362161395524</v>
      </c>
      <c r="Y12" s="11">
        <v>17.918079936845878</v>
      </c>
      <c r="Z12" s="11">
        <v>17.933189200673329</v>
      </c>
      <c r="AA12" s="11">
        <v>17.989424319359127</v>
      </c>
      <c r="AB12" s="11">
        <v>18.030334762119871</v>
      </c>
      <c r="AC12" s="11">
        <v>18.071798769268966</v>
      </c>
      <c r="AD12" s="11">
        <v>18.105599215967427</v>
      </c>
      <c r="AE12" s="11">
        <v>18.153532083489061</v>
      </c>
      <c r="AF12" s="11">
        <v>18.211585124020964</v>
      </c>
      <c r="AG12" s="11">
        <v>18.289141194736125</v>
      </c>
      <c r="AH12" s="11">
        <v>18.347936115132423</v>
      </c>
      <c r="AI12" s="11">
        <v>18.399074246418383</v>
      </c>
      <c r="AJ12" s="11">
        <v>18.452237573840737</v>
      </c>
      <c r="AK12" s="11">
        <v>18.504201252724339</v>
      </c>
      <c r="AL12" s="11">
        <v>18.557734407530312</v>
      </c>
      <c r="AM12" s="11"/>
      <c r="AN12" s="11"/>
      <c r="AO12" s="11"/>
      <c r="AP12" s="11"/>
      <c r="AQ12" s="11"/>
      <c r="AR12" s="11"/>
      <c r="AS12" s="11"/>
      <c r="AT12" s="11"/>
      <c r="AU12" s="11"/>
      <c r="AV12" s="11"/>
      <c r="AW12" s="11"/>
      <c r="AX12" s="11"/>
      <c r="AY12" s="11"/>
      <c r="AZ12" s="11"/>
      <c r="BA12" s="11"/>
      <c r="BB12" s="11"/>
      <c r="BC12" s="11"/>
      <c r="BD12" s="11"/>
      <c r="BE12" s="11"/>
      <c r="BF12" s="11"/>
      <c r="BG12" s="11"/>
      <c r="BH12" s="11"/>
      <c r="BI12" s="11"/>
      <c r="BJ12" s="11"/>
      <c r="BK12" s="11"/>
      <c r="BL12" s="11"/>
    </row>
    <row r="13" spans="1:64" x14ac:dyDescent="0.2">
      <c r="L13" s="232" t="str">
        <f>'Occ T3'!A15</f>
        <v>24 Business, media and public service professionals</v>
      </c>
      <c r="M13" s="11">
        <v>24.889418351813561</v>
      </c>
      <c r="N13" s="11">
        <v>23.752202982608942</v>
      </c>
      <c r="O13" s="11">
        <v>22.3441591387211</v>
      </c>
      <c r="P13" s="11">
        <v>22.730525126986304</v>
      </c>
      <c r="Q13" s="11">
        <v>24.769976738138141</v>
      </c>
      <c r="R13" s="11">
        <v>23.48099893135856</v>
      </c>
      <c r="S13" s="11">
        <v>25.411701808052317</v>
      </c>
      <c r="T13" s="11">
        <v>25.683227493773639</v>
      </c>
      <c r="U13" s="11">
        <v>26.647413796100206</v>
      </c>
      <c r="V13" s="11">
        <v>27.176276573598052</v>
      </c>
      <c r="W13" s="11">
        <v>31.03514186240707</v>
      </c>
      <c r="X13" s="11">
        <v>30.748791712267877</v>
      </c>
      <c r="Y13" s="11">
        <v>31.011965134910483</v>
      </c>
      <c r="Z13" s="11">
        <v>31.368260449998523</v>
      </c>
      <c r="AA13" s="11">
        <v>31.796019665982111</v>
      </c>
      <c r="AB13" s="11">
        <v>32.170245655310246</v>
      </c>
      <c r="AC13" s="11">
        <v>32.535973624985026</v>
      </c>
      <c r="AD13" s="11">
        <v>32.889880659878266</v>
      </c>
      <c r="AE13" s="11">
        <v>33.251015355113545</v>
      </c>
      <c r="AF13" s="11">
        <v>33.615916848749862</v>
      </c>
      <c r="AG13" s="11">
        <v>33.997634963424908</v>
      </c>
      <c r="AH13" s="11">
        <v>34.391863544034763</v>
      </c>
      <c r="AI13" s="11">
        <v>34.763263397499813</v>
      </c>
      <c r="AJ13" s="11">
        <v>35.142060183112264</v>
      </c>
      <c r="AK13" s="11">
        <v>35.530343812986324</v>
      </c>
      <c r="AL13" s="11">
        <v>35.917423254407737</v>
      </c>
      <c r="AM13" s="11"/>
      <c r="AN13" s="11"/>
      <c r="AO13" s="11"/>
      <c r="AP13" s="11"/>
      <c r="AQ13" s="11"/>
      <c r="AR13" s="11"/>
      <c r="AS13" s="11"/>
      <c r="AT13" s="11"/>
      <c r="AU13" s="11"/>
      <c r="AV13" s="11"/>
      <c r="AW13" s="11"/>
      <c r="AX13" s="11"/>
      <c r="AY13" s="11"/>
      <c r="AZ13" s="11"/>
      <c r="BA13" s="11"/>
      <c r="BB13" s="11"/>
      <c r="BC13" s="11"/>
      <c r="BD13" s="11"/>
      <c r="BE13" s="11"/>
      <c r="BF13" s="11"/>
      <c r="BG13" s="11"/>
      <c r="BH13" s="11"/>
      <c r="BI13" s="11"/>
      <c r="BJ13" s="11"/>
      <c r="BK13" s="11"/>
      <c r="BL13" s="11"/>
    </row>
    <row r="14" spans="1:64" x14ac:dyDescent="0.2">
      <c r="L14" s="232"/>
      <c r="M14" s="11"/>
      <c r="N14" s="11"/>
      <c r="O14" s="11"/>
      <c r="P14" s="11"/>
      <c r="Q14" s="11"/>
      <c r="R14" s="11"/>
      <c r="S14" s="11"/>
      <c r="T14" s="11"/>
      <c r="U14" s="11"/>
      <c r="V14" s="11"/>
      <c r="W14" s="11"/>
      <c r="X14" s="11"/>
      <c r="Y14" s="11"/>
      <c r="Z14" s="11"/>
      <c r="AA14" s="11"/>
      <c r="AB14" s="11"/>
      <c r="AC14" s="11"/>
      <c r="AD14" s="11"/>
      <c r="AE14" s="11"/>
      <c r="AF14" s="11"/>
      <c r="AG14" s="11"/>
      <c r="AH14" s="11"/>
      <c r="AI14" s="11"/>
      <c r="AJ14" s="11"/>
      <c r="AK14" s="11"/>
      <c r="AL14" s="11"/>
      <c r="AM14" s="11"/>
      <c r="AN14" s="11"/>
      <c r="AO14" s="11"/>
      <c r="AP14" s="11"/>
      <c r="AQ14" s="11"/>
      <c r="AR14" s="11"/>
      <c r="AS14" s="11"/>
      <c r="AT14" s="11"/>
      <c r="AU14" s="11"/>
      <c r="AV14" s="11"/>
      <c r="AW14" s="11"/>
      <c r="AX14" s="11"/>
      <c r="AY14" s="11"/>
      <c r="AZ14" s="11"/>
      <c r="BA14" s="11"/>
      <c r="BB14" s="11"/>
      <c r="BC14" s="11"/>
      <c r="BD14" s="11"/>
      <c r="BE14" s="11"/>
      <c r="BF14" s="11"/>
      <c r="BG14" s="11"/>
      <c r="BH14" s="11"/>
      <c r="BI14" s="11"/>
      <c r="BJ14" s="11"/>
      <c r="BK14" s="11"/>
      <c r="BL14" s="11"/>
    </row>
    <row r="15" spans="1:64" x14ac:dyDescent="0.2">
      <c r="L15" s="17" t="str">
        <f>'Occ T3'!A17</f>
        <v>Associate professional occupations</v>
      </c>
      <c r="M15" s="87">
        <f t="shared" ref="M15" si="4">SUM(M16:M20)</f>
        <v>51.447857325935601</v>
      </c>
      <c r="N15" s="87">
        <f>SUM(N16:N20)</f>
        <v>52.941477515470098</v>
      </c>
      <c r="O15" s="87">
        <f t="shared" ref="O15:AL15" si="5">SUM(O16:O20)</f>
        <v>52.442487538977076</v>
      </c>
      <c r="P15" s="87">
        <f t="shared" si="5"/>
        <v>50.492105649911601</v>
      </c>
      <c r="Q15" s="87">
        <f t="shared" si="5"/>
        <v>53.788474466868379</v>
      </c>
      <c r="R15" s="87">
        <f t="shared" si="5"/>
        <v>53.926885449501597</v>
      </c>
      <c r="S15" s="87">
        <f t="shared" si="5"/>
        <v>54.753543662627024</v>
      </c>
      <c r="T15" s="87">
        <f t="shared" si="5"/>
        <v>58.277728625155866</v>
      </c>
      <c r="U15" s="87">
        <f t="shared" si="5"/>
        <v>57.985553581606865</v>
      </c>
      <c r="V15" s="87">
        <f t="shared" si="5"/>
        <v>57.79169663030892</v>
      </c>
      <c r="W15" s="87">
        <f t="shared" si="5"/>
        <v>61.437373146147308</v>
      </c>
      <c r="X15" s="87">
        <f t="shared" si="5"/>
        <v>62.117112564641147</v>
      </c>
      <c r="Y15" s="87">
        <f t="shared" si="5"/>
        <v>62.539918083001055</v>
      </c>
      <c r="Z15" s="87">
        <f t="shared" si="5"/>
        <v>63.115023273841715</v>
      </c>
      <c r="AA15" s="87">
        <f t="shared" si="5"/>
        <v>63.826573586306786</v>
      </c>
      <c r="AB15" s="87">
        <f t="shared" si="5"/>
        <v>64.423006273493314</v>
      </c>
      <c r="AC15" s="87">
        <f t="shared" si="5"/>
        <v>64.972914702303072</v>
      </c>
      <c r="AD15" s="87">
        <f t="shared" si="5"/>
        <v>65.489071350528519</v>
      </c>
      <c r="AE15" s="87">
        <f t="shared" si="5"/>
        <v>65.978459803386372</v>
      </c>
      <c r="AF15" s="87">
        <f t="shared" si="5"/>
        <v>66.48200715820137</v>
      </c>
      <c r="AG15" s="87">
        <f t="shared" si="5"/>
        <v>67.029697574356135</v>
      </c>
      <c r="AH15" s="87">
        <f t="shared" si="5"/>
        <v>67.594031823639682</v>
      </c>
      <c r="AI15" s="87">
        <f t="shared" si="5"/>
        <v>68.118708211630661</v>
      </c>
      <c r="AJ15" s="87">
        <f t="shared" si="5"/>
        <v>68.670363767557433</v>
      </c>
      <c r="AK15" s="87">
        <f t="shared" si="5"/>
        <v>69.224209348369726</v>
      </c>
      <c r="AL15" s="87">
        <f t="shared" si="5"/>
        <v>69.798906165083082</v>
      </c>
      <c r="AM15" s="11"/>
      <c r="AN15" s="11"/>
      <c r="AO15" s="11"/>
      <c r="AP15" s="11"/>
      <c r="AQ15" s="11"/>
      <c r="AR15" s="11"/>
      <c r="AS15" s="11"/>
      <c r="AT15" s="11"/>
      <c r="AU15" s="11"/>
      <c r="AV15" s="11"/>
      <c r="AW15" s="11"/>
      <c r="AX15" s="11"/>
      <c r="AY15" s="11"/>
      <c r="AZ15" s="11"/>
      <c r="BA15" s="11"/>
      <c r="BB15" s="11"/>
    </row>
    <row r="16" spans="1:64" x14ac:dyDescent="0.2">
      <c r="L16" s="232" t="str">
        <f>'Occ T3'!A18</f>
        <v>31 Science, engineering and technology associate professionals</v>
      </c>
      <c r="M16" s="11">
        <v>8.4139604562159871</v>
      </c>
      <c r="N16" s="11">
        <v>8.0503194029323044</v>
      </c>
      <c r="O16" s="11">
        <v>8.1822401368710871</v>
      </c>
      <c r="P16" s="11">
        <v>8.1517213400390922</v>
      </c>
      <c r="Q16" s="11">
        <v>8.0265526419711222</v>
      </c>
      <c r="R16" s="11">
        <v>7.8788112683670883</v>
      </c>
      <c r="S16" s="11">
        <v>8.259426511266561</v>
      </c>
      <c r="T16" s="11">
        <v>9.3580074829238864</v>
      </c>
      <c r="U16" s="11">
        <v>9.5479753494650907</v>
      </c>
      <c r="V16" s="11">
        <v>9.0640058563672952</v>
      </c>
      <c r="W16" s="11">
        <v>10.211041430849397</v>
      </c>
      <c r="X16" s="11">
        <v>9.1427230687541776</v>
      </c>
      <c r="Y16" s="11">
        <v>9.2182736342815605</v>
      </c>
      <c r="Z16" s="11">
        <v>9.2898380593806777</v>
      </c>
      <c r="AA16" s="11">
        <v>9.3776876884558877</v>
      </c>
      <c r="AB16" s="11">
        <v>9.4565333793712654</v>
      </c>
      <c r="AC16" s="11">
        <v>9.527780964473834</v>
      </c>
      <c r="AD16" s="11">
        <v>9.5883703860575604</v>
      </c>
      <c r="AE16" s="11">
        <v>9.6479541503681467</v>
      </c>
      <c r="AF16" s="11">
        <v>9.7045344698970339</v>
      </c>
      <c r="AG16" s="11">
        <v>9.775892084125525</v>
      </c>
      <c r="AH16" s="11">
        <v>9.8458266491644828</v>
      </c>
      <c r="AI16" s="11">
        <v>9.9193467988578377</v>
      </c>
      <c r="AJ16" s="11">
        <v>9.9995744495142933</v>
      </c>
      <c r="AK16" s="11">
        <v>10.07740795408861</v>
      </c>
      <c r="AL16" s="11">
        <v>10.158891214200377</v>
      </c>
      <c r="AM16" s="11"/>
      <c r="AN16" s="11"/>
      <c r="AO16" s="11"/>
      <c r="AP16" s="11"/>
      <c r="AQ16" s="11"/>
      <c r="AR16" s="11"/>
      <c r="AS16" s="11"/>
      <c r="AT16" s="11"/>
      <c r="AU16" s="11"/>
      <c r="AV16" s="11"/>
      <c r="AW16" s="11"/>
      <c r="AX16" s="11"/>
      <c r="AY16" s="11"/>
      <c r="AZ16" s="11"/>
      <c r="BA16" s="11"/>
      <c r="BB16" s="11"/>
      <c r="BC16" s="11"/>
      <c r="BD16" s="11"/>
      <c r="BE16" s="11"/>
      <c r="BF16" s="11"/>
      <c r="BG16" s="11"/>
      <c r="BH16" s="11"/>
      <c r="BI16" s="11"/>
      <c r="BJ16" s="11"/>
      <c r="BK16" s="11"/>
      <c r="BL16" s="11"/>
    </row>
    <row r="17" spans="12:64" x14ac:dyDescent="0.2">
      <c r="L17" s="232" t="str">
        <f>'Occ T3'!A19</f>
        <v>32 Health and social care associate professionals</v>
      </c>
      <c r="M17" s="11">
        <v>7.0328000313434522</v>
      </c>
      <c r="N17" s="11">
        <v>8.9567277951979758</v>
      </c>
      <c r="O17" s="11">
        <v>8.5214861996522107</v>
      </c>
      <c r="P17" s="11">
        <v>8.0166026815317135</v>
      </c>
      <c r="Q17" s="11">
        <v>8.5033026710342341</v>
      </c>
      <c r="R17" s="11">
        <v>8.4794949970886488</v>
      </c>
      <c r="S17" s="11">
        <v>8.6583732406822289</v>
      </c>
      <c r="T17" s="11">
        <v>8.9383630478753666</v>
      </c>
      <c r="U17" s="11">
        <v>9.669700290725272</v>
      </c>
      <c r="V17" s="11">
        <v>9.6209059892435427</v>
      </c>
      <c r="W17" s="11">
        <v>9.8334636122958532</v>
      </c>
      <c r="X17" s="11">
        <v>14.385192407051289</v>
      </c>
      <c r="Y17" s="11">
        <v>14.627125118254314</v>
      </c>
      <c r="Z17" s="11">
        <v>14.90944646087069</v>
      </c>
      <c r="AA17" s="11">
        <v>15.202837560894331</v>
      </c>
      <c r="AB17" s="11">
        <v>15.479455893129849</v>
      </c>
      <c r="AC17" s="11">
        <v>15.741178170784529</v>
      </c>
      <c r="AD17" s="11">
        <v>16.004699435401676</v>
      </c>
      <c r="AE17" s="11">
        <v>16.255619432893528</v>
      </c>
      <c r="AF17" s="11">
        <v>16.515204861986192</v>
      </c>
      <c r="AG17" s="11">
        <v>16.800683541253576</v>
      </c>
      <c r="AH17" s="11">
        <v>17.096847596832372</v>
      </c>
      <c r="AI17" s="11">
        <v>17.369119939313173</v>
      </c>
      <c r="AJ17" s="11">
        <v>17.633997439763053</v>
      </c>
      <c r="AK17" s="11">
        <v>17.9020850582618</v>
      </c>
      <c r="AL17" s="11">
        <v>18.168057244041023</v>
      </c>
      <c r="AM17" s="11"/>
      <c r="AN17" s="11"/>
      <c r="AO17" s="11"/>
      <c r="AP17" s="11"/>
      <c r="AQ17" s="11"/>
      <c r="AR17" s="11"/>
      <c r="AS17" s="11"/>
      <c r="AT17" s="11"/>
      <c r="AU17" s="11"/>
      <c r="AV17" s="11"/>
      <c r="AW17" s="11"/>
      <c r="AX17" s="11"/>
      <c r="AY17" s="11"/>
      <c r="AZ17" s="11"/>
      <c r="BA17" s="11"/>
      <c r="BB17" s="11"/>
    </row>
    <row r="18" spans="12:64" x14ac:dyDescent="0.2">
      <c r="L18" s="232" t="str">
        <f>'Occ T3'!A20</f>
        <v>33 Protective service occupations</v>
      </c>
      <c r="M18" s="11">
        <v>5.4005664419396124</v>
      </c>
      <c r="N18" s="11">
        <v>5.7496853493878808</v>
      </c>
      <c r="O18" s="11">
        <v>5.5031327570420281</v>
      </c>
      <c r="P18" s="11">
        <v>5.1883694028971821</v>
      </c>
      <c r="Q18" s="11">
        <v>5.6197702267841576</v>
      </c>
      <c r="R18" s="11">
        <v>5.4562316961422113</v>
      </c>
      <c r="S18" s="11">
        <v>5.7763741229156915</v>
      </c>
      <c r="T18" s="11">
        <v>5.327020943131072</v>
      </c>
      <c r="U18" s="11">
        <v>5.4987201052088981</v>
      </c>
      <c r="V18" s="11">
        <v>5.4434429140666705</v>
      </c>
      <c r="W18" s="11">
        <v>5.7259729012338703</v>
      </c>
      <c r="X18" s="11">
        <v>4.746567075661126</v>
      </c>
      <c r="Y18" s="11">
        <v>4.7946000507767055</v>
      </c>
      <c r="Z18" s="11">
        <v>4.8431930870696629</v>
      </c>
      <c r="AA18" s="11">
        <v>4.9048172013794691</v>
      </c>
      <c r="AB18" s="11">
        <v>4.9464339165450673</v>
      </c>
      <c r="AC18" s="11">
        <v>4.9816840485060574</v>
      </c>
      <c r="AD18" s="11">
        <v>5.0157832860997287</v>
      </c>
      <c r="AE18" s="11">
        <v>5.0418581810068108</v>
      </c>
      <c r="AF18" s="11">
        <v>5.075494578870523</v>
      </c>
      <c r="AG18" s="11">
        <v>5.09953135738568</v>
      </c>
      <c r="AH18" s="11">
        <v>5.1193645028696197</v>
      </c>
      <c r="AI18" s="11">
        <v>5.1333589801330817</v>
      </c>
      <c r="AJ18" s="11">
        <v>5.1670036315538761</v>
      </c>
      <c r="AK18" s="11">
        <v>5.1918063705100028</v>
      </c>
      <c r="AL18" s="11">
        <v>5.2269699614146221</v>
      </c>
      <c r="AM18" s="11"/>
      <c r="AN18" s="11"/>
      <c r="AO18" s="11"/>
      <c r="AP18" s="11"/>
      <c r="AQ18" s="11"/>
      <c r="AR18" s="11"/>
      <c r="AS18" s="11"/>
      <c r="AT18" s="11"/>
      <c r="AU18" s="11"/>
      <c r="AV18" s="11"/>
      <c r="AW18" s="11"/>
      <c r="AX18" s="11"/>
      <c r="AY18" s="11"/>
      <c r="AZ18" s="11"/>
      <c r="BA18" s="11"/>
      <c r="BB18" s="11"/>
    </row>
    <row r="19" spans="12:64" x14ac:dyDescent="0.2">
      <c r="L19" s="232" t="str">
        <f>'Occ T3'!A21</f>
        <v>34 Culture, media and sports occupations</v>
      </c>
      <c r="M19" s="11">
        <v>4.646254740962191</v>
      </c>
      <c r="N19" s="11">
        <v>5.9032291087832158</v>
      </c>
      <c r="O19" s="11">
        <v>5.760524875108648</v>
      </c>
      <c r="P19" s="11">
        <v>5.3708886314174871</v>
      </c>
      <c r="Q19" s="11">
        <v>5.6333456975662051</v>
      </c>
      <c r="R19" s="11">
        <v>6.3591490193584974</v>
      </c>
      <c r="S19" s="11">
        <v>6.3103650904246944</v>
      </c>
      <c r="T19" s="11">
        <v>7.3883895473419647</v>
      </c>
      <c r="U19" s="11">
        <v>6.489460463628526</v>
      </c>
      <c r="V19" s="11">
        <v>6.4279469411592771</v>
      </c>
      <c r="W19" s="11">
        <v>6.6380728933527591</v>
      </c>
      <c r="X19" s="11">
        <v>5.624240050754759</v>
      </c>
      <c r="Y19" s="11">
        <v>5.542252309964586</v>
      </c>
      <c r="Z19" s="11">
        <v>5.5419956024828609</v>
      </c>
      <c r="AA19" s="11">
        <v>5.5904009755983903</v>
      </c>
      <c r="AB19" s="11">
        <v>5.6290627564795095</v>
      </c>
      <c r="AC19" s="11">
        <v>5.66088191271065</v>
      </c>
      <c r="AD19" s="11">
        <v>5.6867188472526529</v>
      </c>
      <c r="AE19" s="11">
        <v>5.7171951678424913</v>
      </c>
      <c r="AF19" s="11">
        <v>5.7496196103103498</v>
      </c>
      <c r="AG19" s="11">
        <v>5.7844079429728099</v>
      </c>
      <c r="AH19" s="11">
        <v>5.8273751260002866</v>
      </c>
      <c r="AI19" s="11">
        <v>5.8589446105543566</v>
      </c>
      <c r="AJ19" s="11">
        <v>5.8886081803950798</v>
      </c>
      <c r="AK19" s="11">
        <v>5.9196145049051028</v>
      </c>
      <c r="AL19" s="11">
        <v>5.9511053070607982</v>
      </c>
      <c r="AM19" s="11"/>
      <c r="AN19" s="11"/>
      <c r="AO19" s="11"/>
      <c r="AP19" s="11"/>
      <c r="AQ19" s="11"/>
      <c r="AR19" s="11"/>
      <c r="AS19" s="11"/>
      <c r="AT19" s="11"/>
      <c r="AU19" s="11"/>
      <c r="AV19" s="11"/>
      <c r="AW19" s="11"/>
      <c r="AX19" s="11"/>
      <c r="AY19" s="11"/>
      <c r="AZ19" s="11"/>
      <c r="BA19" s="11"/>
      <c r="BB19" s="11"/>
    </row>
    <row r="20" spans="12:64" x14ac:dyDescent="0.2">
      <c r="L20" s="232" t="str">
        <f>'Occ T3'!A22</f>
        <v>35 Business and public service associate professionals</v>
      </c>
      <c r="M20" s="11">
        <v>25.954275655474362</v>
      </c>
      <c r="N20" s="11">
        <v>24.281515859168721</v>
      </c>
      <c r="O20" s="11">
        <v>24.475103570303101</v>
      </c>
      <c r="P20" s="11">
        <v>23.76452359402613</v>
      </c>
      <c r="Q20" s="11">
        <v>26.005503229512659</v>
      </c>
      <c r="R20" s="11">
        <v>25.75319846854515</v>
      </c>
      <c r="S20" s="11">
        <v>25.749004697337845</v>
      </c>
      <c r="T20" s="11">
        <v>27.265947603883578</v>
      </c>
      <c r="U20" s="11">
        <v>26.779697372579083</v>
      </c>
      <c r="V20" s="11">
        <v>27.23539492947214</v>
      </c>
      <c r="W20" s="11">
        <v>29.028822308415432</v>
      </c>
      <c r="X20" s="11">
        <v>28.218389962419803</v>
      </c>
      <c r="Y20" s="11">
        <v>28.357666969723887</v>
      </c>
      <c r="Z20" s="11">
        <v>28.530550064037818</v>
      </c>
      <c r="AA20" s="11">
        <v>28.750830159978712</v>
      </c>
      <c r="AB20" s="11">
        <v>28.911520327967629</v>
      </c>
      <c r="AC20" s="11">
        <v>29.061389605827994</v>
      </c>
      <c r="AD20" s="11">
        <v>29.193499395716891</v>
      </c>
      <c r="AE20" s="11">
        <v>29.315832871275394</v>
      </c>
      <c r="AF20" s="11">
        <v>29.437153637137268</v>
      </c>
      <c r="AG20" s="11">
        <v>29.569182648618543</v>
      </c>
      <c r="AH20" s="11">
        <v>29.704617948772928</v>
      </c>
      <c r="AI20" s="11">
        <v>29.837937882772213</v>
      </c>
      <c r="AJ20" s="11">
        <v>29.981180066331127</v>
      </c>
      <c r="AK20" s="11">
        <v>30.133295460604216</v>
      </c>
      <c r="AL20" s="11">
        <v>30.293882438366261</v>
      </c>
      <c r="AM20" s="11"/>
      <c r="AN20" s="11"/>
      <c r="AO20" s="11"/>
      <c r="AP20" s="11"/>
      <c r="AQ20" s="11"/>
      <c r="AR20" s="11"/>
      <c r="AS20" s="11"/>
      <c r="AT20" s="11"/>
      <c r="AU20" s="11"/>
      <c r="AV20" s="11"/>
      <c r="AW20" s="11"/>
      <c r="AX20" s="11"/>
      <c r="AY20" s="11"/>
      <c r="AZ20" s="11"/>
      <c r="BA20" s="11"/>
      <c r="BB20" s="11"/>
      <c r="BC20" s="11"/>
      <c r="BD20" s="11"/>
      <c r="BE20" s="11"/>
      <c r="BF20" s="11"/>
      <c r="BG20" s="11"/>
      <c r="BH20" s="11"/>
      <c r="BI20" s="11"/>
      <c r="BJ20" s="11"/>
      <c r="BK20" s="11"/>
      <c r="BL20" s="11"/>
    </row>
    <row r="21" spans="12:64" x14ac:dyDescent="0.2">
      <c r="L21" s="232"/>
      <c r="M21" s="11"/>
      <c r="N21" s="11"/>
      <c r="O21" s="11"/>
      <c r="P21" s="11"/>
      <c r="Q21" s="11"/>
      <c r="R21" s="11"/>
      <c r="S21" s="11"/>
      <c r="T21" s="11"/>
      <c r="U21" s="11"/>
      <c r="V21" s="11"/>
      <c r="W21" s="11"/>
      <c r="X21" s="11"/>
      <c r="Y21" s="11"/>
      <c r="Z21" s="11"/>
      <c r="AA21" s="11"/>
      <c r="AB21" s="11"/>
      <c r="AC21" s="11"/>
      <c r="AD21" s="11"/>
      <c r="AE21" s="11"/>
      <c r="AF21" s="11"/>
      <c r="AG21" s="11"/>
      <c r="AH21" s="11"/>
      <c r="AI21" s="11"/>
      <c r="AJ21" s="11"/>
      <c r="AK21" s="11"/>
      <c r="AL21" s="11"/>
      <c r="AM21" s="11"/>
      <c r="AN21" s="11"/>
      <c r="AO21" s="11"/>
      <c r="AP21" s="11"/>
      <c r="AQ21" s="11"/>
      <c r="AR21" s="11"/>
      <c r="AS21" s="11"/>
      <c r="AT21" s="11"/>
      <c r="AU21" s="11"/>
      <c r="AV21" s="11"/>
      <c r="AW21" s="11"/>
      <c r="AX21" s="11"/>
      <c r="AY21" s="11"/>
      <c r="AZ21" s="11"/>
      <c r="BA21" s="11"/>
      <c r="BB21" s="11"/>
      <c r="BC21" s="11"/>
      <c r="BD21" s="11"/>
      <c r="BE21" s="11"/>
      <c r="BF21" s="11"/>
      <c r="BG21" s="11"/>
      <c r="BH21" s="11"/>
      <c r="BI21" s="11"/>
      <c r="BJ21" s="11"/>
      <c r="BK21" s="11"/>
      <c r="BL21" s="11"/>
    </row>
    <row r="22" spans="12:64" x14ac:dyDescent="0.2">
      <c r="L22" s="17" t="str">
        <f>'Occ T3'!A24</f>
        <v>Administrative and secretarial occupations</v>
      </c>
      <c r="M22" s="87">
        <f t="shared" ref="M22" si="6">SUM(M23:M24)</f>
        <v>51.218498920937989</v>
      </c>
      <c r="N22" s="87">
        <f>SUM(N23:N24)</f>
        <v>51.635687955328237</v>
      </c>
      <c r="O22" s="87">
        <f t="shared" ref="O22:AL22" si="7">SUM(O23:O24)</f>
        <v>50.225154721859809</v>
      </c>
      <c r="P22" s="87">
        <f t="shared" si="7"/>
        <v>49.577419281414485</v>
      </c>
      <c r="Q22" s="87">
        <f t="shared" si="7"/>
        <v>51.208906797470547</v>
      </c>
      <c r="R22" s="87">
        <f t="shared" si="7"/>
        <v>51.366410445082977</v>
      </c>
      <c r="S22" s="87">
        <f t="shared" si="7"/>
        <v>49.262439541219642</v>
      </c>
      <c r="T22" s="87">
        <f t="shared" si="7"/>
        <v>52.605367126435269</v>
      </c>
      <c r="U22" s="87">
        <f t="shared" si="7"/>
        <v>51.337254749297784</v>
      </c>
      <c r="V22" s="87">
        <f t="shared" si="7"/>
        <v>49.545930358588819</v>
      </c>
      <c r="W22" s="87">
        <f t="shared" si="7"/>
        <v>51.152140412056283</v>
      </c>
      <c r="X22" s="87">
        <f t="shared" si="7"/>
        <v>51.660416751204295</v>
      </c>
      <c r="Y22" s="87">
        <f t="shared" si="7"/>
        <v>51.413493764883746</v>
      </c>
      <c r="Z22" s="87">
        <f t="shared" si="7"/>
        <v>51.243629225070528</v>
      </c>
      <c r="AA22" s="87">
        <f t="shared" si="7"/>
        <v>51.21024654691535</v>
      </c>
      <c r="AB22" s="87">
        <f t="shared" si="7"/>
        <v>51.029967874902667</v>
      </c>
      <c r="AC22" s="87">
        <f t="shared" si="7"/>
        <v>50.823148441102191</v>
      </c>
      <c r="AD22" s="87">
        <f t="shared" si="7"/>
        <v>50.600216172829512</v>
      </c>
      <c r="AE22" s="87">
        <f t="shared" si="7"/>
        <v>50.367199889048131</v>
      </c>
      <c r="AF22" s="87">
        <f t="shared" si="7"/>
        <v>50.096151249343187</v>
      </c>
      <c r="AG22" s="87">
        <f t="shared" si="7"/>
        <v>49.781952254377678</v>
      </c>
      <c r="AH22" s="87">
        <f t="shared" si="7"/>
        <v>49.417101050615145</v>
      </c>
      <c r="AI22" s="87">
        <f t="shared" si="7"/>
        <v>49.145239761244071</v>
      </c>
      <c r="AJ22" s="87">
        <f t="shared" si="7"/>
        <v>48.852928316658918</v>
      </c>
      <c r="AK22" s="87">
        <f t="shared" si="7"/>
        <v>48.539552124208157</v>
      </c>
      <c r="AL22" s="87">
        <f t="shared" si="7"/>
        <v>48.17662628932424</v>
      </c>
      <c r="AM22" s="11"/>
      <c r="AN22" s="11"/>
      <c r="AO22" s="11"/>
      <c r="AP22" s="11"/>
      <c r="AQ22" s="11"/>
      <c r="AR22" s="11"/>
      <c r="AS22" s="11"/>
      <c r="AT22" s="11"/>
      <c r="AU22" s="11"/>
      <c r="AV22" s="11"/>
      <c r="AW22" s="11"/>
      <c r="AX22" s="11"/>
      <c r="AY22" s="11"/>
      <c r="AZ22" s="11"/>
      <c r="BA22" s="11"/>
      <c r="BB22" s="11"/>
      <c r="BC22" s="11"/>
      <c r="BD22" s="11"/>
      <c r="BE22" s="11"/>
      <c r="BF22" s="11"/>
      <c r="BG22" s="11"/>
      <c r="BH22" s="11"/>
      <c r="BI22" s="11"/>
      <c r="BJ22" s="11"/>
      <c r="BK22" s="11"/>
      <c r="BL22" s="11"/>
    </row>
    <row r="23" spans="12:64" x14ac:dyDescent="0.2">
      <c r="L23" s="232" t="str">
        <f>'Occ T3'!A25</f>
        <v>41 Administrative occupations</v>
      </c>
      <c r="M23" s="11">
        <v>39.719436543854243</v>
      </c>
      <c r="N23" s="11">
        <v>40.775334447837956</v>
      </c>
      <c r="O23" s="11">
        <v>39.90479792280329</v>
      </c>
      <c r="P23" s="11">
        <v>38.730500806746576</v>
      </c>
      <c r="Q23" s="11">
        <v>40.471415936775841</v>
      </c>
      <c r="R23" s="11">
        <v>41.363649282321632</v>
      </c>
      <c r="S23" s="11">
        <v>39.778933448069438</v>
      </c>
      <c r="T23" s="11">
        <v>42.419182863801211</v>
      </c>
      <c r="U23" s="11">
        <v>41.118529742029708</v>
      </c>
      <c r="V23" s="11">
        <v>40.242010662428157</v>
      </c>
      <c r="W23" s="11">
        <v>42.015488739913941</v>
      </c>
      <c r="X23" s="11">
        <v>42.675563047955649</v>
      </c>
      <c r="Y23" s="11">
        <v>42.579719563606673</v>
      </c>
      <c r="Z23" s="11">
        <v>42.548624833721107</v>
      </c>
      <c r="AA23" s="11">
        <v>42.615427484132169</v>
      </c>
      <c r="AB23" s="11">
        <v>42.577492293785532</v>
      </c>
      <c r="AC23" s="11">
        <v>42.534678354968598</v>
      </c>
      <c r="AD23" s="11">
        <v>42.47547967859051</v>
      </c>
      <c r="AE23" s="11">
        <v>42.380132606161453</v>
      </c>
      <c r="AF23" s="11">
        <v>42.287833005842984</v>
      </c>
      <c r="AG23" s="11">
        <v>42.220749530877946</v>
      </c>
      <c r="AH23" s="11">
        <v>42.1542867634953</v>
      </c>
      <c r="AI23" s="11">
        <v>42.080038121558736</v>
      </c>
      <c r="AJ23" s="11">
        <v>42.004120027381703</v>
      </c>
      <c r="AK23" s="11">
        <v>41.911205631043877</v>
      </c>
      <c r="AL23" s="11">
        <v>41.789015266300716</v>
      </c>
      <c r="AM23" s="11"/>
      <c r="AN23" s="11"/>
      <c r="AO23" s="11"/>
      <c r="AP23" s="11"/>
      <c r="AQ23" s="11"/>
      <c r="AR23" s="11"/>
      <c r="AS23" s="11"/>
      <c r="AT23" s="11"/>
      <c r="AU23" s="11"/>
      <c r="AV23" s="11"/>
      <c r="AW23" s="11"/>
      <c r="AX23" s="11"/>
      <c r="AY23" s="11"/>
      <c r="AZ23" s="11"/>
      <c r="BA23" s="11"/>
      <c r="BB23" s="11"/>
      <c r="BC23" s="11"/>
      <c r="BD23" s="11"/>
      <c r="BE23" s="11"/>
      <c r="BF23" s="11"/>
      <c r="BG23" s="11"/>
      <c r="BH23" s="11"/>
      <c r="BI23" s="11"/>
      <c r="BJ23" s="11"/>
      <c r="BK23" s="11"/>
      <c r="BL23" s="11"/>
    </row>
    <row r="24" spans="12:64" x14ac:dyDescent="0.2">
      <c r="L24" s="232" t="str">
        <f>'Occ T3'!A26</f>
        <v>42 Secretarial and related occupations</v>
      </c>
      <c r="M24" s="11">
        <v>11.499062377083744</v>
      </c>
      <c r="N24" s="11">
        <v>10.860353507490281</v>
      </c>
      <c r="O24" s="11">
        <v>10.320356799056519</v>
      </c>
      <c r="P24" s="11">
        <v>10.846918474667911</v>
      </c>
      <c r="Q24" s="11">
        <v>10.737490860694706</v>
      </c>
      <c r="R24" s="11">
        <v>10.002761162761342</v>
      </c>
      <c r="S24" s="11">
        <v>9.4835060931502024</v>
      </c>
      <c r="T24" s="11">
        <v>10.186184262634056</v>
      </c>
      <c r="U24" s="11">
        <v>10.218725007268075</v>
      </c>
      <c r="V24" s="11">
        <v>9.3039196961606603</v>
      </c>
      <c r="W24" s="11">
        <v>9.1366516721423405</v>
      </c>
      <c r="X24" s="11">
        <v>8.9848537032486497</v>
      </c>
      <c r="Y24" s="11">
        <v>8.8337742012770715</v>
      </c>
      <c r="Z24" s="11">
        <v>8.6950043913494195</v>
      </c>
      <c r="AA24" s="11">
        <v>8.5948190627831824</v>
      </c>
      <c r="AB24" s="11">
        <v>8.452475581117131</v>
      </c>
      <c r="AC24" s="11">
        <v>8.2884700861335929</v>
      </c>
      <c r="AD24" s="11">
        <v>8.1247364942390039</v>
      </c>
      <c r="AE24" s="11">
        <v>7.9870672828866764</v>
      </c>
      <c r="AF24" s="11">
        <v>7.8083182435002021</v>
      </c>
      <c r="AG24" s="11">
        <v>7.5612027234997301</v>
      </c>
      <c r="AH24" s="11">
        <v>7.2628142871198431</v>
      </c>
      <c r="AI24" s="11">
        <v>7.0652016396853368</v>
      </c>
      <c r="AJ24" s="11">
        <v>6.8488082892772146</v>
      </c>
      <c r="AK24" s="11">
        <v>6.6283464931642762</v>
      </c>
      <c r="AL24" s="11">
        <v>6.3876110230235232</v>
      </c>
      <c r="AM24" s="11"/>
      <c r="AN24" s="11"/>
      <c r="AO24" s="11"/>
      <c r="AP24" s="11"/>
      <c r="AQ24" s="11"/>
      <c r="AR24" s="11"/>
      <c r="AS24" s="11"/>
      <c r="AT24" s="11"/>
      <c r="AU24" s="11"/>
      <c r="AV24" s="11"/>
      <c r="AW24" s="11"/>
      <c r="AX24" s="11"/>
      <c r="AY24" s="11"/>
      <c r="AZ24" s="11"/>
      <c r="BA24" s="11"/>
      <c r="BB24" s="11"/>
    </row>
    <row r="25" spans="12:64" x14ac:dyDescent="0.2">
      <c r="L25" s="232"/>
      <c r="M25" s="11"/>
      <c r="N25" s="11"/>
      <c r="O25" s="11"/>
      <c r="P25" s="11"/>
      <c r="Q25" s="11"/>
      <c r="R25" s="11"/>
      <c r="S25" s="11"/>
      <c r="T25" s="11"/>
      <c r="U25" s="11"/>
      <c r="V25" s="11"/>
      <c r="W25" s="11"/>
      <c r="X25" s="11"/>
      <c r="Y25" s="11"/>
      <c r="Z25" s="11"/>
      <c r="AA25" s="11"/>
      <c r="AB25" s="11"/>
      <c r="AC25" s="11"/>
      <c r="AD25" s="11"/>
      <c r="AE25" s="11"/>
      <c r="AF25" s="11"/>
      <c r="AG25" s="11"/>
      <c r="AH25" s="11"/>
      <c r="AI25" s="11"/>
      <c r="AJ25" s="11"/>
      <c r="AK25" s="11"/>
      <c r="AL25" s="11"/>
      <c r="AM25" s="11"/>
      <c r="AN25" s="11"/>
      <c r="AO25" s="11"/>
      <c r="AP25" s="11"/>
      <c r="AQ25" s="11"/>
      <c r="AR25" s="11"/>
      <c r="AS25" s="11"/>
      <c r="AT25" s="11"/>
      <c r="AU25" s="11"/>
      <c r="AV25" s="11"/>
      <c r="AW25" s="11"/>
      <c r="AX25" s="11"/>
      <c r="AY25" s="11"/>
      <c r="AZ25" s="11"/>
      <c r="BA25" s="11"/>
      <c r="BB25" s="11"/>
      <c r="BC25" s="11"/>
      <c r="BD25" s="11"/>
      <c r="BE25" s="11"/>
      <c r="BF25" s="11"/>
      <c r="BG25" s="11"/>
      <c r="BH25" s="11"/>
      <c r="BI25" s="11"/>
      <c r="BJ25" s="11"/>
      <c r="BK25" s="11"/>
      <c r="BL25" s="11"/>
    </row>
    <row r="26" spans="12:64" x14ac:dyDescent="0.2">
      <c r="L26" s="17" t="str">
        <f>'Occ T3'!A28</f>
        <v>Skilled trades occupations</v>
      </c>
      <c r="M26" s="87">
        <f t="shared" ref="M26" si="8">SUM(M27:M30)</f>
        <v>53.897943912564713</v>
      </c>
      <c r="N26" s="87">
        <f>SUM(N27:N30)</f>
        <v>58.029539705035816</v>
      </c>
      <c r="O26" s="87">
        <f t="shared" ref="O26:AL26" si="9">SUM(O27:O30)</f>
        <v>56.965802434873133</v>
      </c>
      <c r="P26" s="87">
        <f t="shared" si="9"/>
        <v>52.034151261459371</v>
      </c>
      <c r="Q26" s="87">
        <f t="shared" si="9"/>
        <v>55.193800848226282</v>
      </c>
      <c r="R26" s="87">
        <f>SUM(R27:R30)</f>
        <v>55.572068003104462</v>
      </c>
      <c r="S26" s="87">
        <f t="shared" si="9"/>
        <v>56.082879858656923</v>
      </c>
      <c r="T26" s="87">
        <f t="shared" si="9"/>
        <v>58.342220612938227</v>
      </c>
      <c r="U26" s="87">
        <f t="shared" si="9"/>
        <v>54.578467467847631</v>
      </c>
      <c r="V26" s="87">
        <f t="shared" si="9"/>
        <v>52.237315937644496</v>
      </c>
      <c r="W26" s="87">
        <f t="shared" si="9"/>
        <v>48.532940947383196</v>
      </c>
      <c r="X26" s="87">
        <f t="shared" si="9"/>
        <v>48.405473566994225</v>
      </c>
      <c r="Y26" s="87">
        <f t="shared" si="9"/>
        <v>47.924993709002635</v>
      </c>
      <c r="Z26" s="87">
        <f t="shared" si="9"/>
        <v>47.461476781117881</v>
      </c>
      <c r="AA26" s="87">
        <f t="shared" si="9"/>
        <v>47.126477977490296</v>
      </c>
      <c r="AB26" s="87">
        <f t="shared" si="9"/>
        <v>46.790098801743497</v>
      </c>
      <c r="AC26" s="87">
        <f t="shared" si="9"/>
        <v>46.436497568797847</v>
      </c>
      <c r="AD26" s="87">
        <f t="shared" si="9"/>
        <v>46.027146322058009</v>
      </c>
      <c r="AE26" s="87">
        <f t="shared" si="9"/>
        <v>45.642480151899598</v>
      </c>
      <c r="AF26" s="87">
        <f t="shared" si="9"/>
        <v>45.269122489002285</v>
      </c>
      <c r="AG26" s="87">
        <f t="shared" si="9"/>
        <v>44.91947117043609</v>
      </c>
      <c r="AH26" s="87">
        <f t="shared" si="9"/>
        <v>44.578520101648358</v>
      </c>
      <c r="AI26" s="87">
        <f t="shared" si="9"/>
        <v>44.239065246402895</v>
      </c>
      <c r="AJ26" s="87">
        <f t="shared" si="9"/>
        <v>43.912335024353816</v>
      </c>
      <c r="AK26" s="87">
        <f t="shared" si="9"/>
        <v>43.573005328416812</v>
      </c>
      <c r="AL26" s="87">
        <f t="shared" si="9"/>
        <v>43.234890421391583</v>
      </c>
      <c r="AM26" s="11"/>
      <c r="AN26" s="11"/>
      <c r="AO26" s="11"/>
      <c r="AP26" s="11"/>
      <c r="AQ26" s="11"/>
      <c r="AR26" s="11"/>
      <c r="AS26" s="11"/>
      <c r="AT26" s="11"/>
      <c r="AU26" s="11"/>
      <c r="AV26" s="11"/>
      <c r="AW26" s="11"/>
      <c r="AX26" s="11"/>
      <c r="AY26" s="11"/>
      <c r="AZ26" s="11"/>
      <c r="BA26" s="11"/>
      <c r="BB26" s="11"/>
      <c r="BC26" s="11"/>
      <c r="BD26" s="11"/>
      <c r="BE26" s="11"/>
      <c r="BF26" s="11"/>
      <c r="BG26" s="11"/>
      <c r="BH26" s="11"/>
      <c r="BI26" s="11"/>
      <c r="BJ26" s="11"/>
      <c r="BK26" s="11"/>
      <c r="BL26" s="11"/>
    </row>
    <row r="27" spans="12:64" x14ac:dyDescent="0.2">
      <c r="L27" s="232" t="str">
        <f>'Occ T3'!A29</f>
        <v>51 Skilled agricultural and related trades</v>
      </c>
      <c r="M27" s="11">
        <v>8.3044106928676023</v>
      </c>
      <c r="N27" s="11">
        <v>11.239013645105103</v>
      </c>
      <c r="O27" s="11">
        <v>11.206329954202008</v>
      </c>
      <c r="P27" s="11">
        <v>9.2938648458100879</v>
      </c>
      <c r="Q27" s="11">
        <v>8.064423463956329</v>
      </c>
      <c r="R27" s="11">
        <v>8.9526980313788851</v>
      </c>
      <c r="S27" s="11">
        <v>9.7353991269067972</v>
      </c>
      <c r="T27" s="11">
        <v>10.552601243394236</v>
      </c>
      <c r="U27" s="11">
        <v>9.2652940192855393</v>
      </c>
      <c r="V27" s="11">
        <v>8.610293929416617</v>
      </c>
      <c r="W27" s="11">
        <v>10.053463363622607</v>
      </c>
      <c r="X27" s="11">
        <v>9.4312796106522168</v>
      </c>
      <c r="Y27" s="11">
        <v>9.3865015369413101</v>
      </c>
      <c r="Z27" s="11">
        <v>9.3619704177350815</v>
      </c>
      <c r="AA27" s="11">
        <v>9.3479027693064456</v>
      </c>
      <c r="AB27" s="11">
        <v>9.3251742602478878</v>
      </c>
      <c r="AC27" s="11">
        <v>9.2941755786827542</v>
      </c>
      <c r="AD27" s="11">
        <v>9.2478887518657995</v>
      </c>
      <c r="AE27" s="11">
        <v>9.2288132244113097</v>
      </c>
      <c r="AF27" s="11">
        <v>9.2264515798229692</v>
      </c>
      <c r="AG27" s="11">
        <v>9.227350687657319</v>
      </c>
      <c r="AH27" s="11">
        <v>9.2282032335097259</v>
      </c>
      <c r="AI27" s="11">
        <v>9.228232423833278</v>
      </c>
      <c r="AJ27" s="11">
        <v>9.2358920288454911</v>
      </c>
      <c r="AK27" s="11">
        <v>9.2426659440507617</v>
      </c>
      <c r="AL27" s="11">
        <v>9.2499649150386745</v>
      </c>
      <c r="AM27" s="11"/>
      <c r="AN27" s="11"/>
      <c r="AO27" s="11"/>
      <c r="AP27" s="11"/>
      <c r="AQ27" s="11"/>
      <c r="AR27" s="11"/>
      <c r="AS27" s="11"/>
      <c r="AT27" s="11"/>
      <c r="AU27" s="11"/>
      <c r="AV27" s="11"/>
      <c r="AW27" s="11"/>
      <c r="AX27" s="11"/>
      <c r="AY27" s="11"/>
      <c r="AZ27" s="11"/>
      <c r="BA27" s="11"/>
      <c r="BB27" s="11"/>
      <c r="BC27" s="11"/>
      <c r="BD27" s="11"/>
      <c r="BE27" s="11"/>
      <c r="BF27" s="11"/>
      <c r="BG27" s="11"/>
      <c r="BH27" s="11"/>
      <c r="BI27" s="11"/>
      <c r="BJ27" s="11"/>
      <c r="BK27" s="11"/>
      <c r="BL27" s="11"/>
    </row>
    <row r="28" spans="12:64" x14ac:dyDescent="0.2">
      <c r="L28" s="232" t="str">
        <f>'Occ T3'!A30</f>
        <v>52 Skilled metal, electrical and electronic trades</v>
      </c>
      <c r="M28" s="11">
        <v>20.065425593148056</v>
      </c>
      <c r="N28" s="11">
        <v>20.84262936150779</v>
      </c>
      <c r="O28" s="11">
        <v>20.099650045326396</v>
      </c>
      <c r="P28" s="11">
        <v>18.852042687549449</v>
      </c>
      <c r="Q28" s="11">
        <v>21.669018989207544</v>
      </c>
      <c r="R28" s="11">
        <v>21.170991389265154</v>
      </c>
      <c r="S28" s="11">
        <v>20.701769773925278</v>
      </c>
      <c r="T28" s="11">
        <v>21.473844989777568</v>
      </c>
      <c r="U28" s="11">
        <v>20.352959540926467</v>
      </c>
      <c r="V28" s="11">
        <v>20.612383160737192</v>
      </c>
      <c r="W28" s="11">
        <v>18.255539317999588</v>
      </c>
      <c r="X28" s="11">
        <v>18.226868090357332</v>
      </c>
      <c r="Y28" s="11">
        <v>18.074280576562199</v>
      </c>
      <c r="Z28" s="11">
        <v>17.904849439540037</v>
      </c>
      <c r="AA28" s="11">
        <v>17.788506089151962</v>
      </c>
      <c r="AB28" s="11">
        <v>17.667412211289474</v>
      </c>
      <c r="AC28" s="11">
        <v>17.541300769883343</v>
      </c>
      <c r="AD28" s="11">
        <v>17.407576461983233</v>
      </c>
      <c r="AE28" s="11">
        <v>17.277950442716371</v>
      </c>
      <c r="AF28" s="11">
        <v>17.148288840962621</v>
      </c>
      <c r="AG28" s="11">
        <v>17.024414337712798</v>
      </c>
      <c r="AH28" s="11">
        <v>16.896211143685701</v>
      </c>
      <c r="AI28" s="11">
        <v>16.766866593243176</v>
      </c>
      <c r="AJ28" s="11">
        <v>16.640423110721137</v>
      </c>
      <c r="AK28" s="11">
        <v>16.511961022987453</v>
      </c>
      <c r="AL28" s="11">
        <v>16.386563901960127</v>
      </c>
      <c r="AM28" s="11"/>
      <c r="AN28" s="11"/>
      <c r="AO28" s="11"/>
      <c r="AP28" s="11"/>
      <c r="AQ28" s="11"/>
      <c r="AR28" s="11"/>
      <c r="AS28" s="11"/>
      <c r="AT28" s="11"/>
      <c r="AU28" s="11"/>
      <c r="AV28" s="11"/>
      <c r="AW28" s="11"/>
      <c r="AX28" s="11"/>
      <c r="AY28" s="11"/>
      <c r="AZ28" s="11"/>
      <c r="BA28" s="11"/>
      <c r="BB28" s="11"/>
      <c r="BC28" s="11"/>
      <c r="BD28" s="11"/>
      <c r="BE28" s="11"/>
      <c r="BF28" s="11"/>
      <c r="BG28" s="11"/>
      <c r="BH28" s="11"/>
      <c r="BI28" s="11"/>
      <c r="BJ28" s="11"/>
      <c r="BK28" s="11"/>
      <c r="BL28" s="11"/>
    </row>
    <row r="29" spans="12:64" x14ac:dyDescent="0.2">
      <c r="L29" s="232" t="str">
        <f>'Occ T3'!A31</f>
        <v>53 Skilled construction and building trades</v>
      </c>
      <c r="M29" s="11">
        <v>15.612698009700015</v>
      </c>
      <c r="N29" s="11">
        <v>15.712486818972666</v>
      </c>
      <c r="O29" s="11">
        <v>15.514959165937693</v>
      </c>
      <c r="P29" s="11">
        <v>13.737203086520738</v>
      </c>
      <c r="Q29" s="11">
        <v>15.361042833002506</v>
      </c>
      <c r="R29" s="11">
        <v>14.47344054106075</v>
      </c>
      <c r="S29" s="11">
        <v>14.823978808058117</v>
      </c>
      <c r="T29" s="11">
        <v>15.395861442781543</v>
      </c>
      <c r="U29" s="11">
        <v>14.653702785786555</v>
      </c>
      <c r="V29" s="11">
        <v>13.659114038381423</v>
      </c>
      <c r="W29" s="11">
        <v>11.165279435266021</v>
      </c>
      <c r="X29" s="11">
        <v>11.445187226597628</v>
      </c>
      <c r="Y29" s="11">
        <v>11.233714265748119</v>
      </c>
      <c r="Z29" s="11">
        <v>11.033465516067542</v>
      </c>
      <c r="AA29" s="11">
        <v>10.874717530402432</v>
      </c>
      <c r="AB29" s="11">
        <v>10.730291669143234</v>
      </c>
      <c r="AC29" s="11">
        <v>10.584331714042538</v>
      </c>
      <c r="AD29" s="11">
        <v>10.429767559361679</v>
      </c>
      <c r="AE29" s="11">
        <v>10.273184404242881</v>
      </c>
      <c r="AF29" s="11">
        <v>10.114758797411389</v>
      </c>
      <c r="AG29" s="11">
        <v>9.9578332452795486</v>
      </c>
      <c r="AH29" s="11">
        <v>9.8045424307636324</v>
      </c>
      <c r="AI29" s="11">
        <v>9.6552740301844509</v>
      </c>
      <c r="AJ29" s="11">
        <v>9.5071162141443235</v>
      </c>
      <c r="AK29" s="11">
        <v>9.3585454417822636</v>
      </c>
      <c r="AL29" s="11">
        <v>9.210750202713653</v>
      </c>
      <c r="AM29" s="11"/>
      <c r="AN29" s="11"/>
      <c r="AO29" s="11"/>
      <c r="AP29" s="11"/>
      <c r="AQ29" s="11"/>
      <c r="AR29" s="11"/>
      <c r="AS29" s="11"/>
      <c r="AT29" s="11"/>
      <c r="AU29" s="11"/>
      <c r="AV29" s="11"/>
      <c r="AW29" s="11"/>
      <c r="AX29" s="11"/>
      <c r="AY29" s="11"/>
      <c r="AZ29" s="11"/>
      <c r="BA29" s="11"/>
      <c r="BB29" s="11"/>
      <c r="BC29" s="11"/>
      <c r="BD29" s="11"/>
      <c r="BE29" s="11"/>
      <c r="BF29" s="11"/>
      <c r="BG29" s="11"/>
      <c r="BH29" s="11"/>
      <c r="BI29" s="11"/>
      <c r="BJ29" s="11"/>
      <c r="BK29" s="11"/>
      <c r="BL29" s="11"/>
    </row>
    <row r="30" spans="12:64" x14ac:dyDescent="0.2">
      <c r="L30" s="232" t="str">
        <f>'Occ T3'!A32</f>
        <v>54 Textiles, printing and other skilled trades</v>
      </c>
      <c r="M30" s="11">
        <v>9.9154096168490398</v>
      </c>
      <c r="N30" s="11">
        <v>10.235409879450255</v>
      </c>
      <c r="O30" s="11">
        <v>10.144863269407033</v>
      </c>
      <c r="P30" s="11">
        <v>10.151040641579096</v>
      </c>
      <c r="Q30" s="11">
        <v>10.0993155620599</v>
      </c>
      <c r="R30" s="11">
        <v>10.974938041399668</v>
      </c>
      <c r="S30" s="11">
        <v>10.821732149766735</v>
      </c>
      <c r="T30" s="11">
        <v>10.919912936984879</v>
      </c>
      <c r="U30" s="11">
        <v>10.306511121849068</v>
      </c>
      <c r="V30" s="11">
        <v>9.3555248091092658</v>
      </c>
      <c r="W30" s="11">
        <v>9.0586588304949736</v>
      </c>
      <c r="X30" s="11">
        <v>9.3021386393870475</v>
      </c>
      <c r="Y30" s="11">
        <v>9.2304973297509996</v>
      </c>
      <c r="Z30" s="11">
        <v>9.1611914077752186</v>
      </c>
      <c r="AA30" s="11">
        <v>9.1153515886294496</v>
      </c>
      <c r="AB30" s="11">
        <v>9.0672206610629029</v>
      </c>
      <c r="AC30" s="11">
        <v>9.0166895061892074</v>
      </c>
      <c r="AD30" s="11">
        <v>8.9419135488472961</v>
      </c>
      <c r="AE30" s="11">
        <v>8.8625320805290375</v>
      </c>
      <c r="AF30" s="11">
        <v>8.779623270805299</v>
      </c>
      <c r="AG30" s="11">
        <v>8.7098728997864256</v>
      </c>
      <c r="AH30" s="11">
        <v>8.6495632936892992</v>
      </c>
      <c r="AI30" s="11">
        <v>8.5886921991419882</v>
      </c>
      <c r="AJ30" s="11">
        <v>8.5289036706428636</v>
      </c>
      <c r="AK30" s="11">
        <v>8.4598329195963409</v>
      </c>
      <c r="AL30" s="11">
        <v>8.3876114016791306</v>
      </c>
      <c r="AM30" s="11"/>
      <c r="AN30" s="11"/>
      <c r="AO30" s="11"/>
      <c r="AP30" s="11"/>
      <c r="AQ30" s="11"/>
      <c r="AR30" s="11"/>
      <c r="AS30" s="11"/>
      <c r="AT30" s="11"/>
      <c r="AU30" s="11"/>
      <c r="AV30" s="11"/>
      <c r="AW30" s="11"/>
      <c r="AX30" s="11"/>
      <c r="AY30" s="11"/>
      <c r="AZ30" s="11"/>
      <c r="BA30" s="11"/>
      <c r="BB30" s="11"/>
    </row>
    <row r="31" spans="12:64" x14ac:dyDescent="0.2">
      <c r="L31" s="232"/>
      <c r="M31" s="11"/>
      <c r="N31" s="11"/>
      <c r="O31" s="11"/>
      <c r="P31" s="11"/>
      <c r="Q31" s="11"/>
      <c r="R31" s="11"/>
      <c r="S31" s="11"/>
      <c r="T31" s="11"/>
      <c r="U31" s="11"/>
      <c r="V31" s="11"/>
      <c r="W31" s="11"/>
      <c r="X31" s="11"/>
      <c r="Y31" s="11"/>
      <c r="Z31" s="11"/>
      <c r="AA31" s="11"/>
      <c r="AB31" s="11"/>
      <c r="AC31" s="11"/>
      <c r="AD31" s="11"/>
      <c r="AE31" s="11"/>
      <c r="AF31" s="11"/>
      <c r="AG31" s="11"/>
      <c r="AH31" s="11"/>
      <c r="AI31" s="11"/>
      <c r="AJ31" s="11"/>
      <c r="AK31" s="11"/>
      <c r="AL31" s="11"/>
      <c r="AM31" s="11"/>
      <c r="AN31" s="11"/>
      <c r="AO31" s="11"/>
      <c r="AP31" s="11"/>
      <c r="AQ31" s="11"/>
      <c r="AR31" s="11"/>
      <c r="AS31" s="11"/>
      <c r="AT31" s="11"/>
      <c r="AU31" s="11"/>
      <c r="AV31" s="11"/>
      <c r="AW31" s="11"/>
      <c r="AX31" s="11"/>
      <c r="AY31" s="11"/>
      <c r="AZ31" s="11"/>
      <c r="BA31" s="11"/>
      <c r="BB31" s="11"/>
    </row>
    <row r="32" spans="12:64" x14ac:dyDescent="0.2">
      <c r="L32" s="17" t="str">
        <f>'Occ T3'!A34</f>
        <v>Caring, leisure and other service occupations</v>
      </c>
      <c r="M32" s="87">
        <f t="shared" ref="M32:AD32" si="10">SUM(M33:M35)</f>
        <v>55.011177640816484</v>
      </c>
      <c r="N32" s="87">
        <f t="shared" si="10"/>
        <v>53.964012978056317</v>
      </c>
      <c r="O32" s="87">
        <f t="shared" si="10"/>
        <v>52.667367867235569</v>
      </c>
      <c r="P32" s="87">
        <f t="shared" si="10"/>
        <v>53.345916618186706</v>
      </c>
      <c r="Q32" s="87">
        <f t="shared" si="10"/>
        <v>55.991515247018732</v>
      </c>
      <c r="R32" s="87">
        <f t="shared" si="10"/>
        <v>55.221174806923877</v>
      </c>
      <c r="S32" s="87">
        <f t="shared" si="10"/>
        <v>58.010778079674381</v>
      </c>
      <c r="T32" s="87">
        <f t="shared" si="10"/>
        <v>58.335270108607126</v>
      </c>
      <c r="U32" s="87">
        <f t="shared" si="10"/>
        <v>56.709168527938424</v>
      </c>
      <c r="V32" s="87">
        <f t="shared" si="10"/>
        <v>58.548155106719392</v>
      </c>
      <c r="W32" s="87">
        <f t="shared" si="10"/>
        <v>56.846498020688699</v>
      </c>
      <c r="X32" s="87">
        <f t="shared" si="10"/>
        <v>55.714917626033206</v>
      </c>
      <c r="Y32" s="87">
        <f t="shared" si="10"/>
        <v>55.924431268286078</v>
      </c>
      <c r="Z32" s="87">
        <f t="shared" si="10"/>
        <v>56.335118701764145</v>
      </c>
      <c r="AA32" s="87">
        <f t="shared" si="10"/>
        <v>56.815823383775189</v>
      </c>
      <c r="AB32" s="87">
        <f t="shared" si="10"/>
        <v>57.23757849986368</v>
      </c>
      <c r="AC32" s="87">
        <f t="shared" si="10"/>
        <v>57.582542842867646</v>
      </c>
      <c r="AD32" s="87">
        <f t="shared" si="10"/>
        <v>57.898831745934956</v>
      </c>
      <c r="AE32" s="87">
        <f t="shared" ref="AE32" si="11">SUM(AE33:AE35)</f>
        <v>58.189615223409824</v>
      </c>
      <c r="AF32" s="87">
        <f t="shared" ref="AF32" si="12">SUM(AF33:AF35)</f>
        <v>58.487445257606254</v>
      </c>
      <c r="AG32" s="87">
        <f t="shared" ref="AG32" si="13">SUM(AG33:AG35)</f>
        <v>58.792663401180313</v>
      </c>
      <c r="AH32" s="87">
        <f t="shared" ref="AH32" si="14">SUM(AH33:AH35)</f>
        <v>59.110899549002681</v>
      </c>
      <c r="AI32" s="87">
        <f t="shared" ref="AI32" si="15">SUM(AI33:AI35)</f>
        <v>59.43463994558833</v>
      </c>
      <c r="AJ32" s="87">
        <f t="shared" ref="AJ32" si="16">SUM(AJ33:AJ35)</f>
        <v>59.762160881132758</v>
      </c>
      <c r="AK32" s="87">
        <f t="shared" ref="AK32" si="17">SUM(AK33:AK35)</f>
        <v>60.09130258972997</v>
      </c>
      <c r="AL32" s="87">
        <f t="shared" ref="AL32" si="18">SUM(AL33:AL35)</f>
        <v>60.427646216979987</v>
      </c>
      <c r="AM32" s="11"/>
      <c r="AN32" s="11"/>
      <c r="AO32" s="11"/>
      <c r="AP32" s="11"/>
      <c r="AQ32" s="11"/>
      <c r="AR32" s="11"/>
      <c r="AS32" s="11"/>
      <c r="AT32" s="11"/>
      <c r="AU32" s="11"/>
      <c r="AV32" s="11"/>
      <c r="AW32" s="11"/>
      <c r="AX32" s="11"/>
      <c r="AY32" s="11"/>
      <c r="AZ32" s="11"/>
      <c r="BA32" s="11"/>
      <c r="BB32" s="11"/>
    </row>
    <row r="33" spans="12:64" x14ac:dyDescent="0.2">
      <c r="L33" s="232" t="str">
        <f>'Occ T3'!A35</f>
        <v>61 Caring personal service occupations</v>
      </c>
      <c r="M33" s="11">
        <v>43.200516472834714</v>
      </c>
      <c r="N33" s="11">
        <v>41.180823580991607</v>
      </c>
      <c r="O33" s="11">
        <v>40.745072870915692</v>
      </c>
      <c r="P33" s="11">
        <v>40.49364388432415</v>
      </c>
      <c r="Q33" s="11">
        <v>43.280938760271837</v>
      </c>
      <c r="R33" s="11">
        <v>44.06827943212275</v>
      </c>
      <c r="S33" s="11">
        <v>44.32558974046264</v>
      </c>
      <c r="T33" s="11">
        <v>45.66815094005171</v>
      </c>
      <c r="U33" s="11">
        <v>44.535520091137514</v>
      </c>
      <c r="V33" s="11">
        <v>44.697965228436082</v>
      </c>
      <c r="W33" s="11">
        <v>43.296978489565802</v>
      </c>
      <c r="X33" s="11">
        <v>43.345809871754575</v>
      </c>
      <c r="Y33" s="11">
        <v>43.651530670435861</v>
      </c>
      <c r="Z33" s="11">
        <v>44.045029317979534</v>
      </c>
      <c r="AA33" s="11">
        <v>44.465924689743765</v>
      </c>
      <c r="AB33" s="11">
        <v>44.846827713113818</v>
      </c>
      <c r="AC33" s="11">
        <v>45.16444662673684</v>
      </c>
      <c r="AD33" s="11">
        <v>45.45873055682376</v>
      </c>
      <c r="AE33" s="11">
        <v>45.736887705160846</v>
      </c>
      <c r="AF33" s="11">
        <v>46.022847236153872</v>
      </c>
      <c r="AG33" s="11">
        <v>46.312851612136484</v>
      </c>
      <c r="AH33" s="11">
        <v>46.615367507801544</v>
      </c>
      <c r="AI33" s="11">
        <v>46.935583467534272</v>
      </c>
      <c r="AJ33" s="11">
        <v>47.25662562320322</v>
      </c>
      <c r="AK33" s="11">
        <v>47.582294389763057</v>
      </c>
      <c r="AL33" s="11">
        <v>47.910340026917289</v>
      </c>
      <c r="AM33" s="11"/>
      <c r="AN33" s="11"/>
      <c r="AO33" s="11"/>
      <c r="AP33" s="11"/>
      <c r="AQ33" s="11"/>
      <c r="AR33" s="11"/>
      <c r="AS33" s="11"/>
      <c r="AT33" s="11"/>
      <c r="AU33" s="11"/>
      <c r="AV33" s="11"/>
      <c r="AW33" s="11"/>
      <c r="AX33" s="11"/>
      <c r="AY33" s="11"/>
      <c r="AZ33" s="11"/>
      <c r="BA33" s="11"/>
      <c r="BB33" s="11"/>
      <c r="BC33" s="11"/>
      <c r="BD33" s="11"/>
      <c r="BE33" s="11"/>
      <c r="BF33" s="11"/>
      <c r="BG33" s="11"/>
      <c r="BH33" s="11"/>
      <c r="BI33" s="11"/>
      <c r="BJ33" s="11"/>
      <c r="BK33" s="11"/>
      <c r="BL33" s="11"/>
    </row>
    <row r="34" spans="12:64" x14ac:dyDescent="0.2">
      <c r="L34" s="232" t="str">
        <f>'Occ T3'!A36</f>
        <v>62 Leisure, travel and related personal service occupations</v>
      </c>
      <c r="M34" s="11">
        <v>10.969560671641633</v>
      </c>
      <c r="N34" s="11">
        <v>12.224852058338715</v>
      </c>
      <c r="O34" s="11">
        <v>11.401113452918544</v>
      </c>
      <c r="P34" s="11">
        <v>12.36177955311943</v>
      </c>
      <c r="Q34" s="11">
        <v>12.120099212050885</v>
      </c>
      <c r="R34" s="11">
        <v>10.618128366267882</v>
      </c>
      <c r="S34" s="11">
        <v>13.240707231896719</v>
      </c>
      <c r="T34" s="11">
        <v>12.193498198504155</v>
      </c>
      <c r="U34" s="11">
        <v>11.696493316434145</v>
      </c>
      <c r="V34" s="11">
        <v>13.411998144831484</v>
      </c>
      <c r="W34" s="11">
        <v>12.994951688815915</v>
      </c>
      <c r="X34" s="11">
        <v>11.972126653161567</v>
      </c>
      <c r="Y34" s="11">
        <v>11.869186859577228</v>
      </c>
      <c r="Z34" s="11">
        <v>11.880182269551138</v>
      </c>
      <c r="AA34" s="11">
        <v>11.932600047905455</v>
      </c>
      <c r="AB34" s="11">
        <v>11.967287253679919</v>
      </c>
      <c r="AC34" s="11">
        <v>11.989192758035649</v>
      </c>
      <c r="AD34" s="11">
        <v>12.005867837238055</v>
      </c>
      <c r="AE34" s="11">
        <v>12.013688984847319</v>
      </c>
      <c r="AF34" s="11">
        <v>12.019952522880638</v>
      </c>
      <c r="AG34" s="11">
        <v>12.030267264152275</v>
      </c>
      <c r="AH34" s="11">
        <v>12.041319072889136</v>
      </c>
      <c r="AI34" s="11">
        <v>12.040592855176065</v>
      </c>
      <c r="AJ34" s="11">
        <v>12.041642527022734</v>
      </c>
      <c r="AK34" s="11">
        <v>12.040366100058812</v>
      </c>
      <c r="AL34" s="11">
        <v>12.043011311322823</v>
      </c>
      <c r="AM34" s="11"/>
      <c r="AN34" s="11"/>
      <c r="AO34" s="11"/>
      <c r="AP34" s="11"/>
      <c r="AQ34" s="11"/>
      <c r="AR34" s="11"/>
      <c r="AS34" s="11"/>
      <c r="AT34" s="11"/>
      <c r="AU34" s="11"/>
      <c r="AV34" s="11"/>
      <c r="AW34" s="11"/>
      <c r="AX34" s="11"/>
      <c r="AY34" s="11"/>
      <c r="AZ34" s="11"/>
      <c r="BA34" s="11"/>
      <c r="BB34" s="11"/>
      <c r="BC34" s="11"/>
      <c r="BD34" s="11"/>
      <c r="BE34" s="11"/>
      <c r="BF34" s="11"/>
      <c r="BG34" s="11"/>
      <c r="BH34" s="11"/>
      <c r="BI34" s="11"/>
      <c r="BJ34" s="11"/>
      <c r="BK34" s="11"/>
      <c r="BL34" s="11"/>
    </row>
    <row r="35" spans="12:64" x14ac:dyDescent="0.2">
      <c r="L35" s="232" t="str">
        <f>'Occ T3'!A37</f>
        <v>63 Community and civil enforcement occupations</v>
      </c>
      <c r="M35" s="11">
        <v>0.84110049634013995</v>
      </c>
      <c r="N35" s="11">
        <v>0.55833733872599467</v>
      </c>
      <c r="O35" s="11">
        <v>0.52118154340133194</v>
      </c>
      <c r="P35" s="11">
        <v>0.49049318074313014</v>
      </c>
      <c r="Q35" s="11">
        <v>0.59047727469600741</v>
      </c>
      <c r="R35" s="11">
        <v>0.53476700853324488</v>
      </c>
      <c r="S35" s="11">
        <v>0.44448110731501783</v>
      </c>
      <c r="T35" s="11">
        <v>0.47362097005126402</v>
      </c>
      <c r="U35" s="11">
        <v>0.47715512036676705</v>
      </c>
      <c r="V35" s="11">
        <v>0.43819173345182433</v>
      </c>
      <c r="W35" s="11">
        <v>0.55456784230697775</v>
      </c>
      <c r="X35" s="11">
        <v>0.39698110111706009</v>
      </c>
      <c r="Y35" s="11">
        <v>0.40371373827298945</v>
      </c>
      <c r="Z35" s="11">
        <v>0.40990711423347848</v>
      </c>
      <c r="AA35" s="11">
        <v>0.41729864612597423</v>
      </c>
      <c r="AB35" s="11">
        <v>0.42346353306994405</v>
      </c>
      <c r="AC35" s="11">
        <v>0.42890345809515429</v>
      </c>
      <c r="AD35" s="11">
        <v>0.43423335187313999</v>
      </c>
      <c r="AE35" s="11">
        <v>0.43903853340165833</v>
      </c>
      <c r="AF35" s="11">
        <v>0.44464549857174474</v>
      </c>
      <c r="AG35" s="11">
        <v>0.4495445248915606</v>
      </c>
      <c r="AH35" s="11">
        <v>0.45421296831199948</v>
      </c>
      <c r="AI35" s="11">
        <v>0.4584636228779948</v>
      </c>
      <c r="AJ35" s="11">
        <v>0.46389273090680683</v>
      </c>
      <c r="AK35" s="11">
        <v>0.46864209990810063</v>
      </c>
      <c r="AL35" s="11">
        <v>0.47429487873987586</v>
      </c>
      <c r="AM35" s="11"/>
      <c r="AN35" s="11"/>
      <c r="AO35" s="11"/>
      <c r="AP35" s="11"/>
      <c r="AQ35" s="11"/>
      <c r="AR35" s="11"/>
      <c r="AS35" s="11"/>
      <c r="AT35" s="11"/>
      <c r="AU35" s="11"/>
      <c r="AV35" s="11"/>
      <c r="AW35" s="11"/>
      <c r="AX35" s="11"/>
      <c r="AY35" s="11"/>
      <c r="AZ35" s="11"/>
      <c r="BA35" s="11"/>
      <c r="BB35" s="11"/>
      <c r="BC35" s="11"/>
      <c r="BD35" s="11"/>
      <c r="BE35" s="11"/>
      <c r="BF35" s="11"/>
      <c r="BG35" s="11"/>
      <c r="BH35" s="11"/>
      <c r="BI35" s="11"/>
      <c r="BJ35" s="11"/>
      <c r="BK35" s="11"/>
      <c r="BL35" s="11"/>
    </row>
    <row r="36" spans="12:64" x14ac:dyDescent="0.2">
      <c r="L36" s="232"/>
      <c r="M36" s="11"/>
      <c r="N36" s="11"/>
      <c r="O36" s="11"/>
      <c r="P36" s="11"/>
      <c r="Q36" s="11"/>
      <c r="R36" s="11"/>
      <c r="S36" s="11"/>
      <c r="T36" s="11"/>
      <c r="U36" s="11"/>
      <c r="V36" s="11"/>
      <c r="W36" s="11"/>
      <c r="X36" s="11"/>
      <c r="Y36" s="11"/>
      <c r="Z36" s="11"/>
      <c r="AA36" s="11"/>
      <c r="AB36" s="11"/>
      <c r="AC36" s="11"/>
      <c r="AD36" s="11"/>
      <c r="AE36" s="87"/>
      <c r="AF36" s="87"/>
      <c r="AG36" s="87"/>
      <c r="AH36" s="11"/>
      <c r="AI36" s="11"/>
      <c r="AJ36" s="11"/>
      <c r="AK36" s="11"/>
      <c r="AL36" s="11"/>
      <c r="AM36" s="11"/>
      <c r="AN36" s="11"/>
      <c r="AO36" s="11"/>
      <c r="AP36" s="11"/>
      <c r="AQ36" s="11"/>
      <c r="AR36" s="11"/>
      <c r="AS36" s="11"/>
      <c r="AT36" s="11"/>
      <c r="AU36" s="11"/>
      <c r="AV36" s="11"/>
      <c r="AW36" s="11"/>
      <c r="AX36" s="11"/>
      <c r="AY36" s="11"/>
      <c r="AZ36" s="11"/>
      <c r="BA36" s="11"/>
      <c r="BB36" s="11"/>
      <c r="BC36" s="11"/>
      <c r="BD36" s="11"/>
      <c r="BE36" s="11"/>
      <c r="BF36" s="11"/>
      <c r="BG36" s="11"/>
      <c r="BH36" s="11"/>
      <c r="BI36" s="11"/>
      <c r="BJ36" s="11"/>
      <c r="BK36" s="11"/>
      <c r="BL36" s="11"/>
    </row>
    <row r="37" spans="12:64" x14ac:dyDescent="0.2">
      <c r="L37" s="17" t="str">
        <f>'Occ T3'!A39</f>
        <v>Sales and customer service occupations</v>
      </c>
      <c r="M37" s="87">
        <f>SUM(M38:M39)</f>
        <v>42.506383455348967</v>
      </c>
      <c r="N37" s="87">
        <f t="shared" ref="N37:AL37" si="19">SUM(N38:N39)</f>
        <v>46.935019049590323</v>
      </c>
      <c r="O37" s="87">
        <f t="shared" si="19"/>
        <v>44.839193148446576</v>
      </c>
      <c r="P37" s="87">
        <f t="shared" si="19"/>
        <v>44.584337304362677</v>
      </c>
      <c r="Q37" s="87">
        <f t="shared" si="19"/>
        <v>45.770430833579169</v>
      </c>
      <c r="R37" s="87">
        <f t="shared" si="19"/>
        <v>46.36807217069466</v>
      </c>
      <c r="S37" s="87">
        <f t="shared" si="19"/>
        <v>46.616307291431255</v>
      </c>
      <c r="T37" s="87">
        <f t="shared" si="19"/>
        <v>46.160588171820429</v>
      </c>
      <c r="U37" s="87">
        <f t="shared" si="19"/>
        <v>43.79346774449089</v>
      </c>
      <c r="V37" s="87">
        <f t="shared" si="19"/>
        <v>43.433376381887506</v>
      </c>
      <c r="W37" s="87">
        <f t="shared" si="19"/>
        <v>42.827473840804956</v>
      </c>
      <c r="X37" s="87">
        <f t="shared" si="19"/>
        <v>42.193080327889</v>
      </c>
      <c r="Y37" s="87">
        <f t="shared" si="19"/>
        <v>42.297784095508703</v>
      </c>
      <c r="Z37" s="87">
        <f t="shared" si="19"/>
        <v>42.370941859318393</v>
      </c>
      <c r="AA37" s="87">
        <f t="shared" si="19"/>
        <v>42.518936721947242</v>
      </c>
      <c r="AB37" s="87">
        <f t="shared" si="19"/>
        <v>42.585358209329534</v>
      </c>
      <c r="AC37" s="87">
        <f t="shared" si="19"/>
        <v>42.632837420013693</v>
      </c>
      <c r="AD37" s="87">
        <f t="shared" si="19"/>
        <v>42.650082835383827</v>
      </c>
      <c r="AE37" s="87">
        <f t="shared" si="19"/>
        <v>42.635906909748691</v>
      </c>
      <c r="AF37" s="87">
        <f t="shared" si="19"/>
        <v>42.61528644885054</v>
      </c>
      <c r="AG37" s="87">
        <f t="shared" si="19"/>
        <v>42.595553289734127</v>
      </c>
      <c r="AH37" s="87">
        <f t="shared" si="19"/>
        <v>42.55449313750124</v>
      </c>
      <c r="AI37" s="87">
        <f t="shared" si="19"/>
        <v>42.546986719017269</v>
      </c>
      <c r="AJ37" s="87">
        <f t="shared" si="19"/>
        <v>42.539525787931296</v>
      </c>
      <c r="AK37" s="87">
        <f t="shared" si="19"/>
        <v>42.533790266325468</v>
      </c>
      <c r="AL37" s="87">
        <f t="shared" si="19"/>
        <v>42.521498139387894</v>
      </c>
      <c r="AM37" s="11"/>
      <c r="AN37" s="11"/>
      <c r="AO37" s="11"/>
      <c r="AP37" s="11"/>
      <c r="AQ37" s="11"/>
      <c r="AR37" s="11"/>
      <c r="AS37" s="11"/>
      <c r="AT37" s="11"/>
      <c r="AU37" s="11"/>
      <c r="AV37" s="11"/>
      <c r="AW37" s="11"/>
      <c r="AX37" s="11"/>
      <c r="AY37" s="11"/>
      <c r="AZ37" s="11"/>
      <c r="BA37" s="11"/>
      <c r="BB37" s="11"/>
      <c r="BC37" s="11"/>
      <c r="BD37" s="11"/>
      <c r="BE37" s="11"/>
      <c r="BF37" s="11"/>
      <c r="BG37" s="11"/>
      <c r="BH37" s="11"/>
      <c r="BI37" s="11"/>
      <c r="BJ37" s="11"/>
      <c r="BK37" s="11"/>
      <c r="BL37" s="11"/>
    </row>
    <row r="38" spans="12:64" x14ac:dyDescent="0.2">
      <c r="L38" s="232" t="str">
        <f>'Occ T3'!A40</f>
        <v>71 Sales occupations</v>
      </c>
      <c r="M38" s="11">
        <v>35.593601828834224</v>
      </c>
      <c r="N38" s="11">
        <v>39.971461738096913</v>
      </c>
      <c r="O38" s="11">
        <v>38.090918569115203</v>
      </c>
      <c r="P38" s="11">
        <v>37.844961370795545</v>
      </c>
      <c r="Q38" s="11">
        <v>39.006830507672227</v>
      </c>
      <c r="R38" s="11">
        <v>38.973525313793111</v>
      </c>
      <c r="S38" s="11">
        <v>39.617152560141299</v>
      </c>
      <c r="T38" s="11">
        <v>38.17121469033799</v>
      </c>
      <c r="U38" s="11">
        <v>35.750804819775247</v>
      </c>
      <c r="V38" s="11">
        <v>35.582072392355371</v>
      </c>
      <c r="W38" s="11">
        <v>34.754105944221891</v>
      </c>
      <c r="X38" s="11">
        <v>33.756408588857191</v>
      </c>
      <c r="Y38" s="11">
        <v>33.761150227884372</v>
      </c>
      <c r="Z38" s="11">
        <v>33.734085779012297</v>
      </c>
      <c r="AA38" s="11">
        <v>33.763198522175983</v>
      </c>
      <c r="AB38" s="11">
        <v>33.725088646435069</v>
      </c>
      <c r="AC38" s="11">
        <v>33.680683523876723</v>
      </c>
      <c r="AD38" s="11">
        <v>33.607432975191848</v>
      </c>
      <c r="AE38" s="11">
        <v>33.507731513891478</v>
      </c>
      <c r="AF38" s="11">
        <v>33.402467951265251</v>
      </c>
      <c r="AG38" s="11">
        <v>33.293755390051487</v>
      </c>
      <c r="AH38" s="11">
        <v>33.155640150752987</v>
      </c>
      <c r="AI38" s="11">
        <v>33.054766585584986</v>
      </c>
      <c r="AJ38" s="11">
        <v>32.951226996962333</v>
      </c>
      <c r="AK38" s="11">
        <v>32.848110110128168</v>
      </c>
      <c r="AL38" s="11">
        <v>32.736083057927345</v>
      </c>
      <c r="AM38" s="11"/>
      <c r="AN38" s="11"/>
      <c r="AO38" s="11"/>
      <c r="AP38" s="11"/>
      <c r="AQ38" s="11"/>
      <c r="AR38" s="11"/>
      <c r="AS38" s="11"/>
      <c r="AT38" s="11"/>
      <c r="AU38" s="11"/>
      <c r="AV38" s="11"/>
      <c r="AW38" s="11"/>
      <c r="AX38" s="11"/>
      <c r="AY38" s="11"/>
      <c r="AZ38" s="11"/>
      <c r="BA38" s="11"/>
      <c r="BB38" s="11"/>
      <c r="BC38" s="11"/>
      <c r="BD38" s="11"/>
      <c r="BE38" s="11"/>
      <c r="BF38" s="11"/>
      <c r="BG38" s="11"/>
      <c r="BH38" s="11"/>
      <c r="BI38" s="11"/>
      <c r="BJ38" s="11"/>
      <c r="BK38" s="11"/>
      <c r="BL38" s="11"/>
    </row>
    <row r="39" spans="12:64" x14ac:dyDescent="0.2">
      <c r="L39" s="232" t="str">
        <f>'Occ T3'!A41</f>
        <v>72 Customer service occupations</v>
      </c>
      <c r="M39" s="11">
        <v>6.9127816265147395</v>
      </c>
      <c r="N39" s="11">
        <v>6.9635573114934086</v>
      </c>
      <c r="O39" s="11">
        <v>6.7482745793313716</v>
      </c>
      <c r="P39" s="11">
        <v>6.7393759335671346</v>
      </c>
      <c r="Q39" s="11">
        <v>6.7636003259069408</v>
      </c>
      <c r="R39" s="11">
        <v>7.394546856901548</v>
      </c>
      <c r="S39" s="11">
        <v>6.9991547312899582</v>
      </c>
      <c r="T39" s="11">
        <v>7.9893734814824402</v>
      </c>
      <c r="U39" s="11">
        <v>8.0426629247156445</v>
      </c>
      <c r="V39" s="11">
        <v>7.8513039895321315</v>
      </c>
      <c r="W39" s="11">
        <v>8.0733678965830684</v>
      </c>
      <c r="X39" s="11">
        <v>8.4366717390318087</v>
      </c>
      <c r="Y39" s="11">
        <v>8.5366338676243352</v>
      </c>
      <c r="Z39" s="11">
        <v>8.6368560803060976</v>
      </c>
      <c r="AA39" s="11">
        <v>8.75573819977126</v>
      </c>
      <c r="AB39" s="11">
        <v>8.8602695628944659</v>
      </c>
      <c r="AC39" s="11">
        <v>8.9521538961369718</v>
      </c>
      <c r="AD39" s="11">
        <v>9.0426498601919807</v>
      </c>
      <c r="AE39" s="11">
        <v>9.1281753958572107</v>
      </c>
      <c r="AF39" s="11">
        <v>9.2128184975852854</v>
      </c>
      <c r="AG39" s="11">
        <v>9.30179789968264</v>
      </c>
      <c r="AH39" s="11">
        <v>9.3988529867482509</v>
      </c>
      <c r="AI39" s="11">
        <v>9.4922201334322871</v>
      </c>
      <c r="AJ39" s="11">
        <v>9.5882987909689632</v>
      </c>
      <c r="AK39" s="11">
        <v>9.6856801561973018</v>
      </c>
      <c r="AL39" s="11">
        <v>9.7854150814605507</v>
      </c>
      <c r="AM39" s="11"/>
    </row>
    <row r="40" spans="12:64" x14ac:dyDescent="0.2">
      <c r="L40" s="232"/>
      <c r="M40" s="11"/>
      <c r="N40" s="11"/>
      <c r="O40" s="11"/>
      <c r="P40" s="11"/>
      <c r="Q40" s="11"/>
      <c r="R40" s="11"/>
      <c r="S40" s="11"/>
      <c r="T40" s="11"/>
      <c r="U40" s="11"/>
      <c r="V40" s="11"/>
      <c r="W40" s="11"/>
      <c r="X40" s="11"/>
      <c r="Y40" s="11"/>
      <c r="Z40" s="11"/>
      <c r="AA40" s="11"/>
      <c r="AB40" s="11"/>
      <c r="AC40" s="11"/>
      <c r="AD40" s="11"/>
      <c r="AE40" s="87"/>
      <c r="AF40" s="87"/>
      <c r="AG40" s="87"/>
      <c r="AH40" s="11"/>
      <c r="AI40" s="11"/>
      <c r="AJ40" s="11"/>
      <c r="AK40" s="11"/>
      <c r="AL40" s="11"/>
      <c r="AM40" s="11"/>
      <c r="AN40" s="11"/>
      <c r="AO40" s="11"/>
      <c r="AP40" s="11"/>
      <c r="AQ40" s="11"/>
      <c r="AR40" s="11"/>
      <c r="AS40" s="11"/>
      <c r="AT40" s="11"/>
      <c r="AU40" s="11"/>
      <c r="AV40" s="11"/>
      <c r="AW40" s="11"/>
      <c r="AX40" s="11"/>
      <c r="AY40" s="11"/>
      <c r="AZ40" s="11"/>
      <c r="BA40" s="11"/>
      <c r="BB40" s="11"/>
    </row>
    <row r="41" spans="12:64" x14ac:dyDescent="0.2">
      <c r="L41" s="17" t="str">
        <f>'Occ T3'!A43</f>
        <v>Process, plant and machine operatives</v>
      </c>
      <c r="M41" s="87">
        <f>SUM(M42:M43)</f>
        <v>44.300377942535</v>
      </c>
      <c r="N41" s="87">
        <f t="shared" ref="N41" si="20">SUM(N42:N43)</f>
        <v>42.257862640937844</v>
      </c>
      <c r="O41" s="87">
        <f t="shared" ref="O41" si="21">SUM(O42:O43)</f>
        <v>41.96107832606355</v>
      </c>
      <c r="P41" s="87">
        <f t="shared" ref="P41" si="22">SUM(P42:P43)</f>
        <v>42.519144962564916</v>
      </c>
      <c r="Q41" s="87">
        <f t="shared" ref="Q41" si="23">SUM(Q42:Q43)</f>
        <v>42.82185422135305</v>
      </c>
      <c r="R41" s="87">
        <f t="shared" ref="R41" si="24">SUM(R42:R43)</f>
        <v>44.721812114267756</v>
      </c>
      <c r="S41" s="87">
        <f t="shared" ref="S41" si="25">SUM(S42:S43)</f>
        <v>46.350425893870963</v>
      </c>
      <c r="T41" s="87">
        <f t="shared" ref="T41" si="26">SUM(T42:T43)</f>
        <v>48.142804195221117</v>
      </c>
      <c r="U41" s="87">
        <f t="shared" ref="U41" si="27">SUM(U42:U43)</f>
        <v>47.487709306951132</v>
      </c>
      <c r="V41" s="87">
        <f t="shared" ref="V41" si="28">SUM(V42:V43)</f>
        <v>44.49196610860912</v>
      </c>
      <c r="W41" s="87">
        <f t="shared" ref="W41" si="29">SUM(W42:W43)</f>
        <v>41.529068763260419</v>
      </c>
      <c r="X41" s="87">
        <f t="shared" ref="X41" si="30">SUM(X42:X43)</f>
        <v>42.578323326205478</v>
      </c>
      <c r="Y41" s="87">
        <f t="shared" ref="Y41" si="31">SUM(Y42:Y43)</f>
        <v>42.262712583944449</v>
      </c>
      <c r="Z41" s="87">
        <f t="shared" ref="Z41" si="32">SUM(Z42:Z43)</f>
        <v>42.026969829674805</v>
      </c>
      <c r="AA41" s="87">
        <f t="shared" ref="AA41" si="33">SUM(AA42:AA43)</f>
        <v>41.873905938376772</v>
      </c>
      <c r="AB41" s="87">
        <f t="shared" ref="AB41" si="34">SUM(AB42:AB43)</f>
        <v>41.651395757268759</v>
      </c>
      <c r="AC41" s="87">
        <f t="shared" ref="AC41" si="35">SUM(AC42:AC43)</f>
        <v>41.422252162142215</v>
      </c>
      <c r="AD41" s="87">
        <f t="shared" ref="AD41" si="36">SUM(AD42:AD43)</f>
        <v>41.177958372045865</v>
      </c>
      <c r="AE41" s="87">
        <f t="shared" ref="AE41" si="37">SUM(AE42:AE43)</f>
        <v>40.974773040543852</v>
      </c>
      <c r="AF41" s="87">
        <f t="shared" ref="AF41" si="38">SUM(AF42:AF43)</f>
        <v>40.772524828174028</v>
      </c>
      <c r="AG41" s="87">
        <f t="shared" ref="AG41" si="39">SUM(AG42:AG43)</f>
        <v>40.574102002701309</v>
      </c>
      <c r="AH41" s="87">
        <f t="shared" ref="AH41" si="40">SUM(AH42:AH43)</f>
        <v>40.364392680768951</v>
      </c>
      <c r="AI41" s="87">
        <f t="shared" ref="AI41" si="41">SUM(AI42:AI43)</f>
        <v>40.116912585555617</v>
      </c>
      <c r="AJ41" s="87">
        <f t="shared" ref="AJ41" si="42">SUM(AJ42:AJ43)</f>
        <v>39.854702237747667</v>
      </c>
      <c r="AK41" s="87">
        <f t="shared" ref="AK41" si="43">SUM(AK42:AK43)</f>
        <v>39.564723931860733</v>
      </c>
      <c r="AL41" s="87">
        <f t="shared" ref="AL41" si="44">SUM(AL42:AL43)</f>
        <v>39.260522108603936</v>
      </c>
      <c r="AM41" s="11"/>
      <c r="AN41" s="11"/>
      <c r="AO41" s="11"/>
      <c r="AP41" s="11"/>
      <c r="AQ41" s="11"/>
      <c r="AR41" s="11"/>
      <c r="AS41" s="11"/>
      <c r="AT41" s="11"/>
      <c r="AU41" s="11"/>
      <c r="AV41" s="11"/>
      <c r="AW41" s="11"/>
      <c r="AX41" s="11"/>
      <c r="AY41" s="11"/>
      <c r="AZ41" s="11"/>
      <c r="BA41" s="11"/>
      <c r="BB41" s="11"/>
    </row>
    <row r="42" spans="12:64" x14ac:dyDescent="0.2">
      <c r="L42" s="232" t="str">
        <f>'Occ T3'!A44</f>
        <v>81 Process, plant and machine operatives</v>
      </c>
      <c r="M42" s="11">
        <v>22.33972756040972</v>
      </c>
      <c r="N42" s="11">
        <v>20.929943769542788</v>
      </c>
      <c r="O42" s="11">
        <v>21.508646263574317</v>
      </c>
      <c r="P42" s="11">
        <v>21.791583736663465</v>
      </c>
      <c r="Q42" s="11">
        <v>22.723734388525823</v>
      </c>
      <c r="R42" s="11">
        <v>23.617997881207206</v>
      </c>
      <c r="S42" s="11">
        <v>23.538407367572784</v>
      </c>
      <c r="T42" s="11">
        <v>24.486965408365158</v>
      </c>
      <c r="U42" s="11">
        <v>24.15664823282502</v>
      </c>
      <c r="V42" s="11">
        <v>22.621141012114837</v>
      </c>
      <c r="W42" s="11">
        <v>20.118734262019561</v>
      </c>
      <c r="X42" s="11">
        <v>21.081026027848925</v>
      </c>
      <c r="Y42" s="11">
        <v>20.963000165288854</v>
      </c>
      <c r="Z42" s="11">
        <v>20.795838057964357</v>
      </c>
      <c r="AA42" s="11">
        <v>20.650605471455602</v>
      </c>
      <c r="AB42" s="11">
        <v>20.473548267191795</v>
      </c>
      <c r="AC42" s="11">
        <v>20.309925022273163</v>
      </c>
      <c r="AD42" s="11">
        <v>20.149495604770301</v>
      </c>
      <c r="AE42" s="11">
        <v>20.032224166300193</v>
      </c>
      <c r="AF42" s="11">
        <v>19.91788910293052</v>
      </c>
      <c r="AG42" s="11">
        <v>19.798706238750938</v>
      </c>
      <c r="AH42" s="11">
        <v>19.666172066868704</v>
      </c>
      <c r="AI42" s="11">
        <v>19.519895576767677</v>
      </c>
      <c r="AJ42" s="11">
        <v>19.361955807745463</v>
      </c>
      <c r="AK42" s="11">
        <v>19.180575708089275</v>
      </c>
      <c r="AL42" s="11">
        <v>18.988078793912329</v>
      </c>
      <c r="AM42" s="11"/>
      <c r="AN42" s="11"/>
      <c r="AO42" s="11"/>
      <c r="AP42" s="11"/>
      <c r="AQ42" s="11"/>
      <c r="AR42" s="11"/>
      <c r="AS42" s="11"/>
      <c r="AT42" s="11"/>
      <c r="AU42" s="11"/>
      <c r="AV42" s="11"/>
      <c r="AW42" s="11"/>
      <c r="AX42" s="11"/>
      <c r="AY42" s="11"/>
      <c r="AZ42" s="11"/>
      <c r="BA42" s="11"/>
      <c r="BB42" s="11"/>
    </row>
    <row r="43" spans="12:64" x14ac:dyDescent="0.2">
      <c r="L43" s="232" t="str">
        <f>'Occ T3'!A45</f>
        <v>82 Transport and mobile machine drivers and operatives</v>
      </c>
      <c r="M43" s="11">
        <v>21.96065038212528</v>
      </c>
      <c r="N43" s="11">
        <v>21.32791887139506</v>
      </c>
      <c r="O43" s="11">
        <v>20.452432062489233</v>
      </c>
      <c r="P43" s="11">
        <v>20.72756122590145</v>
      </c>
      <c r="Q43" s="11">
        <v>20.09811983282723</v>
      </c>
      <c r="R43" s="11">
        <v>21.10381423306055</v>
      </c>
      <c r="S43" s="11">
        <v>22.812018526298175</v>
      </c>
      <c r="T43" s="11">
        <v>23.655838786855956</v>
      </c>
      <c r="U43" s="11">
        <v>23.331061074126108</v>
      </c>
      <c r="V43" s="11">
        <v>21.870825096494286</v>
      </c>
      <c r="W43" s="11">
        <v>21.410334501240857</v>
      </c>
      <c r="X43" s="11">
        <v>21.497297298356557</v>
      </c>
      <c r="Y43" s="11">
        <v>21.299712418655592</v>
      </c>
      <c r="Z43" s="11">
        <v>21.231131771710448</v>
      </c>
      <c r="AA43" s="11">
        <v>21.22330046692117</v>
      </c>
      <c r="AB43" s="11">
        <v>21.17784749007696</v>
      </c>
      <c r="AC43" s="11">
        <v>21.112327139869048</v>
      </c>
      <c r="AD43" s="11">
        <v>21.028462767275567</v>
      </c>
      <c r="AE43" s="11">
        <v>20.942548874243656</v>
      </c>
      <c r="AF43" s="11">
        <v>20.854635725243508</v>
      </c>
      <c r="AG43" s="11">
        <v>20.775395763950367</v>
      </c>
      <c r="AH43" s="11">
        <v>20.698220613900247</v>
      </c>
      <c r="AI43" s="11">
        <v>20.59701700878794</v>
      </c>
      <c r="AJ43" s="11">
        <v>20.492746430002203</v>
      </c>
      <c r="AK43" s="11">
        <v>20.384148223771458</v>
      </c>
      <c r="AL43" s="11">
        <v>20.272443314691611</v>
      </c>
      <c r="AM43" s="11"/>
    </row>
    <row r="44" spans="12:64" x14ac:dyDescent="0.2">
      <c r="L44" s="232"/>
      <c r="M44" s="11"/>
      <c r="N44" s="11"/>
      <c r="O44" s="11"/>
      <c r="P44" s="11"/>
      <c r="Q44" s="11"/>
      <c r="R44" s="11"/>
      <c r="S44" s="11"/>
      <c r="T44" s="11"/>
      <c r="U44" s="11"/>
      <c r="V44" s="11"/>
      <c r="W44" s="11"/>
      <c r="X44" s="11"/>
      <c r="Y44" s="11"/>
      <c r="Z44" s="11"/>
      <c r="AA44" s="11"/>
      <c r="AB44" s="11"/>
      <c r="AC44" s="11"/>
      <c r="AD44" s="11"/>
      <c r="AE44" s="87"/>
      <c r="AF44" s="87"/>
      <c r="AG44" s="87"/>
      <c r="AH44" s="11"/>
      <c r="AI44" s="11"/>
      <c r="AJ44" s="11"/>
      <c r="AK44" s="11"/>
      <c r="AL44" s="11"/>
      <c r="AM44" s="11"/>
      <c r="AN44" s="11"/>
      <c r="AO44" s="11"/>
      <c r="AP44" s="11"/>
      <c r="AQ44" s="11"/>
      <c r="AR44" s="11"/>
      <c r="AS44" s="11"/>
      <c r="AT44" s="11"/>
      <c r="AU44" s="11"/>
      <c r="AV44" s="11"/>
      <c r="AW44" s="11"/>
      <c r="AX44" s="11"/>
      <c r="AY44" s="11"/>
      <c r="AZ44" s="11"/>
      <c r="BA44" s="11"/>
      <c r="BB44" s="11"/>
    </row>
    <row r="45" spans="12:64" x14ac:dyDescent="0.2">
      <c r="L45" s="17" t="str">
        <f>'Occ T3'!A47</f>
        <v>Elementary occupations</v>
      </c>
      <c r="M45" s="87">
        <f>SUM(M46:M47)</f>
        <v>63.633615719687029</v>
      </c>
      <c r="N45" s="87">
        <f t="shared" ref="N45" si="45">SUM(N46:N47)</f>
        <v>63.617242989390746</v>
      </c>
      <c r="O45" s="87">
        <f t="shared" ref="O45" si="46">SUM(O46:O47)</f>
        <v>60.343114070641803</v>
      </c>
      <c r="P45" s="87">
        <f t="shared" ref="P45" si="47">SUM(P46:P47)</f>
        <v>60.766038614980985</v>
      </c>
      <c r="Q45" s="87">
        <f t="shared" ref="Q45" si="48">SUM(Q46:Q47)</f>
        <v>62.177904545908241</v>
      </c>
      <c r="R45" s="87">
        <f t="shared" ref="R45" si="49">SUM(R46:R47)</f>
        <v>64.549921433423492</v>
      </c>
      <c r="S45" s="87">
        <f t="shared" ref="S45" si="50">SUM(S46:S47)</f>
        <v>65.041910297057527</v>
      </c>
      <c r="T45" s="87">
        <f t="shared" ref="T45" si="51">SUM(T46:T47)</f>
        <v>66.177254132175719</v>
      </c>
      <c r="U45" s="87">
        <f t="shared" ref="U45" si="52">SUM(U46:U47)</f>
        <v>63.763011023212698</v>
      </c>
      <c r="V45" s="87">
        <f t="shared" ref="V45" si="53">SUM(V46:V47)</f>
        <v>61.55824239921737</v>
      </c>
      <c r="W45" s="87">
        <f t="shared" ref="W45" si="54">SUM(W46:W47)</f>
        <v>56.857989419446334</v>
      </c>
      <c r="X45" s="87">
        <f t="shared" ref="X45" si="55">SUM(X46:X47)</f>
        <v>59.509008871869312</v>
      </c>
      <c r="Y45" s="87">
        <f t="shared" ref="Y45" si="56">SUM(Y46:Y47)</f>
        <v>59.418674620309439</v>
      </c>
      <c r="Z45" s="87">
        <f t="shared" ref="Z45" si="57">SUM(Z46:Z47)</f>
        <v>59.193600338009162</v>
      </c>
      <c r="AA45" s="87">
        <f t="shared" ref="AA45" si="58">SUM(AA46:AA47)</f>
        <v>59.077606283450407</v>
      </c>
      <c r="AB45" s="87">
        <f t="shared" ref="AB45" si="59">SUM(AB46:AB47)</f>
        <v>58.846565415939224</v>
      </c>
      <c r="AC45" s="87">
        <f t="shared" ref="AC45" si="60">SUM(AC46:AC47)</f>
        <v>58.558441776246269</v>
      </c>
      <c r="AD45" s="87">
        <f t="shared" ref="AD45" si="61">SUM(AD46:AD47)</f>
        <v>58.245036784195491</v>
      </c>
      <c r="AE45" s="87">
        <f t="shared" ref="AE45" si="62">SUM(AE46:AE47)</f>
        <v>57.937788525085999</v>
      </c>
      <c r="AF45" s="87">
        <f t="shared" ref="AF45" si="63">SUM(AF46:AF47)</f>
        <v>57.652831621588334</v>
      </c>
      <c r="AG45" s="87">
        <f t="shared" ref="AG45" si="64">SUM(AG46:AG47)</f>
        <v>57.418391789745357</v>
      </c>
      <c r="AH45" s="87">
        <f t="shared" ref="AH45" si="65">SUM(AH46:AH47)</f>
        <v>57.190823680417999</v>
      </c>
      <c r="AI45" s="87">
        <f t="shared" ref="AI45" si="66">SUM(AI46:AI47)</f>
        <v>56.942117352437918</v>
      </c>
      <c r="AJ45" s="87">
        <f t="shared" ref="AJ45" si="67">SUM(AJ46:AJ47)</f>
        <v>56.718780601416249</v>
      </c>
      <c r="AK45" s="87">
        <f t="shared" ref="AK45" si="68">SUM(AK46:AK47)</f>
        <v>56.497520141363111</v>
      </c>
      <c r="AL45" s="87">
        <f t="shared" ref="AL45" si="69">SUM(AL46:AL47)</f>
        <v>56.277683956957446</v>
      </c>
      <c r="AM45" s="11"/>
      <c r="AN45" s="11"/>
      <c r="AO45" s="11"/>
      <c r="AP45" s="11"/>
      <c r="AQ45" s="11"/>
      <c r="AR45" s="11"/>
      <c r="AS45" s="11"/>
      <c r="AT45" s="11"/>
      <c r="AU45" s="11"/>
      <c r="AV45" s="11"/>
      <c r="AW45" s="11"/>
      <c r="AX45" s="11"/>
      <c r="AY45" s="11"/>
      <c r="AZ45" s="11"/>
      <c r="BA45" s="11"/>
      <c r="BB45" s="11"/>
    </row>
    <row r="46" spans="12:64" x14ac:dyDescent="0.2">
      <c r="L46" s="232" t="str">
        <f>'Occ T3'!A48</f>
        <v>91 Elementary trades and related occupations</v>
      </c>
      <c r="M46" s="11">
        <v>11.537460020005678</v>
      </c>
      <c r="N46" s="11">
        <v>12.039825593836714</v>
      </c>
      <c r="O46" s="11">
        <v>11.749745352442407</v>
      </c>
      <c r="P46" s="11">
        <v>11.553980935698601</v>
      </c>
      <c r="Q46" s="11">
        <v>12.138714796790216</v>
      </c>
      <c r="R46" s="11">
        <v>13.037691425580578</v>
      </c>
      <c r="S46" s="11">
        <v>13.437311100684539</v>
      </c>
      <c r="T46" s="11">
        <v>12.571219265730864</v>
      </c>
      <c r="U46" s="11">
        <v>12.389937029939562</v>
      </c>
      <c r="V46" s="11">
        <v>11.543826331138638</v>
      </c>
      <c r="W46" s="11">
        <v>10.615622461459582</v>
      </c>
      <c r="X46" s="11">
        <v>17.302806522029684</v>
      </c>
      <c r="Y46" s="11">
        <v>17.486083133070828</v>
      </c>
      <c r="Z46" s="11">
        <v>17.660518476483961</v>
      </c>
      <c r="AA46" s="11">
        <v>17.849397874203714</v>
      </c>
      <c r="AB46" s="11">
        <v>17.994784591289726</v>
      </c>
      <c r="AC46" s="11">
        <v>18.106416315615984</v>
      </c>
      <c r="AD46" s="11">
        <v>18.218553361976202</v>
      </c>
      <c r="AE46" s="11">
        <v>18.345250418279122</v>
      </c>
      <c r="AF46" s="11">
        <v>18.475339557442258</v>
      </c>
      <c r="AG46" s="11">
        <v>18.628180361562993</v>
      </c>
      <c r="AH46" s="11">
        <v>18.774657640131856</v>
      </c>
      <c r="AI46" s="11">
        <v>18.912403337802942</v>
      </c>
      <c r="AJ46" s="11">
        <v>19.052986421147381</v>
      </c>
      <c r="AK46" s="11">
        <v>19.190689827149104</v>
      </c>
      <c r="AL46" s="11">
        <v>19.321313381155679</v>
      </c>
      <c r="AM46" s="11"/>
      <c r="AN46" s="11"/>
      <c r="AO46" s="11"/>
      <c r="AP46" s="11"/>
      <c r="AQ46" s="11"/>
      <c r="AR46" s="11"/>
      <c r="AS46" s="11"/>
      <c r="AT46" s="11"/>
      <c r="AU46" s="11"/>
      <c r="AV46" s="11"/>
      <c r="AW46" s="11"/>
      <c r="AX46" s="11"/>
      <c r="AY46" s="11"/>
      <c r="AZ46" s="11"/>
      <c r="BA46" s="11"/>
      <c r="BB46" s="11"/>
    </row>
    <row r="47" spans="12:64" x14ac:dyDescent="0.2">
      <c r="L47" s="232" t="str">
        <f>'Occ T3'!A49</f>
        <v>92 Elementary administration and service occupations</v>
      </c>
      <c r="M47" s="11">
        <v>52.096155699681347</v>
      </c>
      <c r="N47" s="11">
        <v>51.577417395554029</v>
      </c>
      <c r="O47" s="11">
        <v>48.593368718199393</v>
      </c>
      <c r="P47" s="11">
        <v>49.212057679282388</v>
      </c>
      <c r="Q47" s="11">
        <v>50.039189749118023</v>
      </c>
      <c r="R47" s="11">
        <v>51.512230007842916</v>
      </c>
      <c r="S47" s="11">
        <v>51.604599196372988</v>
      </c>
      <c r="T47" s="11">
        <v>53.606034866444858</v>
      </c>
      <c r="U47" s="11">
        <v>51.373073993273138</v>
      </c>
      <c r="V47" s="11">
        <v>50.014416068078731</v>
      </c>
      <c r="W47" s="11">
        <v>46.242366957986754</v>
      </c>
      <c r="X47" s="11">
        <v>42.206202349839629</v>
      </c>
      <c r="Y47" s="11">
        <v>41.932591487238611</v>
      </c>
      <c r="Z47" s="11">
        <v>41.533081861525197</v>
      </c>
      <c r="AA47" s="11">
        <v>41.22820840924669</v>
      </c>
      <c r="AB47" s="11">
        <v>40.851780824649495</v>
      </c>
      <c r="AC47" s="11">
        <v>40.452025460630288</v>
      </c>
      <c r="AD47" s="11">
        <v>40.026483422219293</v>
      </c>
      <c r="AE47" s="11">
        <v>39.592538106806877</v>
      </c>
      <c r="AF47" s="11">
        <v>39.177492064146072</v>
      </c>
      <c r="AG47" s="11">
        <v>38.79021142818236</v>
      </c>
      <c r="AH47" s="11">
        <v>38.416166040286143</v>
      </c>
      <c r="AI47" s="11">
        <v>38.029714014634976</v>
      </c>
      <c r="AJ47" s="11">
        <v>37.665794180268868</v>
      </c>
      <c r="AK47" s="11">
        <v>37.306830314214004</v>
      </c>
      <c r="AL47" s="11">
        <v>36.956370575801763</v>
      </c>
      <c r="AM47" s="11"/>
      <c r="AN47" s="11"/>
      <c r="AO47" s="11"/>
      <c r="AP47" s="11"/>
      <c r="AQ47" s="11"/>
      <c r="AR47" s="11"/>
      <c r="AS47" s="11"/>
      <c r="AT47" s="11"/>
      <c r="AU47" s="11"/>
      <c r="AV47" s="11"/>
      <c r="AW47" s="11"/>
      <c r="AX47" s="11"/>
      <c r="AY47" s="11"/>
      <c r="AZ47" s="11"/>
      <c r="BA47" s="11"/>
      <c r="BB47" s="11"/>
    </row>
    <row r="48" spans="12:64" x14ac:dyDescent="0.2">
      <c r="L48" s="232"/>
      <c r="M48" s="11"/>
      <c r="N48" s="11"/>
      <c r="O48" s="11"/>
      <c r="P48" s="11"/>
      <c r="Q48" s="11"/>
      <c r="R48" s="11"/>
      <c r="S48" s="11"/>
      <c r="T48" s="11"/>
      <c r="U48" s="11"/>
      <c r="V48" s="11"/>
      <c r="W48" s="11"/>
      <c r="X48" s="11"/>
      <c r="Y48" s="11"/>
      <c r="Z48" s="11"/>
      <c r="AA48" s="11"/>
      <c r="AB48" s="11"/>
      <c r="AC48" s="11"/>
      <c r="AD48" s="11"/>
      <c r="AE48" s="87"/>
      <c r="AF48" s="87"/>
      <c r="AG48" s="87"/>
      <c r="AH48" s="11"/>
      <c r="AI48" s="11"/>
      <c r="AJ48" s="11"/>
      <c r="AK48" s="11"/>
      <c r="AL48" s="11"/>
      <c r="AM48" s="11"/>
      <c r="AN48" s="11"/>
      <c r="AO48" s="11"/>
      <c r="AP48" s="11"/>
      <c r="AQ48" s="11"/>
      <c r="AR48" s="11"/>
      <c r="AS48" s="11"/>
      <c r="AT48" s="11"/>
      <c r="AU48" s="11"/>
      <c r="AV48" s="11"/>
      <c r="AW48" s="11"/>
      <c r="AX48" s="11"/>
      <c r="AY48" s="11"/>
      <c r="AZ48" s="11"/>
      <c r="BA48" s="11"/>
      <c r="BB48" s="11"/>
    </row>
    <row r="49" spans="1:50" x14ac:dyDescent="0.2">
      <c r="L49" s="17" t="str">
        <f>'Occ T3'!A51</f>
        <v>All occupations</v>
      </c>
      <c r="M49" s="87">
        <f t="shared" ref="M49:AD49" si="70">SUM(M5,M9,M15,M22,M26,M32,M37,M41,M45)</f>
        <v>486.19900000000013</v>
      </c>
      <c r="N49" s="87">
        <f t="shared" si="70"/>
        <v>495.4399999999996</v>
      </c>
      <c r="O49" s="87">
        <f t="shared" si="70"/>
        <v>484.26099999999974</v>
      </c>
      <c r="P49" s="87">
        <f t="shared" si="70"/>
        <v>476.18600000000004</v>
      </c>
      <c r="Q49" s="87">
        <f t="shared" si="70"/>
        <v>497.29199999999997</v>
      </c>
      <c r="R49" s="87">
        <f t="shared" si="70"/>
        <v>501.60500000000036</v>
      </c>
      <c r="S49" s="87">
        <f t="shared" si="70"/>
        <v>510.83500000000015</v>
      </c>
      <c r="T49" s="87">
        <f t="shared" si="70"/>
        <v>527.31999999999982</v>
      </c>
      <c r="U49" s="87">
        <f t="shared" si="70"/>
        <v>516.90499999999997</v>
      </c>
      <c r="V49" s="87">
        <f t="shared" si="70"/>
        <v>513.76599999999996</v>
      </c>
      <c r="W49" s="87">
        <f t="shared" si="70"/>
        <v>514.84500000000014</v>
      </c>
      <c r="X49" s="87">
        <f t="shared" si="70"/>
        <v>513.94799999999987</v>
      </c>
      <c r="Y49" s="87">
        <f t="shared" si="70"/>
        <v>514.65499999999997</v>
      </c>
      <c r="Z49" s="87">
        <f t="shared" si="70"/>
        <v>516.14499999999975</v>
      </c>
      <c r="AA49" s="87">
        <f t="shared" si="70"/>
        <v>518.67499999999995</v>
      </c>
      <c r="AB49" s="87">
        <f t="shared" si="70"/>
        <v>520.37000000000023</v>
      </c>
      <c r="AC49" s="87">
        <f t="shared" si="70"/>
        <v>521.7399999999999</v>
      </c>
      <c r="AD49" s="87">
        <f t="shared" si="70"/>
        <v>522.88099999999997</v>
      </c>
      <c r="AE49" s="87">
        <f t="shared" ref="AE49:AL49" si="71">SUM(AE5,AE9,AE15,AE22,AE26,AE32,AE37,AE41,AE45)</f>
        <v>524.02800000000047</v>
      </c>
      <c r="AF49" s="87">
        <f t="shared" si="71"/>
        <v>525.1629999999999</v>
      </c>
      <c r="AG49" s="87">
        <f t="shared" si="71"/>
        <v>526.48800000000006</v>
      </c>
      <c r="AH49" s="87">
        <f t="shared" si="71"/>
        <v>527.76699999999994</v>
      </c>
      <c r="AI49" s="87">
        <f t="shared" si="71"/>
        <v>529.0379999999999</v>
      </c>
      <c r="AJ49" s="87">
        <f t="shared" si="71"/>
        <v>530.35100000000011</v>
      </c>
      <c r="AK49" s="87">
        <f t="shared" si="71"/>
        <v>531.63400000000024</v>
      </c>
      <c r="AL49" s="87">
        <f t="shared" si="71"/>
        <v>532.91199999999981</v>
      </c>
      <c r="AM49" s="11"/>
      <c r="AN49" s="11"/>
      <c r="AO49" s="11"/>
      <c r="AP49" s="11"/>
      <c r="AQ49" s="11"/>
      <c r="AR49" s="11"/>
      <c r="AS49" s="11"/>
      <c r="AT49" s="11"/>
      <c r="AU49" s="11"/>
      <c r="AV49" s="11"/>
      <c r="AW49" s="11"/>
      <c r="AX49" s="11"/>
    </row>
    <row r="50" spans="1:50" x14ac:dyDescent="0.2">
      <c r="L50" s="232"/>
      <c r="M50" s="11"/>
      <c r="N50" s="11"/>
      <c r="O50" s="11"/>
      <c r="P50" s="11"/>
      <c r="Q50" s="11"/>
      <c r="R50" s="11"/>
      <c r="S50" s="11"/>
      <c r="T50" s="11"/>
      <c r="U50" s="11"/>
      <c r="V50" s="11"/>
      <c r="W50" s="11"/>
      <c r="X50" s="11"/>
      <c r="Y50" s="11"/>
      <c r="Z50" s="11"/>
      <c r="AA50" s="11"/>
      <c r="AB50" s="11"/>
      <c r="AC50" s="11"/>
      <c r="AD50" s="11"/>
      <c r="AE50" s="11"/>
      <c r="AF50" s="11"/>
      <c r="AG50" s="11"/>
      <c r="AH50" s="11"/>
      <c r="AI50" s="11"/>
    </row>
    <row r="51" spans="1:50" x14ac:dyDescent="0.2">
      <c r="L51" s="1" t="s">
        <v>67</v>
      </c>
      <c r="M51" s="48">
        <f>M4</f>
        <v>2010</v>
      </c>
      <c r="N51" s="48">
        <f t="shared" ref="N51:AL51" si="72">N4</f>
        <v>2011</v>
      </c>
      <c r="O51" s="48">
        <f t="shared" si="72"/>
        <v>2012</v>
      </c>
      <c r="P51" s="48">
        <f t="shared" si="72"/>
        <v>2013</v>
      </c>
      <c r="Q51" s="48">
        <f t="shared" si="72"/>
        <v>2014</v>
      </c>
      <c r="R51" s="48">
        <f t="shared" si="72"/>
        <v>2015</v>
      </c>
      <c r="S51" s="48">
        <f t="shared" si="72"/>
        <v>2016</v>
      </c>
      <c r="T51" s="48">
        <f t="shared" si="72"/>
        <v>2017</v>
      </c>
      <c r="U51" s="48">
        <f t="shared" si="72"/>
        <v>2018</v>
      </c>
      <c r="V51" s="48">
        <f t="shared" si="72"/>
        <v>2019</v>
      </c>
      <c r="W51" s="48">
        <f t="shared" si="72"/>
        <v>2020</v>
      </c>
      <c r="X51" s="48">
        <f t="shared" si="72"/>
        <v>2021</v>
      </c>
      <c r="Y51" s="48">
        <f t="shared" si="72"/>
        <v>2022</v>
      </c>
      <c r="Z51" s="48">
        <f t="shared" si="72"/>
        <v>2023</v>
      </c>
      <c r="AA51" s="48">
        <f t="shared" si="72"/>
        <v>2024</v>
      </c>
      <c r="AB51" s="48">
        <f t="shared" si="72"/>
        <v>2025</v>
      </c>
      <c r="AC51" s="48">
        <f t="shared" si="72"/>
        <v>2026</v>
      </c>
      <c r="AD51" s="48">
        <f t="shared" si="72"/>
        <v>2027</v>
      </c>
      <c r="AE51" s="48">
        <f t="shared" si="72"/>
        <v>2028</v>
      </c>
      <c r="AF51" s="48">
        <f t="shared" si="72"/>
        <v>2029</v>
      </c>
      <c r="AG51" s="48">
        <f t="shared" si="72"/>
        <v>2030</v>
      </c>
      <c r="AH51" s="48">
        <f t="shared" si="72"/>
        <v>2031</v>
      </c>
      <c r="AI51" s="48">
        <f t="shared" si="72"/>
        <v>2032</v>
      </c>
      <c r="AJ51" s="48">
        <f t="shared" si="72"/>
        <v>2033</v>
      </c>
      <c r="AK51" s="48">
        <f t="shared" si="72"/>
        <v>2034</v>
      </c>
      <c r="AL51" s="48">
        <f t="shared" si="72"/>
        <v>2035</v>
      </c>
      <c r="AM51" s="11"/>
      <c r="AN51" s="11"/>
      <c r="AO51" s="11"/>
      <c r="AP51" s="11"/>
      <c r="AQ51" s="11"/>
      <c r="AR51" s="11"/>
      <c r="AS51" s="11"/>
      <c r="AT51" s="11"/>
      <c r="AU51" s="11"/>
      <c r="AV51" s="11"/>
      <c r="AW51" s="11"/>
      <c r="AX51" s="11"/>
    </row>
    <row r="52" spans="1:50" x14ac:dyDescent="0.2">
      <c r="L52" s="17" t="str">
        <f>'Occ T3'!A7</f>
        <v>Managers, directors and senior officials</v>
      </c>
      <c r="M52" s="337">
        <f t="shared" ref="M52:AD52" si="73">M5/M$49</f>
        <v>8.1812284683984993E-2</v>
      </c>
      <c r="N52" s="337">
        <f t="shared" si="73"/>
        <v>8.8187334760624944E-2</v>
      </c>
      <c r="O52" s="337">
        <f t="shared" si="73"/>
        <v>9.0949709936753942E-2</v>
      </c>
      <c r="P52" s="337">
        <f t="shared" si="73"/>
        <v>9.0195841315569639E-2</v>
      </c>
      <c r="Q52" s="337">
        <f t="shared" si="73"/>
        <v>9.023413682757854E-2</v>
      </c>
      <c r="R52" s="337">
        <f t="shared" si="73"/>
        <v>9.1168539341778224E-2</v>
      </c>
      <c r="S52" s="337">
        <f t="shared" si="73"/>
        <v>9.2774737616024228E-2</v>
      </c>
      <c r="T52" s="337">
        <f t="shared" si="73"/>
        <v>9.6113006383229518E-2</v>
      </c>
      <c r="U52" s="337">
        <f t="shared" si="73"/>
        <v>9.5965049544443556E-2</v>
      </c>
      <c r="V52" s="337">
        <f t="shared" si="73"/>
        <v>0.1016352080616045</v>
      </c>
      <c r="W52" s="337">
        <f t="shared" si="73"/>
        <v>0.10665013147278474</v>
      </c>
      <c r="X52" s="337">
        <f t="shared" si="73"/>
        <v>9.628408494546474E-2</v>
      </c>
      <c r="Y52" s="337">
        <f t="shared" si="73"/>
        <v>9.6950332527728847E-2</v>
      </c>
      <c r="Z52" s="337">
        <f t="shared" si="73"/>
        <v>9.7545387197037564E-2</v>
      </c>
      <c r="AA52" s="337">
        <f t="shared" si="73"/>
        <v>9.8156678418257828E-2</v>
      </c>
      <c r="AB52" s="337">
        <f t="shared" si="73"/>
        <v>9.8749774051860043E-2</v>
      </c>
      <c r="AC52" s="337">
        <f t="shared" si="73"/>
        <v>9.9345640796239518E-2</v>
      </c>
      <c r="AD52" s="337">
        <f t="shared" si="73"/>
        <v>9.9972462613125562E-2</v>
      </c>
      <c r="AE52" s="337">
        <f t="shared" ref="AE52:AL52" si="74">AE5/AE$49</f>
        <v>0.10058913820904079</v>
      </c>
      <c r="AF52" s="337">
        <f t="shared" si="74"/>
        <v>0.10119490231501264</v>
      </c>
      <c r="AG52" s="337">
        <f t="shared" si="74"/>
        <v>0.10181304088872549</v>
      </c>
      <c r="AH52" s="337">
        <f t="shared" si="74"/>
        <v>0.10245422449114124</v>
      </c>
      <c r="AI52" s="337">
        <f t="shared" si="74"/>
        <v>0.10306674732393391</v>
      </c>
      <c r="AJ52" s="337">
        <f t="shared" si="74"/>
        <v>0.10368314083530222</v>
      </c>
      <c r="AK52" s="337">
        <f t="shared" si="74"/>
        <v>0.10432154914183014</v>
      </c>
      <c r="AL52" s="337">
        <f t="shared" si="74"/>
        <v>0.10497700858679364</v>
      </c>
      <c r="AM52" s="11"/>
      <c r="AN52" s="11"/>
      <c r="AO52" s="11"/>
      <c r="AP52" s="11"/>
      <c r="AQ52" s="11"/>
      <c r="AR52" s="11"/>
      <c r="AS52" s="11"/>
      <c r="AT52" s="11"/>
      <c r="AU52" s="11"/>
      <c r="AV52" s="11"/>
      <c r="AW52" s="11"/>
      <c r="AX52" s="11"/>
    </row>
    <row r="53" spans="1:50" x14ac:dyDescent="0.2">
      <c r="L53" s="232" t="str">
        <f>'Occ T3'!A8</f>
        <v>11 Corporate managers and directors</v>
      </c>
      <c r="M53" s="336">
        <f t="shared" ref="M53:AD53" si="75">M6/M$49</f>
        <v>5.3556460972678216E-2</v>
      </c>
      <c r="N53" s="336">
        <f t="shared" si="75"/>
        <v>5.7900973777966602E-2</v>
      </c>
      <c r="O53" s="336">
        <f t="shared" si="75"/>
        <v>5.9558037229635187E-2</v>
      </c>
      <c r="P53" s="336">
        <f t="shared" si="75"/>
        <v>5.9144838041300309E-2</v>
      </c>
      <c r="Q53" s="336">
        <f t="shared" si="75"/>
        <v>5.7772183626896893E-2</v>
      </c>
      <c r="R53" s="336">
        <f t="shared" si="75"/>
        <v>6.0301557585094291E-2</v>
      </c>
      <c r="S53" s="336">
        <f t="shared" si="75"/>
        <v>6.3266376579141345E-2</v>
      </c>
      <c r="T53" s="336">
        <f t="shared" si="75"/>
        <v>6.4835285667326659E-2</v>
      </c>
      <c r="U53" s="336">
        <f t="shared" si="75"/>
        <v>6.5680550958109929E-2</v>
      </c>
      <c r="V53" s="336">
        <f t="shared" si="75"/>
        <v>6.8971415649467738E-2</v>
      </c>
      <c r="W53" s="336">
        <f t="shared" si="75"/>
        <v>7.2420105746389574E-2</v>
      </c>
      <c r="X53" s="336">
        <f t="shared" si="75"/>
        <v>6.2606367230067489E-2</v>
      </c>
      <c r="Y53" s="336">
        <f t="shared" si="75"/>
        <v>6.2982325130216135E-2</v>
      </c>
      <c r="Z53" s="336">
        <f t="shared" si="75"/>
        <v>6.3290195351354314E-2</v>
      </c>
      <c r="AA53" s="336">
        <f t="shared" si="75"/>
        <v>6.3593875150399201E-2</v>
      </c>
      <c r="AB53" s="336">
        <f t="shared" si="75"/>
        <v>6.3904923707992611E-2</v>
      </c>
      <c r="AC53" s="336">
        <f t="shared" si="75"/>
        <v>6.4215273038329176E-2</v>
      </c>
      <c r="AD53" s="336">
        <f t="shared" si="75"/>
        <v>6.4528643947348766E-2</v>
      </c>
      <c r="AE53" s="336">
        <f t="shared" ref="AE53:AL53" si="76">AE6/AE$49</f>
        <v>6.4843553291779918E-2</v>
      </c>
      <c r="AF53" s="336">
        <f t="shared" si="76"/>
        <v>6.5160088300697291E-2</v>
      </c>
      <c r="AG53" s="336">
        <f t="shared" si="76"/>
        <v>6.5488194538761771E-2</v>
      </c>
      <c r="AH53" s="336">
        <f t="shared" si="76"/>
        <v>6.5816277433658213E-2</v>
      </c>
      <c r="AI53" s="336">
        <f t="shared" si="76"/>
        <v>6.6127565277738526E-2</v>
      </c>
      <c r="AJ53" s="336">
        <f t="shared" si="76"/>
        <v>6.6436485542075513E-2</v>
      </c>
      <c r="AK53" s="336">
        <f t="shared" si="76"/>
        <v>6.6778128710027196E-2</v>
      </c>
      <c r="AL53" s="336">
        <f t="shared" si="76"/>
        <v>6.7127202743352168E-2</v>
      </c>
      <c r="AM53" s="11"/>
      <c r="AN53" s="11"/>
      <c r="AO53" s="11"/>
      <c r="AP53" s="11"/>
      <c r="AQ53" s="11"/>
      <c r="AR53" s="11"/>
      <c r="AS53" s="11"/>
      <c r="AT53" s="11"/>
      <c r="AU53" s="11"/>
      <c r="AV53" s="11"/>
      <c r="AW53" s="11"/>
      <c r="AX53" s="11"/>
    </row>
    <row r="54" spans="1:50" x14ac:dyDescent="0.2">
      <c r="L54" s="232" t="str">
        <f>'Occ T3'!A9</f>
        <v>12 Other managers and proprietors</v>
      </c>
      <c r="M54" s="336">
        <f t="shared" ref="M54:AD54" si="77">M7/M$49</f>
        <v>2.825582371130677E-2</v>
      </c>
      <c r="N54" s="336">
        <f t="shared" si="77"/>
        <v>3.0286360982658331E-2</v>
      </c>
      <c r="O54" s="336">
        <f t="shared" si="77"/>
        <v>3.1391672707118755E-2</v>
      </c>
      <c r="P54" s="336">
        <f t="shared" si="77"/>
        <v>3.1051003274269341E-2</v>
      </c>
      <c r="Q54" s="336">
        <f t="shared" si="77"/>
        <v>3.246195320068164E-2</v>
      </c>
      <c r="R54" s="336">
        <f t="shared" si="77"/>
        <v>3.0866981756683929E-2</v>
      </c>
      <c r="S54" s="336">
        <f t="shared" si="77"/>
        <v>2.9508361036882876E-2</v>
      </c>
      <c r="T54" s="336">
        <f t="shared" si="77"/>
        <v>3.1277720715902846E-2</v>
      </c>
      <c r="U54" s="336">
        <f t="shared" si="77"/>
        <v>3.0284498586333627E-2</v>
      </c>
      <c r="V54" s="336">
        <f t="shared" si="77"/>
        <v>3.2663792412136773E-2</v>
      </c>
      <c r="W54" s="336">
        <f t="shared" si="77"/>
        <v>3.423002572639517E-2</v>
      </c>
      <c r="X54" s="336">
        <f t="shared" si="77"/>
        <v>3.3677717715397258E-2</v>
      </c>
      <c r="Y54" s="336">
        <f t="shared" si="77"/>
        <v>3.3968007397512705E-2</v>
      </c>
      <c r="Z54" s="336">
        <f t="shared" si="77"/>
        <v>3.4255191845683257E-2</v>
      </c>
      <c r="AA54" s="336">
        <f t="shared" si="77"/>
        <v>3.4562803267858627E-2</v>
      </c>
      <c r="AB54" s="336">
        <f t="shared" si="77"/>
        <v>3.4844850343867417E-2</v>
      </c>
      <c r="AC54" s="336">
        <f t="shared" si="77"/>
        <v>3.5130367757910348E-2</v>
      </c>
      <c r="AD54" s="336">
        <f t="shared" si="77"/>
        <v>3.5443818665776804E-2</v>
      </c>
      <c r="AE54" s="336">
        <f t="shared" ref="AE54:AL54" si="78">AE7/AE$49</f>
        <v>3.5745584917260861E-2</v>
      </c>
      <c r="AF54" s="336">
        <f t="shared" si="78"/>
        <v>3.6034814014315346E-2</v>
      </c>
      <c r="AG54" s="336">
        <f t="shared" si="78"/>
        <v>3.6324846349963719E-2</v>
      </c>
      <c r="AH54" s="336">
        <f t="shared" si="78"/>
        <v>3.6637947057483029E-2</v>
      </c>
      <c r="AI54" s="336">
        <f t="shared" si="78"/>
        <v>3.6939182046195382E-2</v>
      </c>
      <c r="AJ54" s="336">
        <f t="shared" si="78"/>
        <v>3.7246655293226703E-2</v>
      </c>
      <c r="AK54" s="336">
        <f t="shared" si="78"/>
        <v>3.7543420431802949E-2</v>
      </c>
      <c r="AL54" s="336">
        <f t="shared" si="78"/>
        <v>3.7849805843441477E-2</v>
      </c>
      <c r="AM54" s="11"/>
      <c r="AN54" s="11"/>
      <c r="AO54" s="11"/>
      <c r="AP54" s="11"/>
      <c r="AQ54" s="11"/>
      <c r="AR54" s="11"/>
      <c r="AS54" s="11"/>
      <c r="AT54" s="11"/>
      <c r="AU54" s="11"/>
      <c r="AV54" s="11"/>
      <c r="AW54" s="11"/>
      <c r="AX54" s="11"/>
    </row>
    <row r="55" spans="1:50" x14ac:dyDescent="0.2">
      <c r="L55" s="232"/>
      <c r="M55" s="336"/>
      <c r="N55" s="336"/>
      <c r="O55" s="336"/>
      <c r="P55" s="336"/>
      <c r="Q55" s="336"/>
      <c r="R55" s="336"/>
      <c r="S55" s="336"/>
      <c r="T55" s="336"/>
      <c r="U55" s="336"/>
      <c r="V55" s="336"/>
      <c r="W55" s="336"/>
      <c r="X55" s="336"/>
      <c r="Y55" s="336"/>
      <c r="Z55" s="336"/>
      <c r="AA55" s="336"/>
      <c r="AB55" s="336"/>
      <c r="AC55" s="336"/>
      <c r="AD55" s="336"/>
      <c r="AE55" s="336"/>
      <c r="AF55" s="336"/>
      <c r="AG55" s="336"/>
      <c r="AH55" s="336"/>
      <c r="AI55" s="336"/>
      <c r="AJ55" s="336"/>
      <c r="AK55" s="336"/>
      <c r="AL55" s="336"/>
    </row>
    <row r="56" spans="1:50" x14ac:dyDescent="0.2">
      <c r="L56" s="17" t="str">
        <f>'Occ T3'!A11</f>
        <v>Professional occupations</v>
      </c>
      <c r="M56" s="337">
        <f t="shared" ref="M56:AD56" si="79">M9/M$49</f>
        <v>0.17360400593400127</v>
      </c>
      <c r="N56" s="337">
        <f t="shared" si="79"/>
        <v>0.16625146139267383</v>
      </c>
      <c r="O56" s="337">
        <f t="shared" si="79"/>
        <v>0.16679725273813079</v>
      </c>
      <c r="P56" s="337">
        <f t="shared" si="79"/>
        <v>0.16782704534451548</v>
      </c>
      <c r="Q56" s="337">
        <f t="shared" si="79"/>
        <v>0.17186361065192174</v>
      </c>
      <c r="R56" s="337">
        <f t="shared" si="79"/>
        <v>0.16775761884444676</v>
      </c>
      <c r="S56" s="337">
        <f t="shared" si="79"/>
        <v>0.17094391004019041</v>
      </c>
      <c r="T56" s="337">
        <f t="shared" si="79"/>
        <v>0.16801269912319183</v>
      </c>
      <c r="U56" s="337">
        <f t="shared" si="79"/>
        <v>0.17729670570778766</v>
      </c>
      <c r="V56" s="337">
        <f t="shared" si="79"/>
        <v>0.18285095310325325</v>
      </c>
      <c r="W56" s="337">
        <f t="shared" si="79"/>
        <v>0.1956962357837933</v>
      </c>
      <c r="X56" s="337">
        <f t="shared" si="79"/>
        <v>0.19901751553778124</v>
      </c>
      <c r="Y56" s="337">
        <f t="shared" si="79"/>
        <v>0.20008941618755413</v>
      </c>
      <c r="Z56" s="337">
        <f t="shared" si="79"/>
        <v>0.20159194822460386</v>
      </c>
      <c r="AA56" s="337">
        <f t="shared" si="79"/>
        <v>0.20304432329136377</v>
      </c>
      <c r="AB56" s="337">
        <f t="shared" si="79"/>
        <v>0.20450757969155231</v>
      </c>
      <c r="AC56" s="337">
        <f t="shared" si="79"/>
        <v>0.20600063337581356</v>
      </c>
      <c r="AD56" s="337">
        <f t="shared" si="79"/>
        <v>0.20754044456274012</v>
      </c>
      <c r="AE56" s="337">
        <f t="shared" ref="AE56:AL56" si="80">AE9/AE$49</f>
        <v>0.20913052649757369</v>
      </c>
      <c r="AF56" s="337">
        <f t="shared" si="80"/>
        <v>0.21068470639168219</v>
      </c>
      <c r="AG56" s="337">
        <f t="shared" si="80"/>
        <v>0.21229890186679595</v>
      </c>
      <c r="AH56" s="337">
        <f t="shared" si="80"/>
        <v>0.213891318099445</v>
      </c>
      <c r="AI56" s="337">
        <f t="shared" si="80"/>
        <v>0.21542517608822767</v>
      </c>
      <c r="AJ56" s="337">
        <f t="shared" si="80"/>
        <v>0.21693509762036553</v>
      </c>
      <c r="AK56" s="337">
        <f t="shared" si="80"/>
        <v>0.21847551852074623</v>
      </c>
      <c r="AL56" s="337">
        <f t="shared" si="80"/>
        <v>0.22005644290664569</v>
      </c>
      <c r="AM56" s="11"/>
      <c r="AN56" s="11"/>
      <c r="AO56" s="11"/>
      <c r="AP56" s="11"/>
      <c r="AQ56" s="11"/>
      <c r="AR56" s="11"/>
      <c r="AS56" s="11"/>
      <c r="AT56" s="11"/>
      <c r="AU56" s="11"/>
      <c r="AV56" s="11"/>
      <c r="AW56" s="11"/>
      <c r="AX56" s="11"/>
    </row>
    <row r="57" spans="1:50" x14ac:dyDescent="0.2">
      <c r="L57" s="232" t="str">
        <f>'Occ T3'!A12</f>
        <v>21 Science, research, engineering and technology professionals</v>
      </c>
      <c r="M57" s="336">
        <f t="shared" ref="M57:AD57" si="81">M10/M$49</f>
        <v>4.5994517911780892E-2</v>
      </c>
      <c r="N57" s="336">
        <f t="shared" si="81"/>
        <v>4.2370868570313247E-2</v>
      </c>
      <c r="O57" s="336">
        <f t="shared" si="81"/>
        <v>4.313999288895367E-2</v>
      </c>
      <c r="P57" s="336">
        <f t="shared" si="81"/>
        <v>4.3355089158354961E-2</v>
      </c>
      <c r="Q57" s="336">
        <f t="shared" si="81"/>
        <v>4.6177406704467933E-2</v>
      </c>
      <c r="R57" s="336">
        <f t="shared" si="81"/>
        <v>4.6369464577271188E-2</v>
      </c>
      <c r="S57" s="336">
        <f t="shared" si="81"/>
        <v>4.6995945976680026E-2</v>
      </c>
      <c r="T57" s="336">
        <f t="shared" si="81"/>
        <v>4.6373270152987846E-2</v>
      </c>
      <c r="U57" s="336">
        <f t="shared" si="81"/>
        <v>5.0122582563505658E-2</v>
      </c>
      <c r="V57" s="336">
        <f t="shared" si="81"/>
        <v>5.098577858264014E-2</v>
      </c>
      <c r="W57" s="336">
        <f t="shared" si="81"/>
        <v>5.4555300500557347E-2</v>
      </c>
      <c r="X57" s="336">
        <f t="shared" si="81"/>
        <v>6.3029350922824995E-2</v>
      </c>
      <c r="Y57" s="336">
        <f t="shared" si="81"/>
        <v>6.381632691316462E-2</v>
      </c>
      <c r="Z57" s="336">
        <f t="shared" si="81"/>
        <v>6.4653719892718772E-2</v>
      </c>
      <c r="AA57" s="336">
        <f t="shared" si="81"/>
        <v>6.5477472514167384E-2</v>
      </c>
      <c r="AB57" s="336">
        <f t="shared" si="81"/>
        <v>6.6285947228353043E-2</v>
      </c>
      <c r="AC57" s="336">
        <f t="shared" si="81"/>
        <v>6.7087505705636291E-2</v>
      </c>
      <c r="AD57" s="336">
        <f t="shared" si="81"/>
        <v>6.7875567084728791E-2</v>
      </c>
      <c r="AE57" s="336">
        <f t="shared" ref="AE57:AL57" si="82">AE10/AE$49</f>
        <v>6.8684237933777398E-2</v>
      </c>
      <c r="AF57" s="336">
        <f t="shared" si="82"/>
        <v>6.9473842562147906E-2</v>
      </c>
      <c r="AG57" s="336">
        <f t="shared" si="82"/>
        <v>7.0280884895404627E-2</v>
      </c>
      <c r="AH57" s="336">
        <f t="shared" si="82"/>
        <v>7.1088195272177884E-2</v>
      </c>
      <c r="AI57" s="336">
        <f t="shared" si="82"/>
        <v>7.1892971697533919E-2</v>
      </c>
      <c r="AJ57" s="336">
        <f t="shared" si="82"/>
        <v>7.2679211080267342E-2</v>
      </c>
      <c r="AK57" s="336">
        <f t="shared" si="82"/>
        <v>7.3486570472341667E-2</v>
      </c>
      <c r="AL57" s="336">
        <f t="shared" si="82"/>
        <v>7.4294121419420683E-2</v>
      </c>
      <c r="AM57" s="11"/>
      <c r="AN57" s="11"/>
      <c r="AO57" s="11"/>
      <c r="AP57" s="11"/>
      <c r="AQ57" s="11"/>
      <c r="AR57" s="11"/>
      <c r="AS57" s="11"/>
      <c r="AT57" s="11"/>
      <c r="AU57" s="11"/>
      <c r="AV57" s="11"/>
      <c r="AW57" s="11"/>
      <c r="AX57" s="11"/>
    </row>
    <row r="58" spans="1:50" ht="15.75" x14ac:dyDescent="0.25">
      <c r="A58" s="80" t="str">
        <f>CONCATENATE("Occupation Figure 2.1  Employment by Occupation (% shares), ",$M$2,"-",$O$2,", ",Info!B5)</f>
        <v>Occupation Figure 2.1  Employment by Occupation (% shares), 2010-2035, Greater Lincolnshire</v>
      </c>
      <c r="L58" s="232" t="str">
        <f>'Occ T3'!A13</f>
        <v>22 Health professionals</v>
      </c>
      <c r="M58" s="336">
        <f t="shared" ref="M58:AD58" si="83">M11/M$49</f>
        <v>3.815302532268517E-2</v>
      </c>
      <c r="N58" s="336">
        <f t="shared" si="83"/>
        <v>3.9160973247643081E-2</v>
      </c>
      <c r="O58" s="336">
        <f t="shared" si="83"/>
        <v>3.9131017380083864E-2</v>
      </c>
      <c r="P58" s="336">
        <f t="shared" si="83"/>
        <v>3.8154516686243992E-2</v>
      </c>
      <c r="Q58" s="336">
        <f t="shared" si="83"/>
        <v>3.908791951902793E-2</v>
      </c>
      <c r="R58" s="336">
        <f t="shared" si="83"/>
        <v>3.8175087409337685E-2</v>
      </c>
      <c r="S58" s="336">
        <f t="shared" si="83"/>
        <v>3.9439634957042606E-2</v>
      </c>
      <c r="T58" s="336">
        <f t="shared" si="83"/>
        <v>4.1022671105635324E-2</v>
      </c>
      <c r="U58" s="336">
        <f t="shared" si="83"/>
        <v>4.1228190405624372E-2</v>
      </c>
      <c r="V58" s="336">
        <f t="shared" si="83"/>
        <v>4.2812172795681648E-2</v>
      </c>
      <c r="W58" s="336">
        <f t="shared" si="83"/>
        <v>4.3128906872384888E-2</v>
      </c>
      <c r="X58" s="336">
        <f t="shared" si="83"/>
        <v>4.1030787849868328E-2</v>
      </c>
      <c r="Y58" s="336">
        <f t="shared" si="83"/>
        <v>4.1199603013192469E-2</v>
      </c>
      <c r="Z58" s="336">
        <f t="shared" si="83"/>
        <v>4.1419624740506936E-2</v>
      </c>
      <c r="AA58" s="336">
        <f t="shared" si="83"/>
        <v>4.1581033096873915E-2</v>
      </c>
      <c r="AB58" s="336">
        <f t="shared" si="83"/>
        <v>4.1750697518006204E-2</v>
      </c>
      <c r="AC58" s="336">
        <f t="shared" si="83"/>
        <v>4.1915058911305016E-2</v>
      </c>
      <c r="AD58" s="336">
        <f t="shared" si="83"/>
        <v>4.2136988960651385E-2</v>
      </c>
      <c r="AE58" s="336">
        <f t="shared" ref="AE58:AL58" si="84">AE11/AE$49</f>
        <v>4.2351248912093416E-2</v>
      </c>
      <c r="AF58" s="336">
        <f t="shared" si="84"/>
        <v>4.2522452854711519E-2</v>
      </c>
      <c r="AG58" s="336">
        <f t="shared" si="84"/>
        <v>4.2705637281519916E-2</v>
      </c>
      <c r="AH58" s="336">
        <f t="shared" si="84"/>
        <v>4.2873040690325617E-2</v>
      </c>
      <c r="AI58" s="336">
        <f t="shared" si="84"/>
        <v>4.3043510489843159E-2</v>
      </c>
      <c r="AJ58" s="336">
        <f t="shared" si="84"/>
        <v>4.3201494718544196E-2</v>
      </c>
      <c r="AK58" s="336">
        <f t="shared" si="84"/>
        <v>4.3350330003451377E-2</v>
      </c>
      <c r="AL58" s="336">
        <f t="shared" si="84"/>
        <v>4.3540645747256572E-2</v>
      </c>
      <c r="AM58" s="11"/>
      <c r="AN58" s="11"/>
      <c r="AO58" s="11"/>
      <c r="AP58" s="11"/>
      <c r="AQ58" s="11"/>
      <c r="AR58" s="11"/>
      <c r="AS58" s="11"/>
      <c r="AT58" s="11"/>
      <c r="AU58" s="11"/>
      <c r="AV58" s="11"/>
      <c r="AW58" s="11"/>
      <c r="AX58" s="11"/>
    </row>
    <row r="59" spans="1:50" x14ac:dyDescent="0.2">
      <c r="L59" s="232" t="str">
        <f>'Occ T3'!A14</f>
        <v>23 Teaching and other educational professionals</v>
      </c>
      <c r="M59" s="336">
        <f t="shared" ref="M59:AD59" si="85">M12/M$49</f>
        <v>3.8264629002194094E-2</v>
      </c>
      <c r="N59" s="336">
        <f t="shared" si="85"/>
        <v>3.6777985910481766E-2</v>
      </c>
      <c r="O59" s="336">
        <f t="shared" si="85"/>
        <v>3.8385506091972006E-2</v>
      </c>
      <c r="P59" s="336">
        <f t="shared" si="85"/>
        <v>3.8582888028461451E-2</v>
      </c>
      <c r="Q59" s="336">
        <f t="shared" si="85"/>
        <v>3.6788561492729861E-2</v>
      </c>
      <c r="R59" s="336">
        <f t="shared" si="85"/>
        <v>3.6401334655490343E-2</v>
      </c>
      <c r="S59" s="336">
        <f t="shared" si="85"/>
        <v>3.4762908749498708E-2</v>
      </c>
      <c r="T59" s="336">
        <f t="shared" si="85"/>
        <v>3.1911555153172046E-2</v>
      </c>
      <c r="U59" s="336">
        <f t="shared" si="85"/>
        <v>3.4394073507076933E-2</v>
      </c>
      <c r="V59" s="336">
        <f t="shared" si="85"/>
        <v>3.6156787157213745E-2</v>
      </c>
      <c r="W59" s="336">
        <f t="shared" si="85"/>
        <v>3.7731474336504284E-2</v>
      </c>
      <c r="X59" s="336">
        <f t="shared" si="85"/>
        <v>3.5128772096390155E-2</v>
      </c>
      <c r="Y59" s="336">
        <f t="shared" si="85"/>
        <v>3.4815711373339185E-2</v>
      </c>
      <c r="Z59" s="336">
        <f t="shared" si="85"/>
        <v>3.4744479168980304E-2</v>
      </c>
      <c r="AA59" s="336">
        <f t="shared" si="85"/>
        <v>3.4683422797241292E-2</v>
      </c>
      <c r="AB59" s="336">
        <f t="shared" si="85"/>
        <v>3.4649066552875578E-2</v>
      </c>
      <c r="AC59" s="336">
        <f t="shared" si="85"/>
        <v>3.4637556578504564E-2</v>
      </c>
      <c r="AD59" s="336">
        <f t="shared" si="85"/>
        <v>3.46266152642139E-2</v>
      </c>
      <c r="AE59" s="336">
        <f t="shared" ref="AE59:AL59" si="86">AE12/AE$49</f>
        <v>3.4642294082547202E-2</v>
      </c>
      <c r="AF59" s="336">
        <f t="shared" si="86"/>
        <v>3.4677966886511362E-2</v>
      </c>
      <c r="AG59" s="336">
        <f t="shared" si="86"/>
        <v>3.4738001995745622E-2</v>
      </c>
      <c r="AH59" s="336">
        <f t="shared" si="86"/>
        <v>3.4765220476332216E-2</v>
      </c>
      <c r="AI59" s="336">
        <f t="shared" si="86"/>
        <v>3.4778360432366651E-2</v>
      </c>
      <c r="AJ59" s="336">
        <f t="shared" si="86"/>
        <v>3.4792500766173219E-2</v>
      </c>
      <c r="AK59" s="336">
        <f t="shared" si="86"/>
        <v>3.4806278854859415E-2</v>
      </c>
      <c r="AL59" s="336">
        <f t="shared" si="86"/>
        <v>3.4823262391408559E-2</v>
      </c>
      <c r="AM59" s="11"/>
      <c r="AN59" s="11"/>
      <c r="AO59" s="11"/>
      <c r="AP59" s="11"/>
      <c r="AQ59" s="11"/>
      <c r="AR59" s="11"/>
      <c r="AS59" s="11"/>
      <c r="AT59" s="11"/>
      <c r="AU59" s="11"/>
      <c r="AV59" s="11"/>
      <c r="AW59" s="11"/>
      <c r="AX59" s="11"/>
    </row>
    <row r="60" spans="1:50" x14ac:dyDescent="0.2">
      <c r="L60" s="232" t="str">
        <f>'Occ T3'!A15</f>
        <v>24 Business, media and public service professionals</v>
      </c>
      <c r="M60" s="336">
        <f t="shared" ref="M60:AD60" si="87">M13/M$49</f>
        <v>5.1191833697341114E-2</v>
      </c>
      <c r="N60" s="336">
        <f t="shared" si="87"/>
        <v>4.7941633664235754E-2</v>
      </c>
      <c r="O60" s="336">
        <f t="shared" si="87"/>
        <v>4.6140736377121246E-2</v>
      </c>
      <c r="P60" s="336">
        <f t="shared" si="87"/>
        <v>4.7734551471455069E-2</v>
      </c>
      <c r="Q60" s="336">
        <f t="shared" si="87"/>
        <v>4.9809722935696014E-2</v>
      </c>
      <c r="R60" s="336">
        <f t="shared" si="87"/>
        <v>4.681173220234755E-2</v>
      </c>
      <c r="S60" s="336">
        <f t="shared" si="87"/>
        <v>4.9745420356969099E-2</v>
      </c>
      <c r="T60" s="336">
        <f t="shared" si="87"/>
        <v>4.8705202711396584E-2</v>
      </c>
      <c r="U60" s="336">
        <f t="shared" si="87"/>
        <v>5.155185923158067E-2</v>
      </c>
      <c r="V60" s="336">
        <f t="shared" si="87"/>
        <v>5.2896214567717703E-2</v>
      </c>
      <c r="W60" s="336">
        <f t="shared" si="87"/>
        <v>6.0280554074346765E-2</v>
      </c>
      <c r="X60" s="336">
        <f t="shared" si="87"/>
        <v>5.9828604668697778E-2</v>
      </c>
      <c r="Y60" s="336">
        <f t="shared" si="87"/>
        <v>6.0257774887857857E-2</v>
      </c>
      <c r="Z60" s="336">
        <f t="shared" si="87"/>
        <v>6.0774124422397852E-2</v>
      </c>
      <c r="AA60" s="336">
        <f t="shared" si="87"/>
        <v>6.1302394883081146E-2</v>
      </c>
      <c r="AB60" s="336">
        <f t="shared" si="87"/>
        <v>6.1821868392317451E-2</v>
      </c>
      <c r="AC60" s="336">
        <f t="shared" si="87"/>
        <v>6.2360512180367679E-2</v>
      </c>
      <c r="AD60" s="336">
        <f t="shared" si="87"/>
        <v>6.2901273253146067E-2</v>
      </c>
      <c r="AE60" s="336">
        <f t="shared" ref="AE60:AL60" si="88">AE13/AE$49</f>
        <v>6.3452745569155686E-2</v>
      </c>
      <c r="AF60" s="336">
        <f t="shared" si="88"/>
        <v>6.4010444088311372E-2</v>
      </c>
      <c r="AG60" s="336">
        <f t="shared" si="88"/>
        <v>6.4574377694125801E-2</v>
      </c>
      <c r="AH60" s="336">
        <f t="shared" si="88"/>
        <v>6.5164861660609252E-2</v>
      </c>
      <c r="AI60" s="336">
        <f t="shared" si="88"/>
        <v>6.571033346848397E-2</v>
      </c>
      <c r="AJ60" s="336">
        <f t="shared" si="88"/>
        <v>6.6261891055380787E-2</v>
      </c>
      <c r="AK60" s="336">
        <f t="shared" si="88"/>
        <v>6.6832339190093765E-2</v>
      </c>
      <c r="AL60" s="336">
        <f t="shared" si="88"/>
        <v>6.7398413348559894E-2</v>
      </c>
      <c r="AM60" s="11"/>
      <c r="AN60" s="11"/>
      <c r="AO60" s="11"/>
      <c r="AP60" s="11"/>
      <c r="AQ60" s="11"/>
      <c r="AR60" s="11"/>
      <c r="AS60" s="11"/>
      <c r="AT60" s="11"/>
      <c r="AU60" s="11"/>
      <c r="AV60" s="11"/>
      <c r="AW60" s="11"/>
      <c r="AX60" s="11"/>
    </row>
    <row r="61" spans="1:50" x14ac:dyDescent="0.2">
      <c r="L61" s="232"/>
      <c r="M61" s="336"/>
      <c r="N61" s="336"/>
      <c r="O61" s="336"/>
      <c r="P61" s="336"/>
      <c r="Q61" s="336"/>
      <c r="R61" s="336"/>
      <c r="S61" s="336"/>
      <c r="T61" s="336"/>
      <c r="U61" s="336"/>
      <c r="V61" s="336"/>
      <c r="W61" s="336"/>
      <c r="X61" s="336"/>
      <c r="Y61" s="336"/>
      <c r="Z61" s="336"/>
      <c r="AA61" s="336"/>
      <c r="AB61" s="336"/>
      <c r="AC61" s="336"/>
      <c r="AD61" s="336"/>
      <c r="AE61" s="336"/>
      <c r="AF61" s="336"/>
      <c r="AG61" s="336"/>
      <c r="AH61" s="336"/>
      <c r="AI61" s="336"/>
      <c r="AJ61" s="336"/>
      <c r="AK61" s="336"/>
      <c r="AL61" s="336"/>
      <c r="AM61" s="11"/>
      <c r="AN61" s="11"/>
      <c r="AO61" s="11"/>
      <c r="AP61" s="11"/>
      <c r="AQ61" s="11"/>
      <c r="AR61" s="11"/>
      <c r="AS61" s="11"/>
      <c r="AT61" s="11"/>
      <c r="AU61" s="11"/>
      <c r="AV61" s="11"/>
      <c r="AW61" s="11"/>
      <c r="AX61" s="11"/>
    </row>
    <row r="62" spans="1:50" x14ac:dyDescent="0.2">
      <c r="L62" s="17" t="str">
        <f>'Occ T3'!A17</f>
        <v>Associate professional occupations</v>
      </c>
      <c r="M62" s="337">
        <f t="shared" ref="M62:AD62" si="89">M15/M$49</f>
        <v>0.10581646059727721</v>
      </c>
      <c r="N62" s="337">
        <f t="shared" si="89"/>
        <v>0.10685749538888693</v>
      </c>
      <c r="O62" s="337">
        <f t="shared" si="89"/>
        <v>0.10829384885212129</v>
      </c>
      <c r="P62" s="337">
        <f t="shared" si="89"/>
        <v>0.10603441858834908</v>
      </c>
      <c r="Q62" s="337">
        <f t="shared" si="89"/>
        <v>0.10816275843341212</v>
      </c>
      <c r="R62" s="337">
        <f t="shared" si="89"/>
        <v>0.10750866807448402</v>
      </c>
      <c r="S62" s="337">
        <f t="shared" si="89"/>
        <v>0.10718440134804194</v>
      </c>
      <c r="T62" s="337">
        <f t="shared" si="89"/>
        <v>0.11051681829848267</v>
      </c>
      <c r="U62" s="337">
        <f t="shared" si="89"/>
        <v>0.11217835691588758</v>
      </c>
      <c r="V62" s="337">
        <f t="shared" si="89"/>
        <v>0.11248641722167081</v>
      </c>
      <c r="W62" s="337">
        <f t="shared" si="89"/>
        <v>0.11933178557846981</v>
      </c>
      <c r="X62" s="337">
        <f t="shared" si="89"/>
        <v>0.12086264089877023</v>
      </c>
      <c r="Y62" s="337">
        <f t="shared" si="89"/>
        <v>0.12151813949733523</v>
      </c>
      <c r="Z62" s="337">
        <f t="shared" si="89"/>
        <v>0.12228157450685707</v>
      </c>
      <c r="AA62" s="337">
        <f t="shared" si="89"/>
        <v>0.12305696936676491</v>
      </c>
      <c r="AB62" s="337">
        <f t="shared" si="89"/>
        <v>0.12380230657703804</v>
      </c>
      <c r="AC62" s="337">
        <f t="shared" si="89"/>
        <v>0.12453121229406042</v>
      </c>
      <c r="AD62" s="337">
        <f t="shared" si="89"/>
        <v>0.12524660745088945</v>
      </c>
      <c r="AE62" s="337">
        <f t="shared" ref="AE62:AL62" si="90">AE15/AE$49</f>
        <v>0.12590636340689107</v>
      </c>
      <c r="AF62" s="337">
        <f t="shared" si="90"/>
        <v>0.12659309044658779</v>
      </c>
      <c r="AG62" s="337">
        <f t="shared" si="90"/>
        <v>0.12731476799918731</v>
      </c>
      <c r="AH62" s="337">
        <f t="shared" si="90"/>
        <v>0.12807551783957635</v>
      </c>
      <c r="AI62" s="337">
        <f t="shared" si="90"/>
        <v>0.12875957532659407</v>
      </c>
      <c r="AJ62" s="337">
        <f t="shared" si="90"/>
        <v>0.12948097348276408</v>
      </c>
      <c r="AK62" s="337">
        <f t="shared" si="90"/>
        <v>0.130210275016966</v>
      </c>
      <c r="AL62" s="337">
        <f t="shared" si="90"/>
        <v>0.13097642043167185</v>
      </c>
      <c r="AM62" s="11"/>
      <c r="AN62" s="11"/>
      <c r="AO62" s="11"/>
      <c r="AP62" s="11"/>
      <c r="AQ62" s="11"/>
      <c r="AR62" s="11"/>
      <c r="AS62" s="11"/>
      <c r="AT62" s="11"/>
      <c r="AU62" s="11"/>
      <c r="AV62" s="11"/>
      <c r="AW62" s="11"/>
      <c r="AX62" s="11"/>
    </row>
    <row r="63" spans="1:50" x14ac:dyDescent="0.2">
      <c r="L63" s="232" t="str">
        <f>'Occ T3'!A18</f>
        <v>31 Science, engineering and technology associate professionals</v>
      </c>
      <c r="M63" s="336">
        <f t="shared" ref="M63:AD63" si="91">M16/M$49</f>
        <v>1.7305589802150939E-2</v>
      </c>
      <c r="N63" s="336">
        <f t="shared" si="91"/>
        <v>1.6248828118303551E-2</v>
      </c>
      <c r="O63" s="336">
        <f t="shared" si="91"/>
        <v>1.6896343370354193E-2</v>
      </c>
      <c r="P63" s="336">
        <f t="shared" si="91"/>
        <v>1.7118775730573958E-2</v>
      </c>
      <c r="Q63" s="336">
        <f t="shared" si="91"/>
        <v>1.6140522353006125E-2</v>
      </c>
      <c r="R63" s="336">
        <f t="shared" si="91"/>
        <v>1.5707202416975673E-2</v>
      </c>
      <c r="S63" s="336">
        <f t="shared" si="91"/>
        <v>1.6168482017219959E-2</v>
      </c>
      <c r="T63" s="336">
        <f t="shared" si="91"/>
        <v>1.7746354173791796E-2</v>
      </c>
      <c r="U63" s="336">
        <f t="shared" si="91"/>
        <v>1.847143159664753E-2</v>
      </c>
      <c r="V63" s="336">
        <f t="shared" si="91"/>
        <v>1.7642284340278057E-2</v>
      </c>
      <c r="W63" s="336">
        <f t="shared" si="91"/>
        <v>1.9833234140079817E-2</v>
      </c>
      <c r="X63" s="336">
        <f t="shared" si="91"/>
        <v>1.7789198651914553E-2</v>
      </c>
      <c r="Y63" s="336">
        <f t="shared" si="91"/>
        <v>1.7911559460768011E-2</v>
      </c>
      <c r="Z63" s="336">
        <f t="shared" si="91"/>
        <v>1.7998504411319848E-2</v>
      </c>
      <c r="AA63" s="336">
        <f t="shared" si="91"/>
        <v>1.8080084230888107E-2</v>
      </c>
      <c r="AB63" s="336">
        <f t="shared" si="91"/>
        <v>1.8172710531681804E-2</v>
      </c>
      <c r="AC63" s="336">
        <f t="shared" si="91"/>
        <v>1.8261549745991944E-2</v>
      </c>
      <c r="AD63" s="336">
        <f t="shared" si="91"/>
        <v>1.8337576592107115E-2</v>
      </c>
      <c r="AE63" s="336">
        <f t="shared" ref="AE63:AL63" si="92">AE16/AE$49</f>
        <v>1.8411142439656161E-2</v>
      </c>
      <c r="AF63" s="336">
        <f t="shared" si="92"/>
        <v>1.8479090244166167E-2</v>
      </c>
      <c r="AG63" s="336">
        <f t="shared" si="92"/>
        <v>1.8568119471147535E-2</v>
      </c>
      <c r="AH63" s="336">
        <f t="shared" si="92"/>
        <v>1.8655631460785697E-2</v>
      </c>
      <c r="AI63" s="336">
        <f t="shared" si="92"/>
        <v>1.8749781298995231E-2</v>
      </c>
      <c r="AJ63" s="336">
        <f t="shared" si="92"/>
        <v>1.8854634854114146E-2</v>
      </c>
      <c r="AK63" s="336">
        <f t="shared" si="92"/>
        <v>1.8955536993662193E-2</v>
      </c>
      <c r="AL63" s="336">
        <f t="shared" si="92"/>
        <v>1.9062980781443053E-2</v>
      </c>
      <c r="AM63" s="11"/>
      <c r="AN63" s="11"/>
      <c r="AO63" s="11"/>
      <c r="AP63" s="11"/>
      <c r="AQ63" s="11"/>
      <c r="AR63" s="11"/>
      <c r="AS63" s="11"/>
      <c r="AT63" s="11"/>
      <c r="AU63" s="11"/>
      <c r="AV63" s="11"/>
      <c r="AW63" s="11"/>
      <c r="AX63" s="11"/>
    </row>
    <row r="64" spans="1:50" x14ac:dyDescent="0.2">
      <c r="L64" s="232" t="str">
        <f>'Occ T3'!A19</f>
        <v>32 Health and social care associate professionals</v>
      </c>
      <c r="M64" s="336">
        <f t="shared" ref="M64:AD64" si="93">M17/M$49</f>
        <v>1.4464859103666298E-2</v>
      </c>
      <c r="N64" s="336">
        <f t="shared" si="93"/>
        <v>1.807832995962777E-2</v>
      </c>
      <c r="O64" s="336">
        <f t="shared" si="93"/>
        <v>1.7596887215060093E-2</v>
      </c>
      <c r="P64" s="336">
        <f t="shared" si="93"/>
        <v>1.6835023880441072E-2</v>
      </c>
      <c r="Q64" s="336">
        <f t="shared" si="93"/>
        <v>1.7099214688823135E-2</v>
      </c>
      <c r="R64" s="336">
        <f t="shared" si="93"/>
        <v>1.6904725824281343E-2</v>
      </c>
      <c r="S64" s="336">
        <f t="shared" si="93"/>
        <v>1.6949451859567623E-2</v>
      </c>
      <c r="T64" s="336">
        <f t="shared" si="93"/>
        <v>1.6950548145102346E-2</v>
      </c>
      <c r="U64" s="336">
        <f t="shared" si="93"/>
        <v>1.8706919628800792E-2</v>
      </c>
      <c r="V64" s="336">
        <f t="shared" si="93"/>
        <v>1.8726241108293549E-2</v>
      </c>
      <c r="W64" s="336">
        <f t="shared" si="93"/>
        <v>1.9099852600871818E-2</v>
      </c>
      <c r="X64" s="336">
        <f t="shared" si="93"/>
        <v>2.7989587287140513E-2</v>
      </c>
      <c r="Y64" s="336">
        <f t="shared" si="93"/>
        <v>2.8421224156482138E-2</v>
      </c>
      <c r="Z64" s="336">
        <f t="shared" si="93"/>
        <v>2.8886158852397481E-2</v>
      </c>
      <c r="AA64" s="336">
        <f t="shared" si="93"/>
        <v>2.9310912538476563E-2</v>
      </c>
      <c r="AB64" s="336">
        <f t="shared" si="93"/>
        <v>2.9747018262255398E-2</v>
      </c>
      <c r="AC64" s="336">
        <f t="shared" si="93"/>
        <v>3.0170541209768337E-2</v>
      </c>
      <c r="AD64" s="336">
        <f t="shared" si="93"/>
        <v>3.0608684261622963E-2</v>
      </c>
      <c r="AE64" s="336">
        <f t="shared" ref="AE64:AL64" si="94">AE17/AE$49</f>
        <v>3.102051690538199E-2</v>
      </c>
      <c r="AF64" s="336">
        <f t="shared" si="94"/>
        <v>3.1447769286842744E-2</v>
      </c>
      <c r="AG64" s="336">
        <f t="shared" si="94"/>
        <v>3.1910857495809165E-2</v>
      </c>
      <c r="AH64" s="336">
        <f t="shared" si="94"/>
        <v>3.2394688559217184E-2</v>
      </c>
      <c r="AI64" s="336">
        <f t="shared" si="94"/>
        <v>3.2831516713947156E-2</v>
      </c>
      <c r="AJ64" s="336">
        <f t="shared" si="94"/>
        <v>3.324967321597027E-2</v>
      </c>
      <c r="AK64" s="336">
        <f t="shared" si="94"/>
        <v>3.367370231825239E-2</v>
      </c>
      <c r="AL64" s="336">
        <f t="shared" si="94"/>
        <v>3.409204004421186E-2</v>
      </c>
      <c r="AM64" s="11"/>
      <c r="AN64" s="11"/>
      <c r="AO64" s="11"/>
      <c r="AP64" s="11"/>
      <c r="AQ64" s="11"/>
      <c r="AR64" s="11"/>
      <c r="AS64" s="11"/>
      <c r="AT64" s="11"/>
      <c r="AU64" s="11"/>
      <c r="AV64" s="11"/>
      <c r="AW64" s="11"/>
      <c r="AX64" s="11"/>
    </row>
    <row r="65" spans="12:50" x14ac:dyDescent="0.2">
      <c r="L65" s="232" t="str">
        <f>'Occ T3'!A20</f>
        <v>33 Protective service occupations</v>
      </c>
      <c r="M65" s="336">
        <f t="shared" ref="M65:AD65" si="95">M18/M$49</f>
        <v>1.1107728403266175E-2</v>
      </c>
      <c r="N65" s="336">
        <f t="shared" si="95"/>
        <v>1.1605210215945192E-2</v>
      </c>
      <c r="O65" s="336">
        <f t="shared" si="95"/>
        <v>1.1363980905012032E-2</v>
      </c>
      <c r="P65" s="336">
        <f t="shared" si="95"/>
        <v>1.0895678165458837E-2</v>
      </c>
      <c r="Q65" s="336">
        <f t="shared" si="95"/>
        <v>1.1300745290059276E-2</v>
      </c>
      <c r="R65" s="336">
        <f t="shared" si="95"/>
        <v>1.0877546468121745E-2</v>
      </c>
      <c r="S65" s="336">
        <f t="shared" si="95"/>
        <v>1.1307710166522831E-2</v>
      </c>
      <c r="T65" s="336">
        <f t="shared" si="95"/>
        <v>1.0102065051830148E-2</v>
      </c>
      <c r="U65" s="336">
        <f t="shared" si="95"/>
        <v>1.0637776971027363E-2</v>
      </c>
      <c r="V65" s="336">
        <f t="shared" si="95"/>
        <v>1.059517935026193E-2</v>
      </c>
      <c r="W65" s="336">
        <f t="shared" si="95"/>
        <v>1.1121741303176429E-2</v>
      </c>
      <c r="X65" s="336">
        <f t="shared" si="95"/>
        <v>9.2355006258631762E-3</v>
      </c>
      <c r="Y65" s="336">
        <f t="shared" si="95"/>
        <v>9.3161439231654319E-3</v>
      </c>
      <c r="Z65" s="336">
        <f t="shared" si="95"/>
        <v>9.3833963073742168E-3</v>
      </c>
      <c r="AA65" s="336">
        <f t="shared" si="95"/>
        <v>9.4564364995025196E-3</v>
      </c>
      <c r="AB65" s="336">
        <f t="shared" si="95"/>
        <v>9.5056093098085312E-3</v>
      </c>
      <c r="AC65" s="336">
        <f t="shared" si="95"/>
        <v>9.5482118459502014E-3</v>
      </c>
      <c r="AD65" s="336">
        <f t="shared" si="95"/>
        <v>9.5925904481129146E-3</v>
      </c>
      <c r="AE65" s="336">
        <f t="shared" ref="AE65:AL65" si="96">AE18/AE$49</f>
        <v>9.6213526395666008E-3</v>
      </c>
      <c r="AF65" s="336">
        <f t="shared" si="96"/>
        <v>9.6646080909556162E-3</v>
      </c>
      <c r="AG65" s="336">
        <f t="shared" si="96"/>
        <v>9.685940339353754E-3</v>
      </c>
      <c r="AH65" s="336">
        <f t="shared" si="96"/>
        <v>9.7000466169154583E-3</v>
      </c>
      <c r="AI65" s="336">
        <f t="shared" si="96"/>
        <v>9.7031951960597964E-3</v>
      </c>
      <c r="AJ65" s="336">
        <f t="shared" si="96"/>
        <v>9.7426112735789598E-3</v>
      </c>
      <c r="AK65" s="336">
        <f t="shared" si="96"/>
        <v>9.7657530754428814E-3</v>
      </c>
      <c r="AL65" s="336">
        <f t="shared" si="96"/>
        <v>9.8083172482785596E-3</v>
      </c>
      <c r="AM65" s="11"/>
      <c r="AN65" s="11"/>
      <c r="AO65" s="11"/>
      <c r="AP65" s="11"/>
      <c r="AQ65" s="11"/>
      <c r="AR65" s="11"/>
      <c r="AS65" s="11"/>
      <c r="AT65" s="11"/>
      <c r="AU65" s="11"/>
      <c r="AV65" s="11"/>
      <c r="AW65" s="11"/>
      <c r="AX65" s="11"/>
    </row>
    <row r="66" spans="12:50" x14ac:dyDescent="0.2">
      <c r="L66" s="232" t="str">
        <f>'Occ T3'!A21</f>
        <v>34 Culture, media and sports occupations</v>
      </c>
      <c r="M66" s="336">
        <f t="shared" ref="M66:AD66" si="97">M19/M$49</f>
        <v>9.556281977055053E-3</v>
      </c>
      <c r="N66" s="336">
        <f t="shared" si="97"/>
        <v>1.1915124149812733E-2</v>
      </c>
      <c r="O66" s="336">
        <f t="shared" si="97"/>
        <v>1.189549617893791E-2</v>
      </c>
      <c r="P66" s="336">
        <f t="shared" si="97"/>
        <v>1.1278972148314916E-2</v>
      </c>
      <c r="Q66" s="336">
        <f t="shared" si="97"/>
        <v>1.1328044081879872E-2</v>
      </c>
      <c r="R66" s="336">
        <f t="shared" si="97"/>
        <v>1.2677602933301089E-2</v>
      </c>
      <c r="S66" s="336">
        <f t="shared" si="97"/>
        <v>1.235303980820557E-2</v>
      </c>
      <c r="T66" s="336">
        <f t="shared" si="97"/>
        <v>1.4011206757456511E-2</v>
      </c>
      <c r="U66" s="336">
        <f t="shared" si="97"/>
        <v>1.255445481012667E-2</v>
      </c>
      <c r="V66" s="336">
        <f t="shared" si="97"/>
        <v>1.2511429213220177E-2</v>
      </c>
      <c r="W66" s="336">
        <f t="shared" si="97"/>
        <v>1.2893342449383324E-2</v>
      </c>
      <c r="X66" s="336">
        <f t="shared" si="97"/>
        <v>1.0943208361069136E-2</v>
      </c>
      <c r="Y66" s="336">
        <f t="shared" si="97"/>
        <v>1.0768869067559018E-2</v>
      </c>
      <c r="Z66" s="336">
        <f t="shared" si="97"/>
        <v>1.0737284295077669E-2</v>
      </c>
      <c r="AA66" s="336">
        <f t="shared" si="97"/>
        <v>1.0778234878485353E-2</v>
      </c>
      <c r="AB66" s="336">
        <f t="shared" si="97"/>
        <v>1.0817423672539744E-2</v>
      </c>
      <c r="AC66" s="336">
        <f t="shared" si="97"/>
        <v>1.0850005582686111E-2</v>
      </c>
      <c r="AD66" s="336">
        <f t="shared" si="97"/>
        <v>1.0875741989578228E-2</v>
      </c>
      <c r="AE66" s="336">
        <f t="shared" ref="AE66:AL66" si="98">AE19/AE$49</f>
        <v>1.0910094819060214E-2</v>
      </c>
      <c r="AF66" s="336">
        <f t="shared" si="98"/>
        <v>1.094825722739483E-2</v>
      </c>
      <c r="AG66" s="336">
        <f t="shared" si="98"/>
        <v>1.0986780217161282E-2</v>
      </c>
      <c r="AH66" s="336">
        <f t="shared" si="98"/>
        <v>1.1041567824438223E-2</v>
      </c>
      <c r="AI66" s="336">
        <f t="shared" si="98"/>
        <v>1.1074714123662871E-2</v>
      </c>
      <c r="AJ66" s="336">
        <f t="shared" si="98"/>
        <v>1.1103228202445321E-2</v>
      </c>
      <c r="AK66" s="336">
        <f t="shared" si="98"/>
        <v>1.1134755310806118E-2</v>
      </c>
      <c r="AL66" s="336">
        <f t="shared" si="98"/>
        <v>1.1167144494889964E-2</v>
      </c>
      <c r="AM66" s="11"/>
      <c r="AN66" s="11"/>
      <c r="AO66" s="11"/>
      <c r="AP66" s="11"/>
      <c r="AQ66" s="11"/>
      <c r="AR66" s="11"/>
      <c r="AS66" s="11"/>
      <c r="AT66" s="11"/>
      <c r="AU66" s="11"/>
      <c r="AV66" s="11"/>
      <c r="AW66" s="11"/>
      <c r="AX66" s="11"/>
    </row>
    <row r="67" spans="12:50" x14ac:dyDescent="0.2">
      <c r="L67" s="232" t="str">
        <f>'Occ T3'!A22</f>
        <v>35 Business and public service associate professionals</v>
      </c>
      <c r="M67" s="336">
        <f t="shared" ref="M67:AD67" si="99">M20/M$49</f>
        <v>5.3382001311138766E-2</v>
      </c>
      <c r="N67" s="336">
        <f t="shared" si="99"/>
        <v>4.9010002945197681E-2</v>
      </c>
      <c r="O67" s="336">
        <f t="shared" si="99"/>
        <v>5.0541141182757057E-2</v>
      </c>
      <c r="P67" s="336">
        <f t="shared" si="99"/>
        <v>4.9905968663560306E-2</v>
      </c>
      <c r="Q67" s="336">
        <f t="shared" si="99"/>
        <v>5.2294232019643713E-2</v>
      </c>
      <c r="R67" s="336">
        <f t="shared" si="99"/>
        <v>5.1341590431804175E-2</v>
      </c>
      <c r="S67" s="336">
        <f t="shared" si="99"/>
        <v>5.0405717496525955E-2</v>
      </c>
      <c r="T67" s="336">
        <f t="shared" si="99"/>
        <v>5.170664417030188E-2</v>
      </c>
      <c r="U67" s="336">
        <f t="shared" si="99"/>
        <v>5.1807773909285232E-2</v>
      </c>
      <c r="V67" s="336">
        <f t="shared" si="99"/>
        <v>5.3011283209617108E-2</v>
      </c>
      <c r="W67" s="336">
        <f t="shared" si="99"/>
        <v>5.6383615084958434E-2</v>
      </c>
      <c r="X67" s="336">
        <f t="shared" si="99"/>
        <v>5.4905145972782871E-2</v>
      </c>
      <c r="Y67" s="336">
        <f t="shared" si="99"/>
        <v>5.5100342889360616E-2</v>
      </c>
      <c r="Z67" s="336">
        <f t="shared" si="99"/>
        <v>5.5276230640687853E-2</v>
      </c>
      <c r="AA67" s="336">
        <f t="shared" si="99"/>
        <v>5.5431301219412379E-2</v>
      </c>
      <c r="AB67" s="336">
        <f t="shared" si="99"/>
        <v>5.5559544800752571E-2</v>
      </c>
      <c r="AC67" s="336">
        <f t="shared" si="99"/>
        <v>5.5700903909663819E-2</v>
      </c>
      <c r="AD67" s="336">
        <f t="shared" si="99"/>
        <v>5.5832014159468202E-2</v>
      </c>
      <c r="AE67" s="336">
        <f t="shared" ref="AE67:AL67" si="100">AE20/AE$49</f>
        <v>5.5943256603226098E-2</v>
      </c>
      <c r="AF67" s="336">
        <f t="shared" si="100"/>
        <v>5.6053365597228427E-2</v>
      </c>
      <c r="AG67" s="336">
        <f t="shared" si="100"/>
        <v>5.6163070475715574E-2</v>
      </c>
      <c r="AH67" s="336">
        <f t="shared" si="100"/>
        <v>5.6283583378219801E-2</v>
      </c>
      <c r="AI67" s="336">
        <f t="shared" si="100"/>
        <v>5.6400367993929015E-2</v>
      </c>
      <c r="AJ67" s="336">
        <f t="shared" si="100"/>
        <v>5.6530825936655385E-2</v>
      </c>
      <c r="AK67" s="336">
        <f t="shared" si="100"/>
        <v>5.6680527318802416E-2</v>
      </c>
      <c r="AL67" s="336">
        <f t="shared" si="100"/>
        <v>5.684593786284841E-2</v>
      </c>
      <c r="AM67" s="11"/>
      <c r="AN67" s="11"/>
      <c r="AO67" s="11"/>
      <c r="AP67" s="11"/>
      <c r="AQ67" s="11"/>
      <c r="AR67" s="11"/>
      <c r="AS67" s="11"/>
      <c r="AT67" s="11"/>
      <c r="AU67" s="11"/>
      <c r="AV67" s="11"/>
      <c r="AW67" s="11"/>
      <c r="AX67" s="11"/>
    </row>
    <row r="68" spans="12:50" x14ac:dyDescent="0.2">
      <c r="L68" s="232"/>
      <c r="M68" s="336"/>
      <c r="N68" s="336"/>
      <c r="O68" s="336"/>
      <c r="P68" s="336"/>
      <c r="Q68" s="336"/>
      <c r="R68" s="336"/>
      <c r="S68" s="336"/>
      <c r="T68" s="336"/>
      <c r="U68" s="336"/>
      <c r="V68" s="336"/>
      <c r="W68" s="336"/>
      <c r="X68" s="336"/>
      <c r="Y68" s="336"/>
      <c r="Z68" s="336"/>
      <c r="AA68" s="336"/>
      <c r="AB68" s="336"/>
      <c r="AC68" s="336"/>
      <c r="AD68" s="336"/>
      <c r="AE68" s="336"/>
      <c r="AF68" s="336"/>
      <c r="AG68" s="336"/>
      <c r="AH68" s="336"/>
      <c r="AI68" s="336"/>
      <c r="AJ68" s="336"/>
      <c r="AK68" s="336"/>
      <c r="AL68" s="336"/>
      <c r="AM68" s="11"/>
      <c r="AN68" s="11"/>
      <c r="AO68" s="11"/>
      <c r="AP68" s="11"/>
      <c r="AQ68" s="11"/>
      <c r="AR68" s="11"/>
      <c r="AS68" s="11"/>
      <c r="AT68" s="11"/>
      <c r="AU68" s="11"/>
      <c r="AV68" s="11"/>
      <c r="AW68" s="11"/>
      <c r="AX68" s="11"/>
    </row>
    <row r="69" spans="12:50" x14ac:dyDescent="0.2">
      <c r="L69" s="17" t="str">
        <f>'Occ T3'!A24</f>
        <v>Administrative and secretarial occupations</v>
      </c>
      <c r="M69" s="337">
        <f t="shared" ref="M69:AD69" si="101">M22/M$49</f>
        <v>0.10534472288288947</v>
      </c>
      <c r="N69" s="337">
        <f t="shared" si="101"/>
        <v>0.10422187945125197</v>
      </c>
      <c r="O69" s="337">
        <f t="shared" si="101"/>
        <v>0.10371505184571922</v>
      </c>
      <c r="P69" s="337">
        <f t="shared" si="101"/>
        <v>0.1041135591584265</v>
      </c>
      <c r="Q69" s="337">
        <f t="shared" si="101"/>
        <v>0.10297552906033186</v>
      </c>
      <c r="R69" s="337">
        <f t="shared" si="101"/>
        <v>0.10240410371723356</v>
      </c>
      <c r="S69" s="337">
        <f t="shared" si="101"/>
        <v>9.6435129819255977E-2</v>
      </c>
      <c r="T69" s="337">
        <f t="shared" si="101"/>
        <v>9.9759855735483738E-2</v>
      </c>
      <c r="U69" s="337">
        <f t="shared" si="101"/>
        <v>9.9316614753770585E-2</v>
      </c>
      <c r="V69" s="337">
        <f t="shared" si="101"/>
        <v>9.6436763737944561E-2</v>
      </c>
      <c r="W69" s="337">
        <f t="shared" si="101"/>
        <v>9.935444728424335E-2</v>
      </c>
      <c r="X69" s="337">
        <f t="shared" si="101"/>
        <v>0.10051681639232823</v>
      </c>
      <c r="Y69" s="337">
        <f t="shared" si="101"/>
        <v>9.9898949325050279E-2</v>
      </c>
      <c r="Z69" s="337">
        <f t="shared" si="101"/>
        <v>9.9281460103402247E-2</v>
      </c>
      <c r="AA69" s="337">
        <f t="shared" si="101"/>
        <v>9.8732822185213009E-2</v>
      </c>
      <c r="AB69" s="337">
        <f t="shared" si="101"/>
        <v>9.8064776745205612E-2</v>
      </c>
      <c r="AC69" s="337">
        <f t="shared" si="101"/>
        <v>9.7410872160658954E-2</v>
      </c>
      <c r="AD69" s="337">
        <f t="shared" si="101"/>
        <v>9.6771954178540648E-2</v>
      </c>
      <c r="AE69" s="337">
        <f t="shared" ref="AE69:AL69" si="102">AE22/AE$49</f>
        <v>9.6115474533895295E-2</v>
      </c>
      <c r="AF69" s="337">
        <f t="shared" si="102"/>
        <v>9.539162364702615E-2</v>
      </c>
      <c r="AG69" s="337">
        <f t="shared" si="102"/>
        <v>9.4554770962258727E-2</v>
      </c>
      <c r="AH69" s="337">
        <f t="shared" si="102"/>
        <v>9.3634314101895627E-2</v>
      </c>
      <c r="AI69" s="337">
        <f t="shared" si="102"/>
        <v>9.289548153675932E-2</v>
      </c>
      <c r="AJ69" s="337">
        <f t="shared" si="102"/>
        <v>9.2114332426372167E-2</v>
      </c>
      <c r="AK69" s="337">
        <f t="shared" si="102"/>
        <v>9.1302573056290859E-2</v>
      </c>
      <c r="AL69" s="337">
        <f t="shared" si="102"/>
        <v>9.0402592340431923E-2</v>
      </c>
      <c r="AM69" s="11"/>
      <c r="AN69" s="11"/>
      <c r="AO69" s="11"/>
      <c r="AP69" s="11"/>
      <c r="AQ69" s="11"/>
      <c r="AR69" s="11"/>
      <c r="AS69" s="11"/>
      <c r="AT69" s="11"/>
      <c r="AU69" s="11"/>
      <c r="AV69" s="11"/>
      <c r="AW69" s="11"/>
      <c r="AX69" s="11"/>
    </row>
    <row r="70" spans="12:50" x14ac:dyDescent="0.2">
      <c r="L70" s="232" t="str">
        <f>'Occ T3'!A25</f>
        <v>41 Administrative occupations</v>
      </c>
      <c r="M70" s="336">
        <f t="shared" ref="M70:AD70" si="103">M23/M$49</f>
        <v>8.169378493961163E-2</v>
      </c>
      <c r="N70" s="336">
        <f t="shared" si="103"/>
        <v>8.2301256353620997E-2</v>
      </c>
      <c r="O70" s="336">
        <f t="shared" si="103"/>
        <v>8.2403492998204098E-2</v>
      </c>
      <c r="P70" s="336">
        <f t="shared" si="103"/>
        <v>8.1334816241440469E-2</v>
      </c>
      <c r="Q70" s="336">
        <f t="shared" si="103"/>
        <v>8.1383605480835897E-2</v>
      </c>
      <c r="R70" s="336">
        <f t="shared" si="103"/>
        <v>8.2462593639061818E-2</v>
      </c>
      <c r="S70" s="336">
        <f t="shared" si="103"/>
        <v>7.787041500302333E-2</v>
      </c>
      <c r="T70" s="336">
        <f t="shared" si="103"/>
        <v>8.0442962269212673E-2</v>
      </c>
      <c r="U70" s="336">
        <f t="shared" si="103"/>
        <v>7.9547556595563423E-2</v>
      </c>
      <c r="V70" s="336">
        <f t="shared" si="103"/>
        <v>7.8327508364563161E-2</v>
      </c>
      <c r="W70" s="336">
        <f t="shared" si="103"/>
        <v>8.1608034922965034E-2</v>
      </c>
      <c r="X70" s="336">
        <f t="shared" si="103"/>
        <v>8.3034787659365658E-2</v>
      </c>
      <c r="Y70" s="336">
        <f t="shared" si="103"/>
        <v>8.2734491190422074E-2</v>
      </c>
      <c r="Z70" s="336">
        <f t="shared" si="103"/>
        <v>8.2435410269829465E-2</v>
      </c>
      <c r="AA70" s="336">
        <f t="shared" si="103"/>
        <v>8.2162100514064057E-2</v>
      </c>
      <c r="AB70" s="336">
        <f t="shared" si="103"/>
        <v>8.1821573676010367E-2</v>
      </c>
      <c r="AC70" s="336">
        <f t="shared" si="103"/>
        <v>8.1524664305915984E-2</v>
      </c>
      <c r="AD70" s="336">
        <f t="shared" si="103"/>
        <v>8.1233549657743376E-2</v>
      </c>
      <c r="AE70" s="336">
        <f t="shared" ref="AE70:AL70" si="104">AE23/AE$49</f>
        <v>8.0873794160162077E-2</v>
      </c>
      <c r="AF70" s="336">
        <f t="shared" si="104"/>
        <v>8.0523252791691327E-2</v>
      </c>
      <c r="AG70" s="336">
        <f t="shared" si="104"/>
        <v>8.0193184898569275E-2</v>
      </c>
      <c r="AH70" s="336">
        <f t="shared" si="104"/>
        <v>7.9872911272389713E-2</v>
      </c>
      <c r="AI70" s="336">
        <f t="shared" si="104"/>
        <v>7.954067216638265E-2</v>
      </c>
      <c r="AJ70" s="336">
        <f t="shared" si="104"/>
        <v>7.9200604934056298E-2</v>
      </c>
      <c r="AK70" s="336">
        <f t="shared" si="104"/>
        <v>7.883469761347818E-2</v>
      </c>
      <c r="AL70" s="336">
        <f t="shared" si="104"/>
        <v>7.8416352542822698E-2</v>
      </c>
      <c r="AM70" s="11"/>
      <c r="AN70" s="11"/>
      <c r="AO70" s="11"/>
      <c r="AP70" s="11"/>
      <c r="AQ70" s="11"/>
      <c r="AR70" s="11"/>
      <c r="AS70" s="11"/>
      <c r="AT70" s="11"/>
      <c r="AU70" s="11"/>
      <c r="AV70" s="11"/>
      <c r="AW70" s="11"/>
      <c r="AX70" s="11"/>
    </row>
    <row r="71" spans="12:50" x14ac:dyDescent="0.2">
      <c r="L71" s="232" t="str">
        <f>'Occ T3'!A26</f>
        <v>42 Secretarial and related occupations</v>
      </c>
      <c r="M71" s="336">
        <f t="shared" ref="M71:AD71" si="105">M24/M$49</f>
        <v>2.3650937943277838E-2</v>
      </c>
      <c r="N71" s="336">
        <f t="shared" si="105"/>
        <v>2.1920623097630973E-2</v>
      </c>
      <c r="O71" s="336">
        <f t="shared" si="105"/>
        <v>2.1311558847515129E-2</v>
      </c>
      <c r="P71" s="336">
        <f t="shared" si="105"/>
        <v>2.277874291698603E-2</v>
      </c>
      <c r="Q71" s="336">
        <f t="shared" si="105"/>
        <v>2.1591923579495964E-2</v>
      </c>
      <c r="R71" s="336">
        <f t="shared" si="105"/>
        <v>1.9941510078171739E-2</v>
      </c>
      <c r="S71" s="336">
        <f t="shared" si="105"/>
        <v>1.8564714816232637E-2</v>
      </c>
      <c r="T71" s="336">
        <f t="shared" si="105"/>
        <v>1.9316893466271069E-2</v>
      </c>
      <c r="U71" s="336">
        <f t="shared" si="105"/>
        <v>1.9769058158207169E-2</v>
      </c>
      <c r="V71" s="336">
        <f t="shared" si="105"/>
        <v>1.8109255373381386E-2</v>
      </c>
      <c r="W71" s="336">
        <f t="shared" si="105"/>
        <v>1.7746412361278323E-2</v>
      </c>
      <c r="X71" s="336">
        <f t="shared" si="105"/>
        <v>1.748202873296258E-2</v>
      </c>
      <c r="Y71" s="336">
        <f t="shared" si="105"/>
        <v>1.7164458134628191E-2</v>
      </c>
      <c r="Z71" s="336">
        <f t="shared" si="105"/>
        <v>1.6846049833572782E-2</v>
      </c>
      <c r="AA71" s="336">
        <f t="shared" si="105"/>
        <v>1.6570721671148952E-2</v>
      </c>
      <c r="AB71" s="336">
        <f t="shared" si="105"/>
        <v>1.6243203069195241E-2</v>
      </c>
      <c r="AC71" s="336">
        <f t="shared" si="105"/>
        <v>1.5886207854742967E-2</v>
      </c>
      <c r="AD71" s="336">
        <f t="shared" si="105"/>
        <v>1.5538404520797284E-2</v>
      </c>
      <c r="AE71" s="336">
        <f t="shared" ref="AE71:AL71" si="106">AE24/AE$49</f>
        <v>1.5241680373733215E-2</v>
      </c>
      <c r="AF71" s="336">
        <f t="shared" si="106"/>
        <v>1.4868370855334826E-2</v>
      </c>
      <c r="AG71" s="336">
        <f t="shared" si="106"/>
        <v>1.4361586063689447E-2</v>
      </c>
      <c r="AH71" s="336">
        <f t="shared" si="106"/>
        <v>1.3761402829505907E-2</v>
      </c>
      <c r="AI71" s="336">
        <f t="shared" si="106"/>
        <v>1.3354809370376679E-2</v>
      </c>
      <c r="AJ71" s="336">
        <f t="shared" si="106"/>
        <v>1.2913727492315868E-2</v>
      </c>
      <c r="AK71" s="336">
        <f t="shared" si="106"/>
        <v>1.2467875442812673E-2</v>
      </c>
      <c r="AL71" s="336">
        <f t="shared" si="106"/>
        <v>1.1986239797609221E-2</v>
      </c>
      <c r="AM71" s="11"/>
      <c r="AN71" s="11"/>
      <c r="AO71" s="11"/>
      <c r="AP71" s="11"/>
      <c r="AQ71" s="11"/>
      <c r="AR71" s="11"/>
      <c r="AS71" s="11"/>
      <c r="AT71" s="11"/>
      <c r="AU71" s="11"/>
      <c r="AV71" s="11"/>
      <c r="AW71" s="11"/>
      <c r="AX71" s="11"/>
    </row>
    <row r="72" spans="12:50" x14ac:dyDescent="0.2">
      <c r="L72" s="232"/>
      <c r="M72" s="336"/>
      <c r="N72" s="336"/>
      <c r="O72" s="336"/>
      <c r="P72" s="336"/>
      <c r="Q72" s="336"/>
      <c r="R72" s="336"/>
      <c r="S72" s="336"/>
      <c r="T72" s="336"/>
      <c r="U72" s="336"/>
      <c r="V72" s="336"/>
      <c r="W72" s="336"/>
      <c r="X72" s="336"/>
      <c r="Y72" s="336"/>
      <c r="Z72" s="336"/>
      <c r="AA72" s="336"/>
      <c r="AB72" s="336"/>
      <c r="AC72" s="336"/>
      <c r="AD72" s="336"/>
      <c r="AE72" s="336"/>
      <c r="AF72" s="336"/>
      <c r="AG72" s="336"/>
      <c r="AH72" s="336"/>
      <c r="AI72" s="336"/>
      <c r="AJ72" s="336"/>
      <c r="AK72" s="336"/>
      <c r="AL72" s="336"/>
      <c r="AM72" s="11"/>
      <c r="AN72" s="11"/>
      <c r="AO72" s="11"/>
      <c r="AP72" s="11"/>
      <c r="AQ72" s="11"/>
      <c r="AR72" s="11"/>
      <c r="AS72" s="11"/>
      <c r="AT72" s="11"/>
      <c r="AU72" s="11"/>
      <c r="AV72" s="11"/>
      <c r="AW72" s="11"/>
      <c r="AX72" s="11"/>
    </row>
    <row r="73" spans="12:50" x14ac:dyDescent="0.2">
      <c r="L73" s="17" t="str">
        <f>'Occ T3'!A28</f>
        <v>Skilled trades occupations</v>
      </c>
      <c r="M73" s="337">
        <f t="shared" ref="M73:AD73" si="107">M26/M$49</f>
        <v>0.11085572761886532</v>
      </c>
      <c r="N73" s="337">
        <f t="shared" si="107"/>
        <v>0.1171272802055463</v>
      </c>
      <c r="O73" s="337">
        <f t="shared" si="107"/>
        <v>0.11763450377972449</v>
      </c>
      <c r="P73" s="337">
        <f t="shared" si="107"/>
        <v>0.10927274481286592</v>
      </c>
      <c r="Q73" s="337">
        <f t="shared" si="107"/>
        <v>0.11098871658547953</v>
      </c>
      <c r="R73" s="337">
        <f t="shared" si="107"/>
        <v>0.11078850490546231</v>
      </c>
      <c r="S73" s="337">
        <f t="shared" si="107"/>
        <v>0.10978668231162099</v>
      </c>
      <c r="T73" s="337">
        <f t="shared" si="107"/>
        <v>0.110639119724149</v>
      </c>
      <c r="U73" s="337">
        <f t="shared" si="107"/>
        <v>0.10558703720770284</v>
      </c>
      <c r="V73" s="337">
        <f t="shared" si="107"/>
        <v>0.10167530731431138</v>
      </c>
      <c r="W73" s="337">
        <f t="shared" si="107"/>
        <v>9.4267091935209976E-2</v>
      </c>
      <c r="X73" s="337">
        <f t="shared" si="107"/>
        <v>9.4183601389623534E-2</v>
      </c>
      <c r="Y73" s="337">
        <f t="shared" si="107"/>
        <v>9.3120621987550181E-2</v>
      </c>
      <c r="Z73" s="337">
        <f t="shared" si="107"/>
        <v>9.1953766443766585E-2</v>
      </c>
      <c r="AA73" s="337">
        <f t="shared" si="107"/>
        <v>9.0859358900063233E-2</v>
      </c>
      <c r="AB73" s="337">
        <f t="shared" si="107"/>
        <v>8.9916979844617245E-2</v>
      </c>
      <c r="AC73" s="337">
        <f t="shared" si="107"/>
        <v>8.9003138668298107E-2</v>
      </c>
      <c r="AD73" s="337">
        <f t="shared" si="107"/>
        <v>8.8026044782767043E-2</v>
      </c>
      <c r="AE73" s="337">
        <f t="shared" ref="AE73:AL73" si="108">AE26/AE$49</f>
        <v>8.7099315593631557E-2</v>
      </c>
      <c r="AF73" s="337">
        <f t="shared" si="108"/>
        <v>8.6200136888932188E-2</v>
      </c>
      <c r="AG73" s="337">
        <f t="shared" si="108"/>
        <v>8.5319078821238251E-2</v>
      </c>
      <c r="AH73" s="337">
        <f t="shared" si="108"/>
        <v>8.4466289293662469E-2</v>
      </c>
      <c r="AI73" s="337">
        <f t="shared" si="108"/>
        <v>8.3621715730066465E-2</v>
      </c>
      <c r="AJ73" s="337">
        <f t="shared" si="108"/>
        <v>8.2798627747197248E-2</v>
      </c>
      <c r="AK73" s="337">
        <f t="shared" si="108"/>
        <v>8.1960531735022199E-2</v>
      </c>
      <c r="AL73" s="337">
        <f t="shared" si="108"/>
        <v>8.1129511854474284E-2</v>
      </c>
      <c r="AM73" s="11"/>
      <c r="AN73" s="11"/>
      <c r="AO73" s="11"/>
      <c r="AP73" s="11"/>
      <c r="AQ73" s="11"/>
      <c r="AR73" s="11"/>
      <c r="AS73" s="11"/>
      <c r="AT73" s="11"/>
      <c r="AU73" s="11"/>
      <c r="AV73" s="11"/>
      <c r="AW73" s="11"/>
      <c r="AX73" s="11"/>
    </row>
    <row r="74" spans="12:50" x14ac:dyDescent="0.2">
      <c r="L74" s="232" t="str">
        <f>'Occ T3'!A29</f>
        <v>51 Skilled agricultural and related trades</v>
      </c>
      <c r="M74" s="336">
        <f t="shared" ref="M74:AD74" si="109">M27/M$49</f>
        <v>1.7080271026611738E-2</v>
      </c>
      <c r="N74" s="336">
        <f t="shared" si="109"/>
        <v>2.2684913703183256E-2</v>
      </c>
      <c r="O74" s="336">
        <f t="shared" si="109"/>
        <v>2.3141095306460802E-2</v>
      </c>
      <c r="P74" s="336">
        <f t="shared" si="109"/>
        <v>1.9517299638817789E-2</v>
      </c>
      <c r="Q74" s="336">
        <f t="shared" si="109"/>
        <v>1.6216676447552605E-2</v>
      </c>
      <c r="R74" s="336">
        <f t="shared" si="109"/>
        <v>1.7848103650041126E-2</v>
      </c>
      <c r="S74" s="336">
        <f t="shared" si="109"/>
        <v>1.9057815394220825E-2</v>
      </c>
      <c r="T74" s="336">
        <f t="shared" si="109"/>
        <v>2.0011759924513085E-2</v>
      </c>
      <c r="U74" s="336">
        <f t="shared" si="109"/>
        <v>1.7924558708632223E-2</v>
      </c>
      <c r="V74" s="336">
        <f t="shared" si="109"/>
        <v>1.6759174272755726E-2</v>
      </c>
      <c r="W74" s="336">
        <f t="shared" si="109"/>
        <v>1.9527165192674695E-2</v>
      </c>
      <c r="X74" s="336">
        <f t="shared" si="109"/>
        <v>1.8350649502775027E-2</v>
      </c>
      <c r="Y74" s="336">
        <f t="shared" si="109"/>
        <v>1.8238434557016469E-2</v>
      </c>
      <c r="Z74" s="336">
        <f t="shared" si="109"/>
        <v>1.813825653205027E-2</v>
      </c>
      <c r="AA74" s="336">
        <f t="shared" si="109"/>
        <v>1.8022659216863059E-2</v>
      </c>
      <c r="AB74" s="336">
        <f t="shared" si="109"/>
        <v>1.7920276457612627E-2</v>
      </c>
      <c r="AC74" s="336">
        <f t="shared" si="109"/>
        <v>1.7813806836130555E-2</v>
      </c>
      <c r="AD74" s="336">
        <f t="shared" si="109"/>
        <v>1.7686411921385172E-2</v>
      </c>
      <c r="AE74" s="336">
        <f t="shared" ref="AE74:AL74" si="110">AE27/AE$49</f>
        <v>1.7611297916163452E-2</v>
      </c>
      <c r="AF74" s="336">
        <f t="shared" si="110"/>
        <v>1.7568738810279802E-2</v>
      </c>
      <c r="AG74" s="336">
        <f t="shared" si="110"/>
        <v>1.7526231723528966E-2</v>
      </c>
      <c r="AH74" s="336">
        <f t="shared" si="110"/>
        <v>1.7485373722702872E-2</v>
      </c>
      <c r="AI74" s="336">
        <f t="shared" si="110"/>
        <v>1.7443420744508484E-2</v>
      </c>
      <c r="AJ74" s="336">
        <f t="shared" si="110"/>
        <v>1.7414678258069635E-2</v>
      </c>
      <c r="AK74" s="336">
        <f t="shared" si="110"/>
        <v>1.7385392853073275E-2</v>
      </c>
      <c r="AL74" s="336">
        <f t="shared" si="110"/>
        <v>1.7357396558979114E-2</v>
      </c>
      <c r="AM74" s="11"/>
      <c r="AN74" s="11"/>
      <c r="AO74" s="11"/>
      <c r="AP74" s="11"/>
      <c r="AQ74" s="11"/>
      <c r="AR74" s="11"/>
      <c r="AS74" s="11"/>
      <c r="AT74" s="11"/>
      <c r="AU74" s="11"/>
      <c r="AV74" s="11"/>
      <c r="AW74" s="11"/>
      <c r="AX74" s="11"/>
    </row>
    <row r="75" spans="12:50" x14ac:dyDescent="0.2">
      <c r="L75" s="232" t="str">
        <f>'Occ T3'!A30</f>
        <v>52 Skilled metal, electrical and electronic trades</v>
      </c>
      <c r="M75" s="336">
        <f t="shared" ref="M75:AD75" si="111">M28/M$49</f>
        <v>4.126998532112993E-2</v>
      </c>
      <c r="N75" s="336">
        <f t="shared" si="111"/>
        <v>4.2068927340359691E-2</v>
      </c>
      <c r="O75" s="336">
        <f t="shared" si="111"/>
        <v>4.1505820302123041E-2</v>
      </c>
      <c r="P75" s="336">
        <f t="shared" si="111"/>
        <v>3.9589661786674633E-2</v>
      </c>
      <c r="Q75" s="336">
        <f t="shared" si="111"/>
        <v>4.3574034951713574E-2</v>
      </c>
      <c r="R75" s="336">
        <f t="shared" si="111"/>
        <v>4.2206499913806955E-2</v>
      </c>
      <c r="S75" s="336">
        <f t="shared" si="111"/>
        <v>4.0525355102773442E-2</v>
      </c>
      <c r="T75" s="336">
        <f t="shared" si="111"/>
        <v>4.0722606746904297E-2</v>
      </c>
      <c r="U75" s="336">
        <f t="shared" si="111"/>
        <v>3.9374661767493963E-2</v>
      </c>
      <c r="V75" s="336">
        <f t="shared" si="111"/>
        <v>4.0120177592011134E-2</v>
      </c>
      <c r="W75" s="336">
        <f t="shared" si="111"/>
        <v>3.5458321083043601E-2</v>
      </c>
      <c r="X75" s="336">
        <f t="shared" si="111"/>
        <v>3.5464420700843928E-2</v>
      </c>
      <c r="Y75" s="336">
        <f t="shared" si="111"/>
        <v>3.5119216905620657E-2</v>
      </c>
      <c r="Z75" s="336">
        <f t="shared" si="111"/>
        <v>3.4689572580457129E-2</v>
      </c>
      <c r="AA75" s="336">
        <f t="shared" si="111"/>
        <v>3.4296054541190467E-2</v>
      </c>
      <c r="AB75" s="336">
        <f t="shared" si="111"/>
        <v>3.3951634820011657E-2</v>
      </c>
      <c r="AC75" s="336">
        <f t="shared" si="111"/>
        <v>3.3620770440992348E-2</v>
      </c>
      <c r="AD75" s="336">
        <f t="shared" si="111"/>
        <v>3.3291659979963382E-2</v>
      </c>
      <c r="AE75" s="336">
        <f t="shared" ref="AE75:AL75" si="112">AE28/AE$49</f>
        <v>3.2971426035853721E-2</v>
      </c>
      <c r="AF75" s="336">
        <f t="shared" si="112"/>
        <v>3.2653269253474872E-2</v>
      </c>
      <c r="AG75" s="336">
        <f t="shared" si="112"/>
        <v>3.2335806965615166E-2</v>
      </c>
      <c r="AH75" s="336">
        <f t="shared" si="112"/>
        <v>3.2014527516282192E-2</v>
      </c>
      <c r="AI75" s="336">
        <f t="shared" si="112"/>
        <v>3.1693123354547652E-2</v>
      </c>
      <c r="AJ75" s="336">
        <f t="shared" si="112"/>
        <v>3.1376245374706811E-2</v>
      </c>
      <c r="AK75" s="336">
        <f t="shared" si="112"/>
        <v>3.1058888300950365E-2</v>
      </c>
      <c r="AL75" s="336">
        <f t="shared" si="112"/>
        <v>3.074909910446778E-2</v>
      </c>
      <c r="AM75" s="11"/>
      <c r="AN75" s="11"/>
      <c r="AO75" s="11"/>
      <c r="AP75" s="11"/>
      <c r="AQ75" s="11"/>
      <c r="AR75" s="11"/>
      <c r="AS75" s="11"/>
      <c r="AT75" s="11"/>
      <c r="AU75" s="11"/>
      <c r="AV75" s="11"/>
      <c r="AW75" s="11"/>
      <c r="AX75" s="11"/>
    </row>
    <row r="76" spans="12:50" x14ac:dyDescent="0.2">
      <c r="L76" s="232" t="str">
        <f>'Occ T3'!A31</f>
        <v>53 Skilled construction and building trades</v>
      </c>
      <c r="M76" s="336">
        <f t="shared" ref="M76:AD76" si="113">M29/M$49</f>
        <v>3.2111744387997528E-2</v>
      </c>
      <c r="N76" s="336">
        <f t="shared" si="113"/>
        <v>3.1714207207679396E-2</v>
      </c>
      <c r="O76" s="336">
        <f t="shared" si="113"/>
        <v>3.2038423837430025E-2</v>
      </c>
      <c r="P76" s="336">
        <f t="shared" si="113"/>
        <v>2.8848397656631521E-2</v>
      </c>
      <c r="Q76" s="336">
        <f t="shared" si="113"/>
        <v>3.0889382561960593E-2</v>
      </c>
      <c r="R76" s="336">
        <f t="shared" si="113"/>
        <v>2.8854258911017113E-2</v>
      </c>
      <c r="S76" s="336">
        <f t="shared" si="113"/>
        <v>2.9019113428128678E-2</v>
      </c>
      <c r="T76" s="336">
        <f t="shared" si="113"/>
        <v>2.9196429952934741E-2</v>
      </c>
      <c r="U76" s="336">
        <f t="shared" si="113"/>
        <v>2.8348928305562057E-2</v>
      </c>
      <c r="V76" s="336">
        <f t="shared" si="113"/>
        <v>2.6586255295954625E-2</v>
      </c>
      <c r="W76" s="336">
        <f t="shared" si="113"/>
        <v>2.1686681302656174E-2</v>
      </c>
      <c r="X76" s="336">
        <f t="shared" si="113"/>
        <v>2.2269154129596052E-2</v>
      </c>
      <c r="Y76" s="336">
        <f t="shared" si="113"/>
        <v>2.1827659822110192E-2</v>
      </c>
      <c r="Z76" s="336">
        <f t="shared" si="113"/>
        <v>2.1376678096402264E-2</v>
      </c>
      <c r="AA76" s="336">
        <f t="shared" si="113"/>
        <v>2.0966342180368115E-2</v>
      </c>
      <c r="AB76" s="336">
        <f t="shared" si="113"/>
        <v>2.0620504005117953E-2</v>
      </c>
      <c r="AC76" s="336">
        <f t="shared" si="113"/>
        <v>2.0286601974244912E-2</v>
      </c>
      <c r="AD76" s="336">
        <f t="shared" si="113"/>
        <v>1.9946732735290972E-2</v>
      </c>
      <c r="AE76" s="336">
        <f t="shared" ref="AE76:AL76" si="114">AE29/AE$49</f>
        <v>1.9604266192346349E-2</v>
      </c>
      <c r="AF76" s="336">
        <f t="shared" si="114"/>
        <v>1.9260227391136447E-2</v>
      </c>
      <c r="AG76" s="336">
        <f t="shared" si="114"/>
        <v>1.8913694605156333E-2</v>
      </c>
      <c r="AH76" s="336">
        <f t="shared" si="114"/>
        <v>1.8577407133760986E-2</v>
      </c>
      <c r="AI76" s="336">
        <f t="shared" si="114"/>
        <v>1.8250624775884631E-2</v>
      </c>
      <c r="AJ76" s="336">
        <f t="shared" si="114"/>
        <v>1.7926083318678235E-2</v>
      </c>
      <c r="AK76" s="336">
        <f t="shared" si="114"/>
        <v>1.7603361413645966E-2</v>
      </c>
      <c r="AL76" s="336">
        <f t="shared" si="114"/>
        <v>1.7283810840652222E-2</v>
      </c>
      <c r="AM76" s="11"/>
      <c r="AN76" s="11"/>
      <c r="AO76" s="11"/>
      <c r="AP76" s="11"/>
      <c r="AQ76" s="11"/>
      <c r="AR76" s="11"/>
      <c r="AS76" s="11"/>
      <c r="AT76" s="11"/>
      <c r="AU76" s="11"/>
      <c r="AV76" s="11"/>
      <c r="AW76" s="11"/>
      <c r="AX76" s="11"/>
    </row>
    <row r="77" spans="12:50" x14ac:dyDescent="0.2">
      <c r="L77" s="232" t="str">
        <f>'Occ T3'!A32</f>
        <v>54 Textiles, printing and other skilled trades</v>
      </c>
      <c r="M77" s="336">
        <f t="shared" ref="M77:AD77" si="115">M30/M$49</f>
        <v>2.0393726883126122E-2</v>
      </c>
      <c r="N77" s="336">
        <f t="shared" si="115"/>
        <v>2.0659231954323964E-2</v>
      </c>
      <c r="O77" s="336">
        <f t="shared" si="115"/>
        <v>2.0949164333710617E-2</v>
      </c>
      <c r="P77" s="336">
        <f t="shared" si="115"/>
        <v>2.1317385730741968E-2</v>
      </c>
      <c r="Q77" s="336">
        <f t="shared" si="115"/>
        <v>2.0308622624252752E-2</v>
      </c>
      <c r="R77" s="336">
        <f t="shared" si="115"/>
        <v>2.1879642430597104E-2</v>
      </c>
      <c r="S77" s="336">
        <f t="shared" si="115"/>
        <v>2.1184398386498052E-2</v>
      </c>
      <c r="T77" s="336">
        <f t="shared" si="115"/>
        <v>2.0708323099796866E-2</v>
      </c>
      <c r="U77" s="336">
        <f t="shared" si="115"/>
        <v>1.9938888426014583E-2</v>
      </c>
      <c r="V77" s="336">
        <f t="shared" si="115"/>
        <v>1.8209700153589897E-2</v>
      </c>
      <c r="W77" s="336">
        <f t="shared" si="115"/>
        <v>1.7594924356835497E-2</v>
      </c>
      <c r="X77" s="336">
        <f t="shared" si="115"/>
        <v>1.8099377056408527E-2</v>
      </c>
      <c r="Y77" s="336">
        <f t="shared" si="115"/>
        <v>1.793531070280285E-2</v>
      </c>
      <c r="Z77" s="336">
        <f t="shared" si="115"/>
        <v>1.7749259234856915E-2</v>
      </c>
      <c r="AA77" s="336">
        <f t="shared" si="115"/>
        <v>1.7574302961641589E-2</v>
      </c>
      <c r="AB77" s="336">
        <f t="shared" si="115"/>
        <v>1.7424564561875008E-2</v>
      </c>
      <c r="AC77" s="336">
        <f t="shared" si="115"/>
        <v>1.7281959416930288E-2</v>
      </c>
      <c r="AD77" s="336">
        <f t="shared" si="115"/>
        <v>1.7101240146127506E-2</v>
      </c>
      <c r="AE77" s="336">
        <f t="shared" ref="AE77:AL77" si="116">AE30/AE$49</f>
        <v>1.6912325449268035E-2</v>
      </c>
      <c r="AF77" s="336">
        <f t="shared" si="116"/>
        <v>1.671790143404105E-2</v>
      </c>
      <c r="AG77" s="336">
        <f t="shared" si="116"/>
        <v>1.6543345526937793E-2</v>
      </c>
      <c r="AH77" s="336">
        <f t="shared" si="116"/>
        <v>1.6388980920916427E-2</v>
      </c>
      <c r="AI77" s="336">
        <f t="shared" si="116"/>
        <v>1.6234546855125698E-2</v>
      </c>
      <c r="AJ77" s="336">
        <f t="shared" si="116"/>
        <v>1.608162079574256E-2</v>
      </c>
      <c r="AK77" s="336">
        <f t="shared" si="116"/>
        <v>1.591288916735261E-2</v>
      </c>
      <c r="AL77" s="336">
        <f t="shared" si="116"/>
        <v>1.5739205350375172E-2</v>
      </c>
      <c r="AM77" s="11"/>
      <c r="AN77" s="11"/>
      <c r="AO77" s="11"/>
      <c r="AP77" s="11"/>
      <c r="AQ77" s="11"/>
      <c r="AR77" s="11"/>
      <c r="AS77" s="11"/>
      <c r="AT77" s="11"/>
      <c r="AU77" s="11"/>
      <c r="AV77" s="11"/>
      <c r="AW77" s="11"/>
      <c r="AX77" s="11"/>
    </row>
    <row r="78" spans="12:50" x14ac:dyDescent="0.2">
      <c r="L78" s="232"/>
      <c r="M78" s="336"/>
      <c r="N78" s="336"/>
      <c r="O78" s="336"/>
      <c r="P78" s="336"/>
      <c r="Q78" s="336"/>
      <c r="R78" s="336"/>
      <c r="S78" s="336"/>
      <c r="T78" s="336"/>
      <c r="U78" s="336"/>
      <c r="V78" s="336"/>
      <c r="W78" s="336"/>
      <c r="X78" s="336"/>
      <c r="Y78" s="336"/>
      <c r="Z78" s="336"/>
      <c r="AA78" s="336"/>
      <c r="AB78" s="336"/>
      <c r="AC78" s="336"/>
      <c r="AD78" s="336"/>
      <c r="AE78" s="336"/>
      <c r="AF78" s="336"/>
      <c r="AG78" s="336"/>
      <c r="AH78" s="336"/>
      <c r="AI78" s="336"/>
      <c r="AJ78" s="336"/>
      <c r="AK78" s="336"/>
      <c r="AL78" s="336"/>
      <c r="AM78" s="11"/>
      <c r="AN78" s="11"/>
      <c r="AO78" s="11"/>
      <c r="AP78" s="11"/>
      <c r="AQ78" s="11"/>
      <c r="AR78" s="11"/>
      <c r="AS78" s="11"/>
      <c r="AT78" s="11"/>
      <c r="AU78" s="11"/>
      <c r="AV78" s="11"/>
      <c r="AW78" s="11"/>
      <c r="AX78" s="11"/>
    </row>
    <row r="79" spans="12:50" x14ac:dyDescent="0.2">
      <c r="L79" s="17" t="str">
        <f>'Occ T3'!A34</f>
        <v>Caring, leisure and other service occupations</v>
      </c>
      <c r="M79" s="337">
        <f t="shared" ref="M79:AD79" si="117">M32/M$49</f>
        <v>0.11314539445950418</v>
      </c>
      <c r="N79" s="337">
        <f t="shared" si="117"/>
        <v>0.1089213890240117</v>
      </c>
      <c r="O79" s="337">
        <f t="shared" si="117"/>
        <v>0.10875822721060667</v>
      </c>
      <c r="P79" s="337">
        <f t="shared" si="117"/>
        <v>0.11202747795648486</v>
      </c>
      <c r="Q79" s="337">
        <f t="shared" si="117"/>
        <v>0.11259283327907695</v>
      </c>
      <c r="R79" s="337">
        <f t="shared" si="117"/>
        <v>0.11008896403928158</v>
      </c>
      <c r="S79" s="337">
        <f t="shared" si="117"/>
        <v>0.11356069587963699</v>
      </c>
      <c r="T79" s="337">
        <f t="shared" si="117"/>
        <v>0.11062593891490394</v>
      </c>
      <c r="U79" s="337">
        <f t="shared" si="117"/>
        <v>0.10970907328800926</v>
      </c>
      <c r="V79" s="337">
        <f t="shared" si="117"/>
        <v>0.11395879662476574</v>
      </c>
      <c r="W79" s="337">
        <f t="shared" si="117"/>
        <v>0.11041478118790837</v>
      </c>
      <c r="X79" s="337">
        <f t="shared" si="117"/>
        <v>0.10840574849212999</v>
      </c>
      <c r="Y79" s="337">
        <f t="shared" si="117"/>
        <v>0.10866392295476791</v>
      </c>
      <c r="Z79" s="337">
        <f t="shared" si="117"/>
        <v>0.10914591578289855</v>
      </c>
      <c r="AA79" s="337">
        <f t="shared" si="117"/>
        <v>0.10954031596621236</v>
      </c>
      <c r="AB79" s="337">
        <f t="shared" si="117"/>
        <v>0.10999400138336886</v>
      </c>
      <c r="AC79" s="337">
        <f t="shared" si="117"/>
        <v>0.11036635650490217</v>
      </c>
      <c r="AD79" s="337">
        <f t="shared" si="117"/>
        <v>0.1107304180988312</v>
      </c>
      <c r="AE79" s="337">
        <f t="shared" ref="AE79:AL79" si="118">AE32/AE$49</f>
        <v>0.11104295042137018</v>
      </c>
      <c r="AF79" s="337">
        <f t="shared" si="118"/>
        <v>0.111370079875403</v>
      </c>
      <c r="AG79" s="337">
        <f t="shared" si="118"/>
        <v>0.11166952219458051</v>
      </c>
      <c r="AH79" s="337">
        <f t="shared" si="118"/>
        <v>0.1120018863418946</v>
      </c>
      <c r="AI79" s="337">
        <f t="shared" si="118"/>
        <v>0.11234474639929143</v>
      </c>
      <c r="AJ79" s="337">
        <f t="shared" si="118"/>
        <v>0.11268416743087643</v>
      </c>
      <c r="AK79" s="337">
        <f t="shared" si="118"/>
        <v>0.11303133845790514</v>
      </c>
      <c r="AL79" s="337">
        <f t="shared" si="118"/>
        <v>0.11339141587537907</v>
      </c>
      <c r="AM79" s="11"/>
      <c r="AN79" s="11"/>
      <c r="AO79" s="11"/>
      <c r="AP79" s="11"/>
      <c r="AQ79" s="11"/>
      <c r="AR79" s="11"/>
      <c r="AS79" s="11"/>
      <c r="AT79" s="11"/>
      <c r="AU79" s="11"/>
      <c r="AV79" s="11"/>
      <c r="AW79" s="11"/>
      <c r="AX79" s="11"/>
    </row>
    <row r="80" spans="12:50" x14ac:dyDescent="0.2">
      <c r="L80" s="232" t="str">
        <f>'Occ T3'!A35</f>
        <v>61 Caring personal service occupations</v>
      </c>
      <c r="M80" s="336">
        <f t="shared" ref="M80:AD80" si="119">M33/M$49</f>
        <v>8.885356916166981E-2</v>
      </c>
      <c r="N80" s="336">
        <f t="shared" si="119"/>
        <v>8.3119698815177695E-2</v>
      </c>
      <c r="O80" s="336">
        <f t="shared" si="119"/>
        <v>8.4138662561956706E-2</v>
      </c>
      <c r="P80" s="336">
        <f t="shared" si="119"/>
        <v>8.5037451509124895E-2</v>
      </c>
      <c r="Q80" s="336">
        <f t="shared" si="119"/>
        <v>8.7033249600379337E-2</v>
      </c>
      <c r="R80" s="336">
        <f t="shared" si="119"/>
        <v>8.78545457723163E-2</v>
      </c>
      <c r="S80" s="336">
        <f t="shared" si="119"/>
        <v>8.6770855051949508E-2</v>
      </c>
      <c r="T80" s="336">
        <f t="shared" si="119"/>
        <v>8.660424588494979E-2</v>
      </c>
      <c r="U80" s="336">
        <f t="shared" si="119"/>
        <v>8.615803695289756E-2</v>
      </c>
      <c r="V80" s="336">
        <f t="shared" si="119"/>
        <v>8.7000629135513222E-2</v>
      </c>
      <c r="W80" s="336">
        <f t="shared" si="119"/>
        <v>8.4097113674146184E-2</v>
      </c>
      <c r="X80" s="336">
        <f t="shared" si="119"/>
        <v>8.4338901740554667E-2</v>
      </c>
      <c r="Y80" s="336">
        <f t="shared" si="119"/>
        <v>8.481707293319965E-2</v>
      </c>
      <c r="Z80" s="336">
        <f t="shared" si="119"/>
        <v>8.5334604264265965E-2</v>
      </c>
      <c r="AA80" s="336">
        <f t="shared" si="119"/>
        <v>8.5729839860690743E-2</v>
      </c>
      <c r="AB80" s="336">
        <f t="shared" si="119"/>
        <v>8.6182577229882193E-2</v>
      </c>
      <c r="AC80" s="336">
        <f t="shared" si="119"/>
        <v>8.6565045092837134E-2</v>
      </c>
      <c r="AD80" s="336">
        <f t="shared" si="119"/>
        <v>8.6938960407480406E-2</v>
      </c>
      <c r="AE80" s="336">
        <f t="shared" ref="AE80:AL80" si="120">AE33/AE$49</f>
        <v>8.7279473053273493E-2</v>
      </c>
      <c r="AF80" s="336">
        <f t="shared" si="120"/>
        <v>8.7635357472163652E-2</v>
      </c>
      <c r="AG80" s="336">
        <f t="shared" si="120"/>
        <v>8.7965635707055956E-2</v>
      </c>
      <c r="AH80" s="336">
        <f t="shared" si="120"/>
        <v>8.8325657928217463E-2</v>
      </c>
      <c r="AI80" s="336">
        <f t="shared" si="120"/>
        <v>8.8718737534041567E-2</v>
      </c>
      <c r="AJ80" s="336">
        <f t="shared" si="120"/>
        <v>8.9104433899819577E-2</v>
      </c>
      <c r="AK80" s="336">
        <f t="shared" si="120"/>
        <v>8.9501977657115678E-2</v>
      </c>
      <c r="AL80" s="336">
        <f t="shared" si="120"/>
        <v>8.9902910850041484E-2</v>
      </c>
      <c r="AM80" s="11"/>
      <c r="AN80" s="11"/>
      <c r="AO80" s="11"/>
      <c r="AP80" s="11"/>
      <c r="AQ80" s="11"/>
      <c r="AR80" s="11"/>
      <c r="AS80" s="11"/>
      <c r="AT80" s="11"/>
      <c r="AU80" s="11"/>
      <c r="AV80" s="11"/>
      <c r="AW80" s="11"/>
      <c r="AX80" s="11"/>
    </row>
    <row r="81" spans="12:50" x14ac:dyDescent="0.2">
      <c r="L81" s="232" t="str">
        <f>'Occ T3'!A36</f>
        <v>62 Leisure, travel and related personal service occupations</v>
      </c>
      <c r="M81" s="336">
        <f t="shared" ref="M81:AD81" si="121">M34/M$49</f>
        <v>2.256187419480836E-2</v>
      </c>
      <c r="N81" s="336">
        <f t="shared" si="121"/>
        <v>2.4674737724726961E-2</v>
      </c>
      <c r="O81" s="336">
        <f t="shared" si="121"/>
        <v>2.3543323647616781E-2</v>
      </c>
      <c r="P81" s="336">
        <f t="shared" si="121"/>
        <v>2.5959981085373004E-2</v>
      </c>
      <c r="Q81" s="336">
        <f t="shared" si="121"/>
        <v>2.4372198249822813E-2</v>
      </c>
      <c r="R81" s="336">
        <f t="shared" si="121"/>
        <v>2.1168306468770996E-2</v>
      </c>
      <c r="S81" s="336">
        <f t="shared" si="121"/>
        <v>2.591973383166133E-2</v>
      </c>
      <c r="T81" s="336">
        <f t="shared" si="121"/>
        <v>2.3123526887855874E-2</v>
      </c>
      <c r="U81" s="336">
        <f t="shared" si="121"/>
        <v>2.262793611289143E-2</v>
      </c>
      <c r="V81" s="336">
        <f t="shared" si="121"/>
        <v>2.610526610330673E-2</v>
      </c>
      <c r="W81" s="336">
        <f t="shared" si="121"/>
        <v>2.5240512559733339E-2</v>
      </c>
      <c r="X81" s="336">
        <f t="shared" si="121"/>
        <v>2.3294431835830805E-2</v>
      </c>
      <c r="Y81" s="336">
        <f t="shared" si="121"/>
        <v>2.3062414354426224E-2</v>
      </c>
      <c r="Z81" s="336">
        <f t="shared" si="121"/>
        <v>2.301714105445397E-2</v>
      </c>
      <c r="AA81" s="336">
        <f t="shared" si="121"/>
        <v>2.3005928660346953E-2</v>
      </c>
      <c r="AB81" s="336">
        <f t="shared" si="121"/>
        <v>2.2997650236716016E-2</v>
      </c>
      <c r="AC81" s="336">
        <f t="shared" si="121"/>
        <v>2.2979247820821964E-2</v>
      </c>
      <c r="AD81" s="336">
        <f t="shared" si="121"/>
        <v>2.2960994637858435E-2</v>
      </c>
      <c r="AE81" s="336">
        <f t="shared" ref="AE81:AL81" si="122">AE34/AE$49</f>
        <v>2.2925662340270572E-2</v>
      </c>
      <c r="AF81" s="336">
        <f t="shared" si="122"/>
        <v>2.2888041470706506E-2</v>
      </c>
      <c r="AG81" s="336">
        <f t="shared" si="122"/>
        <v>2.2850031271657235E-2</v>
      </c>
      <c r="AH81" s="336">
        <f t="shared" si="122"/>
        <v>2.2815596793450778E-2</v>
      </c>
      <c r="AI81" s="336">
        <f t="shared" si="122"/>
        <v>2.2759410203380605E-2</v>
      </c>
      <c r="AJ81" s="336">
        <f t="shared" si="122"/>
        <v>2.2705043503307681E-2</v>
      </c>
      <c r="AK81" s="336">
        <f t="shared" si="122"/>
        <v>2.2647848143758312E-2</v>
      </c>
      <c r="AL81" s="336">
        <f t="shared" si="122"/>
        <v>2.2598499022958438E-2</v>
      </c>
      <c r="AM81" s="11"/>
      <c r="AN81" s="11"/>
      <c r="AO81" s="11"/>
      <c r="AP81" s="11"/>
      <c r="AQ81" s="11"/>
      <c r="AR81" s="11"/>
      <c r="AS81" s="11"/>
      <c r="AT81" s="11"/>
      <c r="AU81" s="11"/>
      <c r="AV81" s="11"/>
      <c r="AW81" s="11"/>
      <c r="AX81" s="11"/>
    </row>
    <row r="82" spans="12:50" x14ac:dyDescent="0.2">
      <c r="L82" s="232" t="str">
        <f>'Occ T3'!A37</f>
        <v>63 Community and civil enforcement occupations</v>
      </c>
      <c r="M82" s="336">
        <f t="shared" ref="M82:AD82" si="123">M35/M$49</f>
        <v>1.7299511030260033E-3</v>
      </c>
      <c r="N82" s="336">
        <f t="shared" si="123"/>
        <v>1.1269524841070464E-3</v>
      </c>
      <c r="O82" s="336">
        <f t="shared" si="123"/>
        <v>1.0762410010331871E-3</v>
      </c>
      <c r="P82" s="336">
        <f t="shared" si="123"/>
        <v>1.0300453619869758E-3</v>
      </c>
      <c r="Q82" s="336">
        <f t="shared" si="123"/>
        <v>1.1873854288748009E-3</v>
      </c>
      <c r="R82" s="336">
        <f t="shared" si="123"/>
        <v>1.0661117981942854E-3</v>
      </c>
      <c r="S82" s="336">
        <f t="shared" si="123"/>
        <v>8.7010699602614876E-4</v>
      </c>
      <c r="T82" s="336">
        <f t="shared" si="123"/>
        <v>8.9816614209827839E-4</v>
      </c>
      <c r="U82" s="336">
        <f t="shared" si="123"/>
        <v>9.2310022222026698E-4</v>
      </c>
      <c r="V82" s="336">
        <f t="shared" si="123"/>
        <v>8.529013859457892E-4</v>
      </c>
      <c r="W82" s="336">
        <f t="shared" si="123"/>
        <v>1.0771549540288389E-3</v>
      </c>
      <c r="X82" s="336">
        <f t="shared" si="123"/>
        <v>7.7241491574451149E-4</v>
      </c>
      <c r="Y82" s="336">
        <f t="shared" si="123"/>
        <v>7.8443566714204559E-4</v>
      </c>
      <c r="Z82" s="336">
        <f t="shared" si="123"/>
        <v>7.9417046417862942E-4</v>
      </c>
      <c r="AA82" s="336">
        <f t="shared" si="123"/>
        <v>8.0454744517467443E-4</v>
      </c>
      <c r="AB82" s="336">
        <f t="shared" si="123"/>
        <v>8.1377391677065142E-4</v>
      </c>
      <c r="AC82" s="336">
        <f t="shared" si="123"/>
        <v>8.2206359124306053E-4</v>
      </c>
      <c r="AD82" s="336">
        <f t="shared" si="123"/>
        <v>8.3046305349236259E-4</v>
      </c>
      <c r="AE82" s="336">
        <f t="shared" ref="AE82:AL82" si="124">AE35/AE$49</f>
        <v>8.3781502782610459E-4</v>
      </c>
      <c r="AF82" s="336">
        <f t="shared" si="124"/>
        <v>8.466809325328419E-4</v>
      </c>
      <c r="AG82" s="336">
        <f t="shared" si="124"/>
        <v>8.5385521586733328E-4</v>
      </c>
      <c r="AH82" s="336">
        <f t="shared" si="124"/>
        <v>8.6063162022634895E-4</v>
      </c>
      <c r="AI82" s="336">
        <f t="shared" si="124"/>
        <v>8.6659866186927E-4</v>
      </c>
      <c r="AJ82" s="336">
        <f t="shared" si="124"/>
        <v>8.7469002774918253E-4</v>
      </c>
      <c r="AK82" s="336">
        <f t="shared" si="124"/>
        <v>8.8151265703115375E-4</v>
      </c>
      <c r="AL82" s="336">
        <f t="shared" si="124"/>
        <v>8.9000600237914705E-4</v>
      </c>
      <c r="AM82" s="11"/>
      <c r="AN82" s="11"/>
      <c r="AO82" s="11"/>
      <c r="AP82" s="11"/>
      <c r="AQ82" s="11"/>
      <c r="AR82" s="11"/>
      <c r="AS82" s="11"/>
      <c r="AT82" s="11"/>
      <c r="AU82" s="11"/>
      <c r="AV82" s="11"/>
      <c r="AW82" s="11"/>
      <c r="AX82" s="11"/>
    </row>
    <row r="83" spans="12:50" x14ac:dyDescent="0.2">
      <c r="L83" s="232"/>
      <c r="M83" s="336"/>
      <c r="N83" s="336"/>
      <c r="O83" s="336"/>
      <c r="P83" s="336"/>
      <c r="Q83" s="336"/>
      <c r="R83" s="336"/>
      <c r="S83" s="336"/>
      <c r="T83" s="336"/>
      <c r="U83" s="336"/>
      <c r="V83" s="336"/>
      <c r="W83" s="336"/>
      <c r="X83" s="336"/>
      <c r="Y83" s="336"/>
      <c r="Z83" s="336"/>
      <c r="AA83" s="336"/>
      <c r="AB83" s="336"/>
      <c r="AC83" s="336"/>
      <c r="AD83" s="336"/>
      <c r="AE83" s="336"/>
      <c r="AF83" s="336"/>
      <c r="AG83" s="336"/>
      <c r="AH83" s="336"/>
      <c r="AI83" s="336"/>
      <c r="AJ83" s="336"/>
      <c r="AK83" s="336"/>
      <c r="AL83" s="336"/>
      <c r="AM83" s="11"/>
      <c r="AN83" s="11"/>
      <c r="AO83" s="11"/>
      <c r="AP83" s="11"/>
      <c r="AQ83" s="11"/>
      <c r="AR83" s="11"/>
      <c r="AS83" s="11"/>
      <c r="AT83" s="11"/>
      <c r="AU83" s="11"/>
      <c r="AV83" s="11"/>
      <c r="AW83" s="11"/>
      <c r="AX83" s="11"/>
    </row>
    <row r="84" spans="12:50" x14ac:dyDescent="0.2">
      <c r="L84" s="17" t="str">
        <f>'Occ T3'!A39</f>
        <v>Sales and customer service occupations</v>
      </c>
      <c r="M84" s="337">
        <f t="shared" ref="M84:AD84" si="125">M37/M$49</f>
        <v>8.7425896506058129E-2</v>
      </c>
      <c r="N84" s="337">
        <f t="shared" si="125"/>
        <v>9.4734012291277175E-2</v>
      </c>
      <c r="O84" s="337">
        <f t="shared" si="125"/>
        <v>9.2593029685327954E-2</v>
      </c>
      <c r="P84" s="337">
        <f t="shared" si="125"/>
        <v>9.3627988442252966E-2</v>
      </c>
      <c r="Q84" s="337">
        <f t="shared" si="125"/>
        <v>9.2039346769260663E-2</v>
      </c>
      <c r="R84" s="337">
        <f t="shared" si="125"/>
        <v>9.2439413823017375E-2</v>
      </c>
      <c r="S84" s="337">
        <f t="shared" si="125"/>
        <v>9.1255116214494392E-2</v>
      </c>
      <c r="T84" s="337">
        <f t="shared" si="125"/>
        <v>8.7538094841501254E-2</v>
      </c>
      <c r="U84" s="337">
        <f t="shared" si="125"/>
        <v>8.4722468818237182E-2</v>
      </c>
      <c r="V84" s="337">
        <f t="shared" si="125"/>
        <v>8.4539218986634981E-2</v>
      </c>
      <c r="W84" s="337">
        <f t="shared" si="125"/>
        <v>8.3185179696423084E-2</v>
      </c>
      <c r="X84" s="337">
        <f t="shared" si="125"/>
        <v>8.2096010351025803E-2</v>
      </c>
      <c r="Y84" s="337">
        <f t="shared" si="125"/>
        <v>8.2186676697027533E-2</v>
      </c>
      <c r="Z84" s="337">
        <f t="shared" si="125"/>
        <v>8.2091160157162057E-2</v>
      </c>
      <c r="AA84" s="337">
        <f t="shared" si="125"/>
        <v>8.1976067329150706E-2</v>
      </c>
      <c r="AB84" s="337">
        <f t="shared" si="125"/>
        <v>8.183668968105294E-2</v>
      </c>
      <c r="AC84" s="337">
        <f t="shared" si="125"/>
        <v>8.1712802200355927E-2</v>
      </c>
      <c r="AD84" s="337">
        <f t="shared" si="125"/>
        <v>8.1567474885076777E-2</v>
      </c>
      <c r="AE84" s="337">
        <f t="shared" ref="AE84:AL84" si="126">AE37/AE$49</f>
        <v>8.1361886978842071E-2</v>
      </c>
      <c r="AF84" s="337">
        <f t="shared" si="126"/>
        <v>8.1146780045148928E-2</v>
      </c>
      <c r="AG84" s="337">
        <f t="shared" si="126"/>
        <v>8.09050791086105E-2</v>
      </c>
      <c r="AH84" s="337">
        <f t="shared" si="126"/>
        <v>8.0631212518973802E-2</v>
      </c>
      <c r="AI84" s="337">
        <f t="shared" si="126"/>
        <v>8.0423309325638764E-2</v>
      </c>
      <c r="AJ84" s="337">
        <f t="shared" si="126"/>
        <v>8.0210135906091037E-2</v>
      </c>
      <c r="AK84" s="337">
        <f t="shared" si="126"/>
        <v>8.0005775150433278E-2</v>
      </c>
      <c r="AL84" s="337">
        <f t="shared" si="126"/>
        <v>7.9790843777936896E-2</v>
      </c>
      <c r="AM84" s="11"/>
      <c r="AN84" s="11"/>
      <c r="AO84" s="11"/>
      <c r="AP84" s="11"/>
      <c r="AQ84" s="11"/>
      <c r="AR84" s="11"/>
      <c r="AS84" s="11"/>
      <c r="AT84" s="11"/>
      <c r="AU84" s="11"/>
      <c r="AV84" s="11"/>
      <c r="AW84" s="11"/>
      <c r="AX84" s="11"/>
    </row>
    <row r="85" spans="12:50" x14ac:dyDescent="0.2">
      <c r="L85" s="232" t="str">
        <f>'Occ T3'!A40</f>
        <v>71 Sales occupations</v>
      </c>
      <c r="M85" s="336">
        <f t="shared" ref="M85:AD85" si="127">M38/M$49</f>
        <v>7.3207887776063324E-2</v>
      </c>
      <c r="N85" s="336">
        <f t="shared" si="127"/>
        <v>8.0678713341871766E-2</v>
      </c>
      <c r="O85" s="336">
        <f t="shared" si="127"/>
        <v>7.8657828256075188E-2</v>
      </c>
      <c r="P85" s="336">
        <f t="shared" si="127"/>
        <v>7.9475165945230519E-2</v>
      </c>
      <c r="Q85" s="336">
        <f t="shared" si="127"/>
        <v>7.8438483843842707E-2</v>
      </c>
      <c r="R85" s="336">
        <f t="shared" si="127"/>
        <v>7.7697641199336295E-2</v>
      </c>
      <c r="S85" s="336">
        <f t="shared" si="127"/>
        <v>7.7553716092556874E-2</v>
      </c>
      <c r="T85" s="336">
        <f t="shared" si="127"/>
        <v>7.2387193147117501E-2</v>
      </c>
      <c r="U85" s="336">
        <f t="shared" si="127"/>
        <v>6.9163201787127704E-2</v>
      </c>
      <c r="V85" s="336">
        <f t="shared" si="127"/>
        <v>6.9257351386341981E-2</v>
      </c>
      <c r="W85" s="336">
        <f t="shared" si="127"/>
        <v>6.7504017605729646E-2</v>
      </c>
      <c r="X85" s="336">
        <f t="shared" si="127"/>
        <v>6.5680591400019459E-2</v>
      </c>
      <c r="Y85" s="336">
        <f t="shared" si="127"/>
        <v>6.5599576858059033E-2</v>
      </c>
      <c r="Z85" s="336">
        <f t="shared" si="127"/>
        <v>6.5357769190852011E-2</v>
      </c>
      <c r="AA85" s="336">
        <f t="shared" si="127"/>
        <v>6.5095095237241024E-2</v>
      </c>
      <c r="AB85" s="336">
        <f t="shared" si="127"/>
        <v>6.4809825021494419E-2</v>
      </c>
      <c r="AC85" s="336">
        <f t="shared" si="127"/>
        <v>6.4554535829870682E-2</v>
      </c>
      <c r="AD85" s="336">
        <f t="shared" si="127"/>
        <v>6.4273578453207997E-2</v>
      </c>
      <c r="AE85" s="336">
        <f t="shared" ref="AE85:AL85" si="128">AE38/AE$49</f>
        <v>6.3942635725364766E-2</v>
      </c>
      <c r="AF85" s="336">
        <f t="shared" si="128"/>
        <v>6.3604000950686274E-2</v>
      </c>
      <c r="AG85" s="336">
        <f t="shared" si="128"/>
        <v>6.3237443949437561E-2</v>
      </c>
      <c r="AH85" s="336">
        <f t="shared" si="128"/>
        <v>6.2822495818709759E-2</v>
      </c>
      <c r="AI85" s="336">
        <f t="shared" si="128"/>
        <v>6.2480892838671309E-2</v>
      </c>
      <c r="AJ85" s="336">
        <f t="shared" si="128"/>
        <v>6.2130979289116692E-2</v>
      </c>
      <c r="AK85" s="336">
        <f t="shared" si="128"/>
        <v>6.1787075525884638E-2</v>
      </c>
      <c r="AL85" s="336">
        <f t="shared" si="128"/>
        <v>6.1428684394285282E-2</v>
      </c>
      <c r="AM85" s="11"/>
      <c r="AN85" s="11"/>
      <c r="AO85" s="11"/>
      <c r="AP85" s="11"/>
      <c r="AQ85" s="11"/>
      <c r="AR85" s="11"/>
      <c r="AS85" s="11"/>
      <c r="AT85" s="11"/>
      <c r="AU85" s="11"/>
      <c r="AV85" s="11"/>
      <c r="AW85" s="11"/>
      <c r="AX85" s="11"/>
    </row>
    <row r="86" spans="12:50" x14ac:dyDescent="0.2">
      <c r="L86" s="232" t="str">
        <f>'Occ T3'!A41</f>
        <v>72 Customer service occupations</v>
      </c>
      <c r="M86" s="336">
        <f t="shared" ref="M86:AD86" si="129">M39/M$49</f>
        <v>1.4218008729994791E-2</v>
      </c>
      <c r="N86" s="336">
        <f t="shared" si="129"/>
        <v>1.4055298949405406E-2</v>
      </c>
      <c r="O86" s="336">
        <f t="shared" si="129"/>
        <v>1.393520142925277E-2</v>
      </c>
      <c r="P86" s="336">
        <f t="shared" si="129"/>
        <v>1.4152822497022453E-2</v>
      </c>
      <c r="Q86" s="336">
        <f t="shared" si="129"/>
        <v>1.3600862925417945E-2</v>
      </c>
      <c r="R86" s="336">
        <f t="shared" si="129"/>
        <v>1.4741772623681069E-2</v>
      </c>
      <c r="S86" s="336">
        <f t="shared" si="129"/>
        <v>1.3701400121937527E-2</v>
      </c>
      <c r="T86" s="336">
        <f t="shared" si="129"/>
        <v>1.5150901694383757E-2</v>
      </c>
      <c r="U86" s="336">
        <f t="shared" si="129"/>
        <v>1.5559267031109478E-2</v>
      </c>
      <c r="V86" s="336">
        <f t="shared" si="129"/>
        <v>1.5281867600292997E-2</v>
      </c>
      <c r="W86" s="336">
        <f t="shared" si="129"/>
        <v>1.5681162090693444E-2</v>
      </c>
      <c r="X86" s="336">
        <f t="shared" si="129"/>
        <v>1.6415418951006348E-2</v>
      </c>
      <c r="Y86" s="336">
        <f t="shared" si="129"/>
        <v>1.6587099838968503E-2</v>
      </c>
      <c r="Z86" s="336">
        <f t="shared" si="129"/>
        <v>1.6733390966310054E-2</v>
      </c>
      <c r="AA86" s="336">
        <f t="shared" si="129"/>
        <v>1.6880972091909696E-2</v>
      </c>
      <c r="AB86" s="336">
        <f t="shared" si="129"/>
        <v>1.7026864659558511E-2</v>
      </c>
      <c r="AC86" s="336">
        <f t="shared" si="129"/>
        <v>1.7158266370485249E-2</v>
      </c>
      <c r="AD86" s="336">
        <f t="shared" si="129"/>
        <v>1.7293896431868783E-2</v>
      </c>
      <c r="AE86" s="336">
        <f t="shared" ref="AE86:AL86" si="130">AE39/AE$49</f>
        <v>1.7419251253477298E-2</v>
      </c>
      <c r="AF86" s="336">
        <f t="shared" si="130"/>
        <v>1.7542779094462647E-2</v>
      </c>
      <c r="AG86" s="336">
        <f t="shared" si="130"/>
        <v>1.7667635159172933E-2</v>
      </c>
      <c r="AH86" s="336">
        <f t="shared" si="130"/>
        <v>1.780871670026404E-2</v>
      </c>
      <c r="AI86" s="336">
        <f t="shared" si="130"/>
        <v>1.7942416486967455E-2</v>
      </c>
      <c r="AJ86" s="336">
        <f t="shared" si="130"/>
        <v>1.8079156616974346E-2</v>
      </c>
      <c r="AK86" s="336">
        <f t="shared" si="130"/>
        <v>1.821869962454865E-2</v>
      </c>
      <c r="AL86" s="336">
        <f t="shared" si="130"/>
        <v>1.8362159383651624E-2</v>
      </c>
      <c r="AM86" s="11"/>
      <c r="AN86" s="11"/>
      <c r="AO86" s="11"/>
      <c r="AP86" s="11"/>
      <c r="AQ86" s="11"/>
      <c r="AR86" s="11"/>
      <c r="AS86" s="11"/>
      <c r="AT86" s="11"/>
      <c r="AU86" s="11"/>
      <c r="AV86" s="11"/>
      <c r="AW86" s="11"/>
      <c r="AX86" s="11"/>
    </row>
    <row r="87" spans="12:50" x14ac:dyDescent="0.2">
      <c r="L87" s="232"/>
      <c r="M87" s="336"/>
      <c r="N87" s="336"/>
      <c r="O87" s="336"/>
      <c r="P87" s="336"/>
      <c r="Q87" s="336"/>
      <c r="R87" s="336"/>
      <c r="S87" s="336"/>
      <c r="T87" s="336"/>
      <c r="U87" s="336"/>
      <c r="V87" s="336"/>
      <c r="W87" s="336"/>
      <c r="X87" s="336"/>
      <c r="Y87" s="336"/>
      <c r="Z87" s="336"/>
      <c r="AA87" s="336"/>
      <c r="AB87" s="336"/>
      <c r="AC87" s="336"/>
      <c r="AD87" s="336"/>
      <c r="AE87" s="336"/>
      <c r="AF87" s="336"/>
      <c r="AG87" s="336"/>
      <c r="AH87" s="336"/>
      <c r="AI87" s="336"/>
      <c r="AJ87" s="336"/>
      <c r="AK87" s="336"/>
      <c r="AL87" s="336"/>
      <c r="AM87" s="11"/>
      <c r="AN87" s="11"/>
      <c r="AO87" s="11"/>
      <c r="AP87" s="11"/>
      <c r="AQ87" s="11"/>
      <c r="AR87" s="11"/>
      <c r="AS87" s="11"/>
      <c r="AT87" s="11"/>
      <c r="AU87" s="11"/>
      <c r="AV87" s="11"/>
      <c r="AW87" s="11"/>
      <c r="AX87" s="11"/>
    </row>
    <row r="88" spans="12:50" x14ac:dyDescent="0.2">
      <c r="L88" s="17" t="str">
        <f>'Occ T3'!A43</f>
        <v>Process, plant and machine operatives</v>
      </c>
      <c r="M88" s="337">
        <f t="shared" ref="M88:AD88" si="131">M41/M$49</f>
        <v>9.111573232880979E-2</v>
      </c>
      <c r="N88" s="337">
        <f t="shared" si="131"/>
        <v>8.5293602940694893E-2</v>
      </c>
      <c r="O88" s="337">
        <f t="shared" si="131"/>
        <v>8.6649716425777776E-2</v>
      </c>
      <c r="P88" s="337">
        <f t="shared" si="131"/>
        <v>8.9291043757197638E-2</v>
      </c>
      <c r="Q88" s="337">
        <f t="shared" si="131"/>
        <v>8.611008063944936E-2</v>
      </c>
      <c r="R88" s="337">
        <f t="shared" si="131"/>
        <v>8.9157428881824791E-2</v>
      </c>
      <c r="S88" s="337">
        <f t="shared" si="131"/>
        <v>9.0734632305677854E-2</v>
      </c>
      <c r="T88" s="337">
        <f t="shared" si="131"/>
        <v>9.1297133041077783E-2</v>
      </c>
      <c r="U88" s="337">
        <f t="shared" si="131"/>
        <v>9.1869317005931719E-2</v>
      </c>
      <c r="V88" s="337">
        <f t="shared" si="131"/>
        <v>8.6599670100024381E-2</v>
      </c>
      <c r="W88" s="337">
        <f t="shared" si="131"/>
        <v>8.0663245759909116E-2</v>
      </c>
      <c r="X88" s="337">
        <f t="shared" si="131"/>
        <v>8.2845586180324643E-2</v>
      </c>
      <c r="Y88" s="337">
        <f t="shared" si="131"/>
        <v>8.2118531023587557E-2</v>
      </c>
      <c r="Z88" s="337">
        <f t="shared" si="131"/>
        <v>8.1424734967256926E-2</v>
      </c>
      <c r="AA88" s="337">
        <f t="shared" si="131"/>
        <v>8.0732454693935071E-2</v>
      </c>
      <c r="AB88" s="337">
        <f t="shared" si="131"/>
        <v>8.0041885114954248E-2</v>
      </c>
      <c r="AC88" s="337">
        <f t="shared" si="131"/>
        <v>7.9392517656576497E-2</v>
      </c>
      <c r="AD88" s="337">
        <f t="shared" si="131"/>
        <v>7.8752064756695814E-2</v>
      </c>
      <c r="AE88" s="337">
        <f t="shared" ref="AE88:AL88" si="132">AE41/AE$49</f>
        <v>7.8191953560771202E-2</v>
      </c>
      <c r="AF88" s="337">
        <f t="shared" si="132"/>
        <v>7.7637847350582656E-2</v>
      </c>
      <c r="AG88" s="337">
        <f t="shared" si="132"/>
        <v>7.7065577948027889E-2</v>
      </c>
      <c r="AH88" s="337">
        <f t="shared" si="132"/>
        <v>7.6481463753453618E-2</v>
      </c>
      <c r="AI88" s="337">
        <f t="shared" si="132"/>
        <v>7.5829926367398229E-2</v>
      </c>
      <c r="AJ88" s="337">
        <f t="shared" si="132"/>
        <v>7.5147783708803526E-2</v>
      </c>
      <c r="AK88" s="337">
        <f t="shared" si="132"/>
        <v>7.4420981223662738E-2</v>
      </c>
      <c r="AL88" s="337">
        <f t="shared" si="132"/>
        <v>7.3671679580500998E-2</v>
      </c>
      <c r="AM88" s="11"/>
      <c r="AN88" s="11"/>
      <c r="AO88" s="11"/>
      <c r="AP88" s="11"/>
      <c r="AQ88" s="11"/>
      <c r="AR88" s="11"/>
      <c r="AS88" s="11"/>
      <c r="AT88" s="11"/>
      <c r="AU88" s="11"/>
      <c r="AV88" s="11"/>
      <c r="AW88" s="11"/>
      <c r="AX88" s="11"/>
    </row>
    <row r="89" spans="12:50" x14ac:dyDescent="0.2">
      <c r="L89" s="232" t="str">
        <f>'Occ T3'!A44</f>
        <v>81 Process, plant and machine operatives</v>
      </c>
      <c r="M89" s="336">
        <f t="shared" ref="M89:AD89" si="133">M42/M$49</f>
        <v>4.5947703636596775E-2</v>
      </c>
      <c r="N89" s="336">
        <f t="shared" si="133"/>
        <v>4.2245163429563228E-2</v>
      </c>
      <c r="O89" s="336">
        <f t="shared" si="133"/>
        <v>4.4415400504220513E-2</v>
      </c>
      <c r="P89" s="336">
        <f t="shared" si="133"/>
        <v>4.576275601689983E-2</v>
      </c>
      <c r="Q89" s="336">
        <f t="shared" si="133"/>
        <v>4.5694952640552886E-2</v>
      </c>
      <c r="R89" s="336">
        <f t="shared" si="133"/>
        <v>4.7084853383054771E-2</v>
      </c>
      <c r="S89" s="336">
        <f t="shared" si="133"/>
        <v>4.6078298017114681E-2</v>
      </c>
      <c r="T89" s="336">
        <f t="shared" si="133"/>
        <v>4.6436633179786781E-2</v>
      </c>
      <c r="U89" s="336">
        <f t="shared" si="133"/>
        <v>4.6733245437411169E-2</v>
      </c>
      <c r="V89" s="336">
        <f t="shared" si="133"/>
        <v>4.4030046776382316E-2</v>
      </c>
      <c r="W89" s="336">
        <f t="shared" si="133"/>
        <v>3.9077264539850935E-2</v>
      </c>
      <c r="X89" s="336">
        <f t="shared" si="133"/>
        <v>4.101781897750148E-2</v>
      </c>
      <c r="Y89" s="336">
        <f t="shared" si="133"/>
        <v>4.0732141269955321E-2</v>
      </c>
      <c r="Z89" s="336">
        <f t="shared" si="133"/>
        <v>4.0290689744092001E-2</v>
      </c>
      <c r="AA89" s="336">
        <f t="shared" si="133"/>
        <v>3.9814152352543701E-2</v>
      </c>
      <c r="AB89" s="336">
        <f t="shared" si="133"/>
        <v>3.9344213285146694E-2</v>
      </c>
      <c r="AC89" s="336">
        <f t="shared" si="133"/>
        <v>3.8927291413871211E-2</v>
      </c>
      <c r="AD89" s="336">
        <f t="shared" si="133"/>
        <v>3.8535528360698325E-2</v>
      </c>
      <c r="AE89" s="336">
        <f t="shared" ref="AE89:AL89" si="134">AE42/AE$49</f>
        <v>3.8227392746761957E-2</v>
      </c>
      <c r="AF89" s="336">
        <f t="shared" si="134"/>
        <v>3.7927060937138608E-2</v>
      </c>
      <c r="AG89" s="336">
        <f t="shared" si="134"/>
        <v>3.7605237419942976E-2</v>
      </c>
      <c r="AH89" s="336">
        <f t="shared" si="134"/>
        <v>3.7262981707588211E-2</v>
      </c>
      <c r="AI89" s="336">
        <f t="shared" si="134"/>
        <v>3.6896963123192815E-2</v>
      </c>
      <c r="AJ89" s="336">
        <f t="shared" si="134"/>
        <v>3.6507814273463161E-2</v>
      </c>
      <c r="AK89" s="336">
        <f t="shared" si="134"/>
        <v>3.6078534683803641E-2</v>
      </c>
      <c r="AL89" s="336">
        <f t="shared" si="134"/>
        <v>3.5630796067478938E-2</v>
      </c>
      <c r="AM89" s="11"/>
      <c r="AN89" s="11"/>
      <c r="AO89" s="11"/>
      <c r="AP89" s="11"/>
      <c r="AQ89" s="11"/>
      <c r="AR89" s="11"/>
      <c r="AS89" s="11"/>
      <c r="AT89" s="11"/>
      <c r="AU89" s="11"/>
      <c r="AV89" s="11"/>
      <c r="AW89" s="11"/>
      <c r="AX89" s="11"/>
    </row>
    <row r="90" spans="12:50" x14ac:dyDescent="0.2">
      <c r="L90" s="232" t="str">
        <f>'Occ T3'!A45</f>
        <v>82 Transport and mobile machine drivers and operatives</v>
      </c>
      <c r="M90" s="336">
        <f t="shared" ref="M90:AD90" si="135">M43/M$49</f>
        <v>4.5168028692213015E-2</v>
      </c>
      <c r="N90" s="336">
        <f t="shared" si="135"/>
        <v>4.3048439511131673E-2</v>
      </c>
      <c r="O90" s="336">
        <f t="shared" si="135"/>
        <v>4.2234315921557269E-2</v>
      </c>
      <c r="P90" s="336">
        <f t="shared" si="135"/>
        <v>4.3528287740297801E-2</v>
      </c>
      <c r="Q90" s="336">
        <f t="shared" si="135"/>
        <v>4.0415127998896488E-2</v>
      </c>
      <c r="R90" s="336">
        <f t="shared" si="135"/>
        <v>4.2072575498770019E-2</v>
      </c>
      <c r="S90" s="336">
        <f t="shared" si="135"/>
        <v>4.4656334288563172E-2</v>
      </c>
      <c r="T90" s="336">
        <f t="shared" si="135"/>
        <v>4.4860499861290988E-2</v>
      </c>
      <c r="U90" s="336">
        <f t="shared" si="135"/>
        <v>4.5136071568520536E-2</v>
      </c>
      <c r="V90" s="336">
        <f t="shared" si="135"/>
        <v>4.2569623323642065E-2</v>
      </c>
      <c r="W90" s="336">
        <f t="shared" si="135"/>
        <v>4.1585981220058174E-2</v>
      </c>
      <c r="X90" s="336">
        <f t="shared" si="135"/>
        <v>4.182776720282317E-2</v>
      </c>
      <c r="Y90" s="336">
        <f t="shared" si="135"/>
        <v>4.1386389753632222E-2</v>
      </c>
      <c r="Z90" s="336">
        <f t="shared" si="135"/>
        <v>4.1134045223164918E-2</v>
      </c>
      <c r="AA90" s="336">
        <f t="shared" si="135"/>
        <v>4.0918302341391377E-2</v>
      </c>
      <c r="AB90" s="336">
        <f t="shared" si="135"/>
        <v>4.069767182980754E-2</v>
      </c>
      <c r="AC90" s="336">
        <f t="shared" si="135"/>
        <v>4.0465226242705279E-2</v>
      </c>
      <c r="AD90" s="336">
        <f t="shared" si="135"/>
        <v>4.0216536395997496E-2</v>
      </c>
      <c r="AE90" s="336">
        <f t="shared" ref="AE90:AL90" si="136">AE43/AE$49</f>
        <v>3.9964560814009245E-2</v>
      </c>
      <c r="AF90" s="336">
        <f t="shared" si="136"/>
        <v>3.9710786413444041E-2</v>
      </c>
      <c r="AG90" s="336">
        <f t="shared" si="136"/>
        <v>3.9460340528084906E-2</v>
      </c>
      <c r="AH90" s="336">
        <f t="shared" si="136"/>
        <v>3.9218482045865408E-2</v>
      </c>
      <c r="AI90" s="336">
        <f t="shared" si="136"/>
        <v>3.8932963244205414E-2</v>
      </c>
      <c r="AJ90" s="336">
        <f t="shared" si="136"/>
        <v>3.8639969435340364E-2</v>
      </c>
      <c r="AK90" s="336">
        <f t="shared" si="136"/>
        <v>3.834244653985909E-2</v>
      </c>
      <c r="AL90" s="336">
        <f t="shared" si="136"/>
        <v>3.8040883513022074E-2</v>
      </c>
      <c r="AM90" s="11"/>
      <c r="AN90" s="11"/>
      <c r="AO90" s="11"/>
      <c r="AP90" s="11"/>
      <c r="AQ90" s="11"/>
      <c r="AR90" s="11"/>
      <c r="AS90" s="11"/>
      <c r="AT90" s="11"/>
      <c r="AU90" s="11"/>
      <c r="AV90" s="11"/>
      <c r="AW90" s="11"/>
      <c r="AX90" s="11"/>
    </row>
    <row r="91" spans="12:50" x14ac:dyDescent="0.2">
      <c r="L91" s="232"/>
      <c r="M91" s="336"/>
      <c r="N91" s="336"/>
      <c r="O91" s="336"/>
      <c r="P91" s="336"/>
      <c r="Q91" s="336"/>
      <c r="R91" s="336"/>
      <c r="S91" s="336"/>
      <c r="T91" s="336"/>
      <c r="U91" s="336"/>
      <c r="V91" s="336"/>
      <c r="W91" s="336"/>
      <c r="X91" s="336"/>
      <c r="Y91" s="336"/>
      <c r="Z91" s="336"/>
      <c r="AA91" s="336"/>
      <c r="AB91" s="336"/>
      <c r="AC91" s="336"/>
      <c r="AD91" s="336"/>
      <c r="AE91" s="336"/>
      <c r="AF91" s="336"/>
      <c r="AG91" s="336"/>
      <c r="AH91" s="336"/>
      <c r="AI91" s="336"/>
      <c r="AJ91" s="336"/>
      <c r="AK91" s="336"/>
      <c r="AL91" s="336"/>
      <c r="AM91" s="11"/>
      <c r="AN91" s="11"/>
      <c r="AO91" s="11"/>
      <c r="AP91" s="11"/>
      <c r="AQ91" s="11"/>
      <c r="AR91" s="11"/>
      <c r="AS91" s="11"/>
      <c r="AT91" s="11"/>
      <c r="AU91" s="11"/>
      <c r="AV91" s="11"/>
      <c r="AW91" s="11"/>
      <c r="AX91" s="11"/>
    </row>
    <row r="92" spans="12:50" x14ac:dyDescent="0.2">
      <c r="L92" s="17" t="str">
        <f>'Occ T3'!A47</f>
        <v>Elementary occupations</v>
      </c>
      <c r="M92" s="337">
        <f t="shared" ref="M92:AD92" si="137">M45/M$49</f>
        <v>0.13087977498860962</v>
      </c>
      <c r="N92" s="337">
        <f t="shared" si="137"/>
        <v>0.12840554454503228</v>
      </c>
      <c r="O92" s="337">
        <f t="shared" si="137"/>
        <v>0.12460865952583799</v>
      </c>
      <c r="P92" s="337">
        <f t="shared" si="137"/>
        <v>0.12760988062433792</v>
      </c>
      <c r="Q92" s="337">
        <f t="shared" si="137"/>
        <v>0.12503298775348939</v>
      </c>
      <c r="R92" s="337">
        <f t="shared" si="137"/>
        <v>0.12868675837247126</v>
      </c>
      <c r="S92" s="337">
        <f t="shared" si="137"/>
        <v>0.12732469446505723</v>
      </c>
      <c r="T92" s="337">
        <f t="shared" si="137"/>
        <v>0.12549733393798024</v>
      </c>
      <c r="U92" s="337">
        <f t="shared" si="137"/>
        <v>0.12335537675822966</v>
      </c>
      <c r="V92" s="337">
        <f t="shared" si="137"/>
        <v>0.11981766484979033</v>
      </c>
      <c r="W92" s="337">
        <f t="shared" si="137"/>
        <v>0.11043710130125828</v>
      </c>
      <c r="X92" s="337">
        <f t="shared" si="137"/>
        <v>0.11578799581255171</v>
      </c>
      <c r="Y92" s="337">
        <f t="shared" si="137"/>
        <v>0.11545340979939851</v>
      </c>
      <c r="Z92" s="337">
        <f t="shared" si="137"/>
        <v>0.11468405261701496</v>
      </c>
      <c r="AA92" s="337">
        <f t="shared" si="137"/>
        <v>0.11390100984903921</v>
      </c>
      <c r="AB92" s="337">
        <f t="shared" si="137"/>
        <v>0.11308600691035071</v>
      </c>
      <c r="AC92" s="337">
        <f t="shared" si="137"/>
        <v>0.1122368263430948</v>
      </c>
      <c r="AD92" s="337">
        <f t="shared" si="137"/>
        <v>0.11139252867133342</v>
      </c>
      <c r="AE92" s="337">
        <f t="shared" ref="AE92:AL92" si="138">AE45/AE$49</f>
        <v>0.11056239079798398</v>
      </c>
      <c r="AF92" s="337">
        <f t="shared" si="138"/>
        <v>0.10978083303962455</v>
      </c>
      <c r="AG92" s="337">
        <f t="shared" si="138"/>
        <v>0.10905926021057527</v>
      </c>
      <c r="AH92" s="337">
        <f t="shared" si="138"/>
        <v>0.10836377355995734</v>
      </c>
      <c r="AI92" s="337">
        <f t="shared" si="138"/>
        <v>0.10763332190209007</v>
      </c>
      <c r="AJ92" s="337">
        <f t="shared" si="138"/>
        <v>0.10694574084222758</v>
      </c>
      <c r="AK92" s="337">
        <f t="shared" si="138"/>
        <v>0.10627145769714332</v>
      </c>
      <c r="AL92" s="337">
        <f t="shared" si="138"/>
        <v>0.10560408464616572</v>
      </c>
      <c r="AM92" s="11"/>
      <c r="AN92" s="11"/>
      <c r="AO92" s="11"/>
      <c r="AP92" s="11"/>
      <c r="AQ92" s="11"/>
      <c r="AR92" s="11"/>
      <c r="AS92" s="11"/>
      <c r="AT92" s="11"/>
      <c r="AU92" s="11"/>
      <c r="AV92" s="11"/>
      <c r="AW92" s="11"/>
      <c r="AX92" s="11"/>
    </row>
    <row r="93" spans="12:50" x14ac:dyDescent="0.2">
      <c r="L93" s="232" t="str">
        <f>'Occ T3'!A48</f>
        <v>91 Elementary trades and related occupations</v>
      </c>
      <c r="M93" s="336">
        <f t="shared" ref="M93:AD93" si="139">M46/M$49</f>
        <v>2.3729913101437222E-2</v>
      </c>
      <c r="N93" s="336">
        <f t="shared" si="139"/>
        <v>2.4301278850792675E-2</v>
      </c>
      <c r="O93" s="336">
        <f t="shared" si="139"/>
        <v>2.4263249265256571E-2</v>
      </c>
      <c r="P93" s="336">
        <f t="shared" si="139"/>
        <v>2.4263588042694659E-2</v>
      </c>
      <c r="Q93" s="336">
        <f t="shared" si="139"/>
        <v>2.4409632161366393E-2</v>
      </c>
      <c r="R93" s="336">
        <f t="shared" si="139"/>
        <v>2.5991948695847467E-2</v>
      </c>
      <c r="S93" s="336">
        <f t="shared" si="139"/>
        <v>2.6304601487142688E-2</v>
      </c>
      <c r="T93" s="336">
        <f t="shared" si="139"/>
        <v>2.3839830208850162E-2</v>
      </c>
      <c r="U93" s="336">
        <f t="shared" si="139"/>
        <v>2.3969466400865849E-2</v>
      </c>
      <c r="V93" s="336">
        <f t="shared" si="139"/>
        <v>2.2469035185548748E-2</v>
      </c>
      <c r="W93" s="336">
        <f t="shared" si="139"/>
        <v>2.0619064886440733E-2</v>
      </c>
      <c r="X93" s="336">
        <f t="shared" si="139"/>
        <v>3.36664536529565E-2</v>
      </c>
      <c r="Y93" s="336">
        <f t="shared" si="139"/>
        <v>3.397632031763187E-2</v>
      </c>
      <c r="Z93" s="336">
        <f t="shared" si="139"/>
        <v>3.4216195984624415E-2</v>
      </c>
      <c r="AA93" s="336">
        <f t="shared" si="139"/>
        <v>3.4413453268817111E-2</v>
      </c>
      <c r="AB93" s="336">
        <f t="shared" si="139"/>
        <v>3.4580749449986965E-2</v>
      </c>
      <c r="AC93" s="336">
        <f t="shared" si="139"/>
        <v>3.4703906765086036E-2</v>
      </c>
      <c r="AD93" s="336">
        <f t="shared" si="139"/>
        <v>3.4842637927131034E-2</v>
      </c>
      <c r="AE93" s="336">
        <f t="shared" ref="AE93:AL93" si="140">AE46/AE$49</f>
        <v>3.5008149217750015E-2</v>
      </c>
      <c r="AF93" s="336">
        <f t="shared" si="140"/>
        <v>3.5180200351971218E-2</v>
      </c>
      <c r="AG93" s="336">
        <f t="shared" si="140"/>
        <v>3.5381965707790092E-2</v>
      </c>
      <c r="AH93" s="336">
        <f t="shared" si="140"/>
        <v>3.5573761982336631E-2</v>
      </c>
      <c r="AI93" s="336">
        <f t="shared" si="140"/>
        <v>3.574866708592378E-2</v>
      </c>
      <c r="AJ93" s="336">
        <f t="shared" si="140"/>
        <v>3.5925238985402834E-2</v>
      </c>
      <c r="AK93" s="336">
        <f t="shared" si="140"/>
        <v>3.6097559274141787E-2</v>
      </c>
      <c r="AL93" s="336">
        <f t="shared" si="140"/>
        <v>3.6256104912547826E-2</v>
      </c>
      <c r="AM93" s="11"/>
      <c r="AN93" s="11"/>
      <c r="AO93" s="11"/>
      <c r="AP93" s="11"/>
      <c r="AQ93" s="11"/>
      <c r="AR93" s="11"/>
      <c r="AS93" s="11"/>
      <c r="AT93" s="11"/>
      <c r="AU93" s="11"/>
      <c r="AV93" s="11"/>
      <c r="AW93" s="11"/>
      <c r="AX93" s="11"/>
    </row>
    <row r="94" spans="12:50" x14ac:dyDescent="0.2">
      <c r="L94" s="232" t="str">
        <f>'Occ T3'!A49</f>
        <v>92 Elementary administration and service occupations</v>
      </c>
      <c r="M94" s="336">
        <f t="shared" ref="M94:AD94" si="141">M47/M$49</f>
        <v>0.1071498618871724</v>
      </c>
      <c r="N94" s="336">
        <f t="shared" si="141"/>
        <v>0.10410426569423961</v>
      </c>
      <c r="O94" s="336">
        <f t="shared" si="141"/>
        <v>0.10034541026058143</v>
      </c>
      <c r="P94" s="336">
        <f t="shared" si="141"/>
        <v>0.10334629258164328</v>
      </c>
      <c r="Q94" s="336">
        <f t="shared" si="141"/>
        <v>0.10062335559212299</v>
      </c>
      <c r="R94" s="336">
        <f t="shared" si="141"/>
        <v>0.1026948096766238</v>
      </c>
      <c r="S94" s="336">
        <f t="shared" si="141"/>
        <v>0.10102009297791453</v>
      </c>
      <c r="T94" s="336">
        <f t="shared" si="141"/>
        <v>0.10165750372913009</v>
      </c>
      <c r="U94" s="336">
        <f t="shared" si="141"/>
        <v>9.9385910357363813E-2</v>
      </c>
      <c r="V94" s="336">
        <f t="shared" si="141"/>
        <v>9.734862966424157E-2</v>
      </c>
      <c r="W94" s="336">
        <f t="shared" si="141"/>
        <v>8.9818036414817545E-2</v>
      </c>
      <c r="X94" s="336">
        <f t="shared" si="141"/>
        <v>8.2121542159595218E-2</v>
      </c>
      <c r="Y94" s="336">
        <f t="shared" si="141"/>
        <v>8.1477089481766643E-2</v>
      </c>
      <c r="Z94" s="336">
        <f t="shared" si="141"/>
        <v>8.0467856632390547E-2</v>
      </c>
      <c r="AA94" s="336">
        <f t="shared" si="141"/>
        <v>7.9487556580222093E-2</v>
      </c>
      <c r="AB94" s="336">
        <f t="shared" si="141"/>
        <v>7.8505257460363742E-2</v>
      </c>
      <c r="AC94" s="336">
        <f t="shared" si="141"/>
        <v>7.7532919578008772E-2</v>
      </c>
      <c r="AD94" s="336">
        <f t="shared" si="141"/>
        <v>7.6549890744202403E-2</v>
      </c>
      <c r="AE94" s="336">
        <f t="shared" ref="AE94:AL94" si="142">AE47/AE$49</f>
        <v>7.5554241580233966E-2</v>
      </c>
      <c r="AF94" s="336">
        <f t="shared" si="142"/>
        <v>7.4600632687653323E-2</v>
      </c>
      <c r="AG94" s="336">
        <f t="shared" si="142"/>
        <v>7.3677294502785165E-2</v>
      </c>
      <c r="AH94" s="336">
        <f t="shared" si="142"/>
        <v>7.2790011577620703E-2</v>
      </c>
      <c r="AI94" s="336">
        <f t="shared" si="142"/>
        <v>7.1884654816166293E-2</v>
      </c>
      <c r="AJ94" s="336">
        <f t="shared" si="142"/>
        <v>7.102050185682475E-2</v>
      </c>
      <c r="AK94" s="336">
        <f t="shared" si="142"/>
        <v>7.0173898423001507E-2</v>
      </c>
      <c r="AL94" s="336">
        <f t="shared" si="142"/>
        <v>6.9347979733617893E-2</v>
      </c>
      <c r="AM94" s="11"/>
      <c r="AN94" s="11"/>
      <c r="AO94" s="11"/>
      <c r="AP94" s="11"/>
      <c r="AQ94" s="11"/>
      <c r="AR94" s="11"/>
      <c r="AS94" s="11"/>
      <c r="AT94" s="11"/>
      <c r="AU94" s="11"/>
      <c r="AV94" s="11"/>
      <c r="AW94" s="11"/>
      <c r="AX94" s="11"/>
    </row>
    <row r="95" spans="12:50" x14ac:dyDescent="0.2">
      <c r="L95" s="232"/>
      <c r="M95" s="336"/>
      <c r="N95" s="336"/>
      <c r="O95" s="336"/>
      <c r="P95" s="336"/>
      <c r="Q95" s="336"/>
      <c r="R95" s="336"/>
      <c r="S95" s="336"/>
      <c r="T95" s="336"/>
      <c r="U95" s="336"/>
      <c r="V95" s="336"/>
      <c r="W95" s="336"/>
      <c r="X95" s="336"/>
      <c r="Y95" s="336"/>
      <c r="Z95" s="336"/>
      <c r="AA95" s="336"/>
      <c r="AB95" s="336"/>
      <c r="AC95" s="336"/>
      <c r="AD95" s="336"/>
      <c r="AE95" s="336"/>
      <c r="AF95" s="336"/>
      <c r="AG95" s="336"/>
      <c r="AH95" s="336"/>
      <c r="AI95" s="336"/>
      <c r="AJ95" s="336"/>
      <c r="AK95" s="336"/>
      <c r="AL95" s="336"/>
      <c r="AM95" s="11"/>
      <c r="AN95" s="11"/>
      <c r="AO95" s="11"/>
      <c r="AP95" s="11"/>
      <c r="AQ95" s="11"/>
      <c r="AR95" s="11"/>
      <c r="AS95" s="11"/>
      <c r="AT95" s="11"/>
      <c r="AU95" s="11"/>
      <c r="AV95" s="11"/>
      <c r="AW95" s="11"/>
      <c r="AX95" s="11"/>
    </row>
    <row r="96" spans="12:50" x14ac:dyDescent="0.2">
      <c r="L96" s="17" t="str">
        <f>'Occ T3'!A51</f>
        <v>All occupations</v>
      </c>
      <c r="M96" s="337">
        <f t="shared" ref="M96:AD96" si="143">M49/M$49</f>
        <v>1</v>
      </c>
      <c r="N96" s="337">
        <f t="shared" si="143"/>
        <v>1</v>
      </c>
      <c r="O96" s="337">
        <f t="shared" si="143"/>
        <v>1</v>
      </c>
      <c r="P96" s="337">
        <f t="shared" si="143"/>
        <v>1</v>
      </c>
      <c r="Q96" s="337">
        <f t="shared" si="143"/>
        <v>1</v>
      </c>
      <c r="R96" s="337">
        <f t="shared" si="143"/>
        <v>1</v>
      </c>
      <c r="S96" s="337">
        <f t="shared" si="143"/>
        <v>1</v>
      </c>
      <c r="T96" s="337">
        <f t="shared" si="143"/>
        <v>1</v>
      </c>
      <c r="U96" s="337">
        <f t="shared" si="143"/>
        <v>1</v>
      </c>
      <c r="V96" s="337">
        <f t="shared" si="143"/>
        <v>1</v>
      </c>
      <c r="W96" s="337">
        <f t="shared" si="143"/>
        <v>1</v>
      </c>
      <c r="X96" s="337">
        <f t="shared" si="143"/>
        <v>1</v>
      </c>
      <c r="Y96" s="337">
        <f t="shared" si="143"/>
        <v>1</v>
      </c>
      <c r="Z96" s="337">
        <f t="shared" si="143"/>
        <v>1</v>
      </c>
      <c r="AA96" s="337">
        <f t="shared" si="143"/>
        <v>1</v>
      </c>
      <c r="AB96" s="337">
        <f t="shared" si="143"/>
        <v>1</v>
      </c>
      <c r="AC96" s="337">
        <f t="shared" si="143"/>
        <v>1</v>
      </c>
      <c r="AD96" s="337">
        <f t="shared" si="143"/>
        <v>1</v>
      </c>
      <c r="AE96" s="337">
        <f t="shared" ref="AE96:AL96" si="144">AE49/AE$49</f>
        <v>1</v>
      </c>
      <c r="AF96" s="337">
        <f t="shared" si="144"/>
        <v>1</v>
      </c>
      <c r="AG96" s="337">
        <f t="shared" si="144"/>
        <v>1</v>
      </c>
      <c r="AH96" s="337">
        <f t="shared" si="144"/>
        <v>1</v>
      </c>
      <c r="AI96" s="337">
        <f t="shared" si="144"/>
        <v>1</v>
      </c>
      <c r="AJ96" s="337">
        <f t="shared" si="144"/>
        <v>1</v>
      </c>
      <c r="AK96" s="337">
        <f t="shared" si="144"/>
        <v>1</v>
      </c>
      <c r="AL96" s="337">
        <f t="shared" si="144"/>
        <v>1</v>
      </c>
      <c r="AM96" s="11"/>
      <c r="AN96" s="11"/>
      <c r="AO96" s="11"/>
      <c r="AP96" s="11"/>
      <c r="AQ96" s="11"/>
      <c r="AR96" s="11"/>
      <c r="AS96" s="11"/>
      <c r="AT96" s="11"/>
      <c r="AU96" s="11"/>
      <c r="AV96" s="11"/>
      <c r="AW96" s="11"/>
      <c r="AX96" s="11"/>
    </row>
    <row r="97" spans="12:53" x14ac:dyDescent="0.2">
      <c r="L97" s="13"/>
      <c r="M97" s="11"/>
      <c r="N97" s="11"/>
      <c r="O97" s="11"/>
      <c r="P97" s="11"/>
      <c r="Q97" s="11"/>
      <c r="R97" s="11"/>
      <c r="S97" s="11"/>
      <c r="T97" s="11"/>
      <c r="U97" s="11"/>
      <c r="V97" s="11"/>
      <c r="W97" s="11"/>
      <c r="X97" s="11"/>
      <c r="Y97" s="11"/>
      <c r="Z97" s="11"/>
      <c r="AA97" s="11"/>
      <c r="AB97" s="11"/>
      <c r="AC97" s="11"/>
      <c r="AD97" s="11"/>
      <c r="AE97" s="11"/>
      <c r="AF97" s="11"/>
      <c r="AG97" s="11"/>
      <c r="AH97" s="11"/>
      <c r="AI97" s="11"/>
      <c r="AJ97" s="11"/>
      <c r="AK97" s="11"/>
      <c r="AL97" s="11"/>
      <c r="AM97" s="11"/>
      <c r="AN97" s="11"/>
      <c r="AO97" s="11"/>
      <c r="AP97" s="11"/>
      <c r="AQ97" s="11"/>
      <c r="AR97" s="11"/>
      <c r="AS97" s="11"/>
      <c r="AT97" s="11"/>
      <c r="AU97" s="11"/>
      <c r="AV97" s="11"/>
      <c r="AW97" s="11"/>
      <c r="AX97" s="11"/>
      <c r="AY97" s="11"/>
      <c r="AZ97" s="11"/>
      <c r="BA97" s="11"/>
    </row>
    <row r="98" spans="12:53" x14ac:dyDescent="0.2">
      <c r="L98" s="13"/>
      <c r="M98" s="11"/>
      <c r="N98" s="11"/>
      <c r="O98" s="11"/>
      <c r="P98" s="11"/>
      <c r="Q98" s="11"/>
      <c r="R98" s="11"/>
      <c r="S98" s="11"/>
      <c r="T98" s="11"/>
      <c r="U98" s="11"/>
      <c r="V98" s="11"/>
      <c r="W98" s="11"/>
      <c r="X98" s="11"/>
      <c r="Y98" s="11"/>
      <c r="Z98" s="11"/>
      <c r="AA98" s="11"/>
      <c r="AB98" s="11"/>
      <c r="AC98" s="11"/>
      <c r="AD98" s="11"/>
      <c r="AE98" s="11"/>
      <c r="AF98" s="11"/>
      <c r="AG98" s="11"/>
      <c r="AH98" s="11"/>
      <c r="AI98" s="11"/>
      <c r="AJ98" s="11"/>
      <c r="AK98" s="11"/>
      <c r="AL98" s="11"/>
      <c r="AM98" s="11"/>
      <c r="AN98" s="11"/>
      <c r="AO98" s="11"/>
      <c r="AP98" s="11"/>
      <c r="AQ98" s="11"/>
      <c r="AR98" s="11"/>
      <c r="AS98" s="11"/>
      <c r="AT98" s="11"/>
      <c r="AU98" s="11"/>
      <c r="AV98" s="11"/>
      <c r="AW98" s="11"/>
      <c r="AX98" s="11"/>
      <c r="AY98" s="11"/>
      <c r="AZ98" s="11"/>
      <c r="BA98" s="11"/>
    </row>
    <row r="99" spans="12:53" x14ac:dyDescent="0.2">
      <c r="L99" s="13"/>
      <c r="M99" s="11"/>
      <c r="N99" s="11"/>
      <c r="O99" s="11"/>
      <c r="P99" s="11"/>
      <c r="Q99" s="11"/>
      <c r="R99" s="11"/>
      <c r="S99" s="11"/>
      <c r="T99" s="11"/>
      <c r="U99" s="11"/>
      <c r="V99" s="11"/>
      <c r="W99" s="11"/>
      <c r="X99" s="11"/>
      <c r="Y99" s="11"/>
      <c r="Z99" s="11"/>
      <c r="AA99" s="11"/>
      <c r="AB99" s="11"/>
      <c r="AC99" s="11"/>
      <c r="AD99" s="11"/>
      <c r="AE99" s="11"/>
      <c r="AF99" s="11"/>
      <c r="AG99" s="11"/>
      <c r="AH99" s="11"/>
      <c r="AI99" s="11"/>
      <c r="AJ99" s="11"/>
      <c r="AK99" s="11"/>
      <c r="AL99" s="11"/>
      <c r="AM99" s="11"/>
      <c r="AN99" s="11"/>
      <c r="AO99" s="11"/>
      <c r="AP99" s="11"/>
      <c r="AQ99" s="11"/>
      <c r="AR99" s="11"/>
      <c r="AS99" s="11"/>
      <c r="AT99" s="11"/>
      <c r="AU99" s="11"/>
      <c r="AV99" s="11"/>
      <c r="AW99" s="11"/>
      <c r="AX99" s="11"/>
      <c r="AY99" s="11"/>
      <c r="AZ99" s="11"/>
      <c r="BA99" s="11"/>
    </row>
    <row r="100" spans="12:53" x14ac:dyDescent="0.2">
      <c r="L100" s="13"/>
      <c r="M100" s="11"/>
      <c r="N100" s="11"/>
      <c r="O100" s="11"/>
      <c r="P100" s="11"/>
      <c r="Q100" s="11"/>
      <c r="R100" s="11"/>
      <c r="S100" s="11"/>
      <c r="T100" s="11"/>
      <c r="U100" s="11"/>
      <c r="V100" s="11"/>
      <c r="W100" s="11"/>
      <c r="X100" s="11"/>
      <c r="Y100" s="11"/>
      <c r="Z100" s="11"/>
      <c r="AA100" s="11"/>
      <c r="AB100" s="11"/>
      <c r="AC100" s="11"/>
      <c r="AD100" s="11"/>
      <c r="AE100" s="11"/>
      <c r="AF100" s="11"/>
      <c r="AG100" s="11"/>
      <c r="AH100" s="11"/>
      <c r="AI100" s="11"/>
      <c r="AJ100" s="11"/>
      <c r="AK100" s="11"/>
      <c r="AL100" s="11"/>
      <c r="AM100" s="11"/>
      <c r="AN100" s="11"/>
      <c r="AO100" s="11"/>
      <c r="AP100" s="11"/>
      <c r="AQ100" s="11"/>
      <c r="AR100" s="11"/>
      <c r="AS100" s="11"/>
      <c r="AT100" s="11"/>
      <c r="AU100" s="11"/>
      <c r="AV100" s="11"/>
      <c r="AW100" s="11"/>
      <c r="AX100" s="11"/>
      <c r="AY100" s="11"/>
      <c r="AZ100" s="11"/>
      <c r="BA100" s="11"/>
    </row>
    <row r="101" spans="12:53" x14ac:dyDescent="0.2">
      <c r="L101" s="13"/>
      <c r="M101" s="11"/>
      <c r="N101" s="11"/>
      <c r="O101" s="11"/>
      <c r="P101" s="11"/>
      <c r="Q101" s="11"/>
      <c r="R101" s="11"/>
      <c r="S101" s="11"/>
      <c r="T101" s="11"/>
      <c r="U101" s="11"/>
      <c r="V101" s="11"/>
      <c r="W101" s="11"/>
      <c r="X101" s="11"/>
      <c r="Y101" s="11"/>
      <c r="Z101" s="11"/>
      <c r="AA101" s="11"/>
      <c r="AB101" s="11"/>
      <c r="AC101" s="11"/>
      <c r="AD101" s="11"/>
      <c r="AE101" s="11"/>
      <c r="AF101" s="11"/>
      <c r="AG101" s="11"/>
      <c r="AH101" s="11"/>
      <c r="AI101" s="11"/>
      <c r="AJ101" s="11"/>
      <c r="AK101" s="11"/>
      <c r="AL101" s="11"/>
      <c r="AM101" s="11"/>
      <c r="AN101" s="11"/>
      <c r="AO101" s="11"/>
      <c r="AP101" s="11"/>
      <c r="AQ101" s="11"/>
      <c r="AR101" s="11"/>
      <c r="AS101" s="11"/>
      <c r="AT101" s="11"/>
      <c r="AU101" s="11"/>
      <c r="AV101" s="11"/>
      <c r="AW101" s="11"/>
      <c r="AX101" s="11"/>
      <c r="AY101" s="11"/>
      <c r="AZ101" s="11"/>
      <c r="BA101" s="11"/>
    </row>
    <row r="102" spans="12:53" x14ac:dyDescent="0.2">
      <c r="L102" s="13"/>
      <c r="M102" s="11"/>
      <c r="N102" s="11"/>
      <c r="O102" s="11"/>
      <c r="P102" s="11"/>
      <c r="Q102" s="11"/>
      <c r="R102" s="11"/>
      <c r="S102" s="11"/>
      <c r="T102" s="11"/>
      <c r="U102" s="11"/>
      <c r="V102" s="11"/>
      <c r="W102" s="11"/>
      <c r="X102" s="11"/>
      <c r="Y102" s="11"/>
      <c r="Z102" s="11"/>
      <c r="AA102" s="11"/>
      <c r="AB102" s="11"/>
      <c r="AC102" s="11"/>
      <c r="AD102" s="11"/>
      <c r="AE102" s="11"/>
      <c r="AF102" s="11"/>
      <c r="AG102" s="11"/>
      <c r="AH102" s="11"/>
      <c r="AI102" s="11"/>
      <c r="AJ102" s="11"/>
      <c r="AK102" s="11"/>
      <c r="AL102" s="11"/>
      <c r="AM102" s="11"/>
      <c r="AN102" s="11"/>
      <c r="AO102" s="11"/>
      <c r="AP102" s="11"/>
      <c r="AQ102" s="11"/>
      <c r="AR102" s="11"/>
      <c r="AS102" s="11"/>
      <c r="AT102" s="11"/>
      <c r="AU102" s="11"/>
      <c r="AV102" s="11"/>
      <c r="AW102" s="11"/>
      <c r="AX102" s="11"/>
      <c r="AY102" s="11"/>
      <c r="AZ102" s="11"/>
      <c r="BA102" s="11"/>
    </row>
    <row r="103" spans="12:53" x14ac:dyDescent="0.2">
      <c r="L103" s="13"/>
      <c r="M103" s="11"/>
      <c r="N103" s="11"/>
      <c r="O103" s="11"/>
      <c r="P103" s="11"/>
      <c r="Q103" s="11"/>
      <c r="R103" s="11"/>
      <c r="S103" s="11"/>
      <c r="T103" s="11"/>
      <c r="U103" s="11"/>
      <c r="V103" s="11"/>
      <c r="W103" s="11"/>
      <c r="X103" s="11"/>
      <c r="Y103" s="11"/>
      <c r="Z103" s="11"/>
      <c r="AA103" s="11"/>
      <c r="AB103" s="11"/>
      <c r="AC103" s="11"/>
      <c r="AD103" s="11"/>
      <c r="AE103" s="11"/>
      <c r="AF103" s="11"/>
      <c r="AG103" s="11"/>
      <c r="AH103" s="11"/>
      <c r="AI103" s="11"/>
      <c r="AJ103" s="11"/>
      <c r="AK103" s="11"/>
      <c r="AL103" s="11"/>
      <c r="AM103" s="11"/>
      <c r="AN103" s="11"/>
      <c r="AO103" s="11"/>
      <c r="AP103" s="11"/>
      <c r="AQ103" s="11"/>
      <c r="AR103" s="11"/>
      <c r="AS103" s="11"/>
      <c r="AT103" s="11"/>
      <c r="AU103" s="11"/>
      <c r="AV103" s="11"/>
      <c r="AW103" s="11"/>
      <c r="AX103" s="11"/>
      <c r="AY103" s="11"/>
      <c r="AZ103" s="11"/>
      <c r="BA103" s="11"/>
    </row>
    <row r="104" spans="12:53" x14ac:dyDescent="0.2">
      <c r="L104" s="13"/>
      <c r="M104" s="11"/>
      <c r="N104" s="11"/>
      <c r="O104" s="11"/>
      <c r="P104" s="11"/>
      <c r="Q104" s="11"/>
      <c r="R104" s="11"/>
      <c r="S104" s="11"/>
      <c r="T104" s="11"/>
      <c r="U104" s="11"/>
      <c r="V104" s="11"/>
      <c r="W104" s="11"/>
      <c r="X104" s="11"/>
      <c r="Y104" s="11"/>
      <c r="Z104" s="11"/>
      <c r="AA104" s="11"/>
      <c r="AB104" s="11"/>
      <c r="AC104" s="11"/>
      <c r="AD104" s="11"/>
      <c r="AE104" s="11"/>
      <c r="AF104" s="11"/>
      <c r="AG104" s="11"/>
      <c r="AH104" s="11"/>
      <c r="AI104" s="11"/>
      <c r="AJ104" s="11"/>
      <c r="AK104" s="11"/>
      <c r="AL104" s="11"/>
      <c r="AM104" s="11"/>
      <c r="AN104" s="11"/>
      <c r="AO104" s="11"/>
      <c r="AP104" s="11"/>
      <c r="AQ104" s="11"/>
      <c r="AR104" s="11"/>
      <c r="AS104" s="11"/>
      <c r="AT104" s="11"/>
      <c r="AU104" s="11"/>
      <c r="AV104" s="11"/>
      <c r="AW104" s="11"/>
      <c r="AX104" s="11"/>
      <c r="AY104" s="11"/>
      <c r="AZ104" s="11"/>
      <c r="BA104" s="11"/>
    </row>
    <row r="105" spans="12:53" x14ac:dyDescent="0.2">
      <c r="L105" s="13"/>
      <c r="M105" s="11"/>
      <c r="N105" s="11"/>
      <c r="O105" s="11"/>
      <c r="P105" s="11"/>
      <c r="Q105" s="11"/>
      <c r="R105" s="11"/>
      <c r="S105" s="11"/>
      <c r="T105" s="11"/>
      <c r="U105" s="11"/>
      <c r="V105" s="11"/>
      <c r="W105" s="11"/>
      <c r="X105" s="11"/>
      <c r="Y105" s="11"/>
      <c r="Z105" s="11"/>
      <c r="AA105" s="11"/>
      <c r="AB105" s="11"/>
      <c r="AC105" s="11"/>
      <c r="AD105" s="11"/>
      <c r="AE105" s="11"/>
      <c r="AF105" s="11"/>
      <c r="AG105" s="11"/>
      <c r="AH105" s="11"/>
      <c r="AI105" s="11"/>
      <c r="AJ105" s="11"/>
      <c r="AK105" s="11"/>
      <c r="AL105" s="11"/>
    </row>
    <row r="106" spans="12:53" x14ac:dyDescent="0.2">
      <c r="L106" s="13"/>
      <c r="M106" s="11"/>
      <c r="N106" s="11"/>
      <c r="O106" s="11"/>
      <c r="P106" s="11"/>
      <c r="Q106" s="11"/>
      <c r="R106" s="11"/>
      <c r="S106" s="11"/>
      <c r="T106" s="11"/>
      <c r="U106" s="11"/>
      <c r="V106" s="11"/>
      <c r="W106" s="11"/>
      <c r="X106" s="11"/>
      <c r="Y106" s="11"/>
      <c r="Z106" s="11"/>
      <c r="AA106" s="11"/>
      <c r="AB106" s="11"/>
      <c r="AC106" s="11"/>
      <c r="AD106" s="11"/>
      <c r="AE106" s="11"/>
      <c r="AF106" s="11"/>
      <c r="AG106" s="11"/>
    </row>
    <row r="107" spans="12:53" x14ac:dyDescent="0.2">
      <c r="L107" s="13"/>
      <c r="M107" s="11"/>
      <c r="N107" s="11"/>
      <c r="O107" s="11"/>
      <c r="P107" s="11"/>
      <c r="Q107" s="11"/>
      <c r="R107" s="11"/>
      <c r="S107" s="11"/>
      <c r="T107" s="11"/>
      <c r="U107" s="11"/>
      <c r="V107" s="11"/>
      <c r="W107" s="11"/>
      <c r="X107" s="11"/>
      <c r="Y107" s="11"/>
      <c r="Z107" s="11"/>
      <c r="AA107" s="11"/>
      <c r="AB107" s="11"/>
      <c r="AC107" s="11"/>
      <c r="AD107" s="11"/>
      <c r="AE107" s="11"/>
      <c r="AF107" s="11"/>
      <c r="AG107" s="11"/>
    </row>
    <row r="108" spans="12:53" x14ac:dyDescent="0.2">
      <c r="L108" s="13"/>
      <c r="M108" s="11"/>
      <c r="N108" s="11"/>
      <c r="O108" s="11"/>
      <c r="P108" s="11"/>
      <c r="Q108" s="11"/>
      <c r="R108" s="11"/>
      <c r="S108" s="11"/>
      <c r="T108" s="11"/>
      <c r="U108" s="11"/>
      <c r="V108" s="11"/>
      <c r="W108" s="11"/>
      <c r="X108" s="11"/>
      <c r="Y108" s="11"/>
      <c r="Z108" s="11"/>
      <c r="AA108" s="11"/>
      <c r="AB108" s="11"/>
      <c r="AC108" s="11"/>
      <c r="AD108" s="11"/>
      <c r="AE108" s="11"/>
      <c r="AF108" s="11"/>
    </row>
    <row r="109" spans="12:53" x14ac:dyDescent="0.2">
      <c r="L109" s="13"/>
      <c r="M109" s="11"/>
      <c r="N109" s="11"/>
      <c r="O109" s="11"/>
      <c r="P109" s="11"/>
      <c r="Q109" s="11"/>
      <c r="R109" s="11"/>
      <c r="S109" s="11"/>
      <c r="T109" s="11"/>
      <c r="U109" s="11"/>
      <c r="V109" s="11"/>
      <c r="W109" s="11"/>
      <c r="X109" s="11"/>
      <c r="Y109" s="11"/>
      <c r="Z109" s="11"/>
      <c r="AA109" s="11"/>
      <c r="AB109" s="11"/>
      <c r="AC109" s="11"/>
      <c r="AD109" s="11"/>
      <c r="AE109" s="11"/>
      <c r="AF109" s="11"/>
    </row>
    <row r="110" spans="12:53" x14ac:dyDescent="0.2">
      <c r="L110" s="13"/>
      <c r="M110" s="11"/>
      <c r="N110" s="11"/>
      <c r="O110" s="11"/>
      <c r="P110" s="11"/>
    </row>
    <row r="111" spans="12:53" x14ac:dyDescent="0.2">
      <c r="L111" s="13"/>
      <c r="M111" s="11"/>
      <c r="N111" s="11"/>
      <c r="O111" s="11"/>
      <c r="P111" s="11"/>
    </row>
    <row r="112" spans="12:53" x14ac:dyDescent="0.2">
      <c r="L112" s="13"/>
      <c r="M112" s="11"/>
      <c r="N112" s="11"/>
      <c r="O112" s="11"/>
      <c r="P112" s="11"/>
    </row>
    <row r="113" spans="1:16" x14ac:dyDescent="0.2">
      <c r="L113" s="13"/>
      <c r="M113" s="11"/>
      <c r="N113" s="11"/>
      <c r="O113" s="11"/>
      <c r="P113" s="11"/>
    </row>
    <row r="114" spans="1:16" x14ac:dyDescent="0.2">
      <c r="L114" s="13"/>
      <c r="M114" s="11"/>
      <c r="N114" s="11"/>
      <c r="O114" s="11"/>
      <c r="P114" s="11"/>
    </row>
    <row r="115" spans="1:16" x14ac:dyDescent="0.2">
      <c r="L115" s="13"/>
      <c r="M115" s="11"/>
      <c r="N115" s="11"/>
      <c r="O115" s="11"/>
      <c r="P115" s="11"/>
    </row>
    <row r="116" spans="1:16" ht="15.75" x14ac:dyDescent="0.25">
      <c r="A116" s="80" t="str">
        <f>CONCATENATE("Occupation Figure 2.2  Employment by Occupation, ",$M$2,"-",$O$2,", ",Info!B5)</f>
        <v>Occupation Figure 2.2  Employment by Occupation, 2010-2035, Greater Lincolnshire</v>
      </c>
      <c r="L116" s="13"/>
      <c r="M116" s="11"/>
      <c r="N116" s="11"/>
      <c r="O116" s="11"/>
      <c r="P116" s="11"/>
    </row>
    <row r="117" spans="1:16" x14ac:dyDescent="0.2">
      <c r="L117" s="13"/>
    </row>
    <row r="143" spans="12:63" s="81" customFormat="1" x14ac:dyDescent="0.2">
      <c r="L143"/>
      <c r="M143"/>
      <c r="N143"/>
      <c r="O143"/>
      <c r="P143"/>
      <c r="Q143"/>
      <c r="R143"/>
      <c r="S143"/>
      <c r="T143"/>
      <c r="U143"/>
      <c r="V143"/>
      <c r="W143"/>
      <c r="X143"/>
      <c r="Y143"/>
      <c r="Z143"/>
      <c r="AA143"/>
      <c r="AB143"/>
      <c r="AC143"/>
      <c r="AD143"/>
      <c r="AE143"/>
      <c r="AF143"/>
      <c r="AG143"/>
      <c r="AH143"/>
      <c r="AI143"/>
      <c r="AJ143"/>
      <c r="AK143"/>
      <c r="AL143"/>
      <c r="AM143"/>
      <c r="AN143"/>
      <c r="AO143"/>
      <c r="AP143"/>
      <c r="AQ143"/>
      <c r="AR143"/>
      <c r="AS143"/>
      <c r="AT143"/>
      <c r="AU143"/>
      <c r="AV143"/>
      <c r="AW143"/>
      <c r="AX143"/>
      <c r="AY143"/>
      <c r="AZ143"/>
      <c r="BA143"/>
      <c r="BB143"/>
      <c r="BC143"/>
      <c r="BD143"/>
      <c r="BE143"/>
      <c r="BF143"/>
      <c r="BG143"/>
      <c r="BH143"/>
      <c r="BI143"/>
      <c r="BJ143"/>
      <c r="BK143"/>
    </row>
    <row r="162" spans="1:1" ht="15.75" x14ac:dyDescent="0.25">
      <c r="A162" s="80" t="str">
        <f>CONCATENATE("Occupation Figure 2.3  Change in Employment in ",$L$5,", ",$M$2,"-",$O$2,", ",Info!B5)</f>
        <v>Occupation Figure 2.3  Change in Employment in Managers, directors and senior officials, 2010-2035, Greater Lincolnshire</v>
      </c>
    </row>
    <row r="178" spans="12:63" s="81" customFormat="1" x14ac:dyDescent="0.2">
      <c r="L178"/>
      <c r="M178"/>
      <c r="N178"/>
      <c r="O178"/>
      <c r="P178"/>
      <c r="Q178"/>
      <c r="R178"/>
      <c r="S178"/>
      <c r="T178"/>
      <c r="U178"/>
      <c r="V178"/>
      <c r="W178"/>
      <c r="X178"/>
      <c r="Y178"/>
      <c r="Z178"/>
      <c r="AA178"/>
      <c r="AB178"/>
      <c r="AC178"/>
      <c r="AD178"/>
      <c r="AE178"/>
      <c r="AF178"/>
      <c r="AG178"/>
      <c r="AH178"/>
      <c r="AI178"/>
      <c r="AJ178"/>
      <c r="AK178"/>
      <c r="AL178"/>
      <c r="AM178"/>
      <c r="AN178"/>
      <c r="AO178"/>
      <c r="AP178"/>
      <c r="AQ178"/>
      <c r="AR178"/>
      <c r="AS178"/>
      <c r="AT178"/>
      <c r="AU178"/>
      <c r="AV178"/>
      <c r="AW178"/>
      <c r="AX178"/>
      <c r="AY178"/>
      <c r="AZ178"/>
      <c r="BA178"/>
      <c r="BB178"/>
      <c r="BC178"/>
      <c r="BD178"/>
      <c r="BE178"/>
      <c r="BF178"/>
      <c r="BG178"/>
      <c r="BH178"/>
      <c r="BI178"/>
      <c r="BJ178"/>
      <c r="BK178"/>
    </row>
    <row r="197" spans="1:1" ht="15.75" x14ac:dyDescent="0.25">
      <c r="A197" s="80" t="str">
        <f>CONCATENATE("Occupation Figure 2.4  Change in Employment in ",$L$9,", ",$M$2,"-",$O$2,", ",Info!B5)</f>
        <v>Occupation Figure 2.4  Change in Employment in Professional occupations, 2010-2035, Greater Lincolnshire</v>
      </c>
    </row>
    <row r="213" spans="12:63" s="81" customFormat="1" x14ac:dyDescent="0.2">
      <c r="L213"/>
      <c r="M213"/>
      <c r="N213"/>
      <c r="O213"/>
      <c r="P213"/>
      <c r="Q213"/>
      <c r="R213"/>
      <c r="S213"/>
      <c r="T213"/>
      <c r="U213"/>
      <c r="V213"/>
      <c r="W213"/>
      <c r="X213"/>
      <c r="Y213"/>
      <c r="Z213"/>
      <c r="AA213"/>
      <c r="AB213"/>
      <c r="AC213"/>
      <c r="AD213"/>
      <c r="AE213"/>
      <c r="AF213"/>
      <c r="AG213"/>
      <c r="AH213"/>
      <c r="AI213"/>
      <c r="AJ213"/>
      <c r="AK213"/>
      <c r="AL213"/>
      <c r="AM213"/>
      <c r="AN213"/>
      <c r="AO213"/>
      <c r="AP213"/>
      <c r="AQ213"/>
      <c r="AR213"/>
      <c r="AS213"/>
      <c r="AT213"/>
      <c r="AU213"/>
      <c r="AV213"/>
      <c r="AW213"/>
      <c r="AX213"/>
      <c r="AY213"/>
      <c r="AZ213"/>
      <c r="BA213"/>
      <c r="BB213"/>
      <c r="BC213"/>
      <c r="BD213"/>
      <c r="BE213"/>
      <c r="BF213"/>
      <c r="BG213"/>
      <c r="BH213"/>
      <c r="BI213"/>
      <c r="BJ213"/>
      <c r="BK213"/>
    </row>
    <row r="232" spans="1:1" ht="15.75" x14ac:dyDescent="0.25">
      <c r="A232" s="80" t="str">
        <f>CONCATENATE("Occupation Figure 2.5  Change in Employment in ",$L$15,", ",$M$2,"-",$O$2,", ",Info!B5)</f>
        <v>Occupation Figure 2.5  Change in Employment in Associate professional occupations, 2010-2035, Greater Lincolnshire</v>
      </c>
    </row>
    <row r="248" spans="12:63" s="81" customFormat="1" x14ac:dyDescent="0.2">
      <c r="L248"/>
      <c r="M248"/>
      <c r="N248"/>
      <c r="O248"/>
      <c r="P248"/>
      <c r="Q248"/>
      <c r="R248"/>
      <c r="S248"/>
      <c r="T248"/>
      <c r="U248"/>
      <c r="V248"/>
      <c r="W248"/>
      <c r="X248"/>
      <c r="Y248"/>
      <c r="Z248"/>
      <c r="AA248"/>
      <c r="AB248"/>
      <c r="AC248"/>
      <c r="AD248"/>
      <c r="AE248"/>
      <c r="AF248"/>
      <c r="AG248"/>
      <c r="AH248"/>
      <c r="AI248"/>
      <c r="AJ248"/>
      <c r="AK248"/>
      <c r="AL248"/>
      <c r="AM248"/>
      <c r="AN248"/>
      <c r="AO248"/>
      <c r="AP248"/>
      <c r="AQ248"/>
      <c r="AR248"/>
      <c r="AS248"/>
      <c r="AT248"/>
      <c r="AU248"/>
      <c r="AV248"/>
      <c r="AW248"/>
      <c r="AX248"/>
      <c r="AY248"/>
      <c r="AZ248"/>
      <c r="BA248"/>
      <c r="BB248"/>
      <c r="BC248"/>
      <c r="BD248"/>
      <c r="BE248"/>
      <c r="BF248"/>
      <c r="BG248"/>
      <c r="BH248"/>
      <c r="BI248"/>
      <c r="BJ248"/>
      <c r="BK248"/>
    </row>
    <row r="267" spans="1:1" ht="15.75" x14ac:dyDescent="0.25">
      <c r="A267" s="80" t="str">
        <f>CONCATENATE("Occupation Figure 2.6  Change in Employment in ",$L$22,", ",$M$2,"-",$O$2,", ",Info!B5)</f>
        <v>Occupation Figure 2.6  Change in Employment in Administrative and secretarial occupations, 2010-2035, Greater Lincolnshire</v>
      </c>
    </row>
    <row r="283" spans="12:63" s="81" customFormat="1" x14ac:dyDescent="0.2">
      <c r="L283"/>
      <c r="M283"/>
      <c r="N283"/>
      <c r="O283"/>
      <c r="P283"/>
      <c r="Q283"/>
      <c r="R283"/>
      <c r="S283"/>
      <c r="T283"/>
      <c r="U283"/>
      <c r="V283"/>
      <c r="W283"/>
      <c r="X283"/>
      <c r="Y283"/>
      <c r="Z283"/>
      <c r="AA283"/>
      <c r="AB283"/>
      <c r="AC283"/>
      <c r="AD283"/>
      <c r="AE283"/>
      <c r="AF283"/>
      <c r="AG283"/>
      <c r="AH283"/>
      <c r="AI283"/>
      <c r="AJ283"/>
      <c r="AK283"/>
      <c r="AL283"/>
      <c r="AM283"/>
      <c r="AN283"/>
      <c r="AO283"/>
      <c r="AP283"/>
      <c r="AQ283"/>
      <c r="AR283"/>
      <c r="AS283"/>
      <c r="AT283"/>
      <c r="AU283"/>
      <c r="AV283"/>
      <c r="AW283"/>
      <c r="AX283"/>
      <c r="AY283"/>
      <c r="AZ283"/>
      <c r="BA283"/>
      <c r="BB283"/>
      <c r="BC283"/>
      <c r="BD283"/>
      <c r="BE283"/>
      <c r="BF283"/>
      <c r="BG283"/>
      <c r="BH283"/>
      <c r="BI283"/>
      <c r="BJ283"/>
      <c r="BK283"/>
    </row>
    <row r="302" spans="1:1" ht="15.75" x14ac:dyDescent="0.25">
      <c r="A302" s="80" t="str">
        <f>CONCATENATE("Occupation Figure 2.7  Change in Employment in ",$L$26,", ",$M$2,"- ",$O$2,", ",Info!B5)</f>
        <v>Occupation Figure 2.7  Change in Employment in Skilled trades occupations, 2010- 2035, Greater Lincolnshire</v>
      </c>
    </row>
    <row r="318" spans="12:63" s="81" customFormat="1" x14ac:dyDescent="0.2">
      <c r="L318"/>
      <c r="M318"/>
      <c r="N318"/>
      <c r="O318"/>
      <c r="P318"/>
      <c r="Q318"/>
      <c r="R318"/>
      <c r="S318"/>
      <c r="T318"/>
      <c r="U318"/>
      <c r="V318"/>
      <c r="W318"/>
      <c r="X318"/>
      <c r="Y318"/>
      <c r="Z318"/>
      <c r="AA318"/>
      <c r="AB318"/>
      <c r="AC318"/>
      <c r="AD318"/>
      <c r="AE318"/>
      <c r="AF318"/>
      <c r="AG318"/>
      <c r="AH318"/>
      <c r="AI318"/>
      <c r="AJ318"/>
      <c r="AK318"/>
      <c r="AL318"/>
      <c r="AM318"/>
      <c r="AN318"/>
      <c r="AO318"/>
      <c r="AP318"/>
      <c r="AQ318"/>
      <c r="AR318"/>
      <c r="AS318"/>
      <c r="AT318"/>
      <c r="AU318"/>
      <c r="AV318"/>
      <c r="AW318"/>
      <c r="AX318"/>
      <c r="AY318"/>
      <c r="AZ318"/>
      <c r="BA318"/>
      <c r="BB318"/>
      <c r="BC318"/>
      <c r="BD318"/>
      <c r="BE318"/>
      <c r="BF318"/>
      <c r="BG318"/>
      <c r="BH318"/>
      <c r="BI318"/>
      <c r="BJ318"/>
      <c r="BK318"/>
    </row>
    <row r="337" spans="1:1" ht="15.75" x14ac:dyDescent="0.25">
      <c r="A337" s="80" t="str">
        <f>CONCATENATE("Occupation Figure 2.8  Change in Employment in ",$L$32,", ",$M$2,"-",$O$2,", ",Info!B5)</f>
        <v>Occupation Figure 2.8  Change in Employment in Caring, leisure and other service occupations, 2010-2035, Greater Lincolnshire</v>
      </c>
    </row>
    <row r="353" spans="12:63" s="81" customFormat="1" x14ac:dyDescent="0.2">
      <c r="L353"/>
      <c r="M353"/>
      <c r="N353"/>
      <c r="O353"/>
      <c r="P353"/>
      <c r="Q353"/>
      <c r="R353"/>
      <c r="S353"/>
      <c r="T353"/>
      <c r="U353"/>
      <c r="V353"/>
      <c r="W353"/>
      <c r="X353"/>
      <c r="Y353"/>
      <c r="Z353"/>
      <c r="AA353"/>
      <c r="AB353"/>
      <c r="AC353"/>
      <c r="AD353"/>
      <c r="AE353"/>
      <c r="AF353"/>
      <c r="AG353"/>
      <c r="AH353"/>
      <c r="AI353"/>
      <c r="AJ353"/>
      <c r="AK353"/>
      <c r="AL353"/>
      <c r="AM353"/>
      <c r="AN353"/>
      <c r="AO353"/>
      <c r="AP353"/>
      <c r="AQ353"/>
      <c r="AR353"/>
      <c r="AS353"/>
      <c r="AT353"/>
      <c r="AU353"/>
      <c r="AV353"/>
      <c r="AW353"/>
      <c r="AX353"/>
      <c r="AY353"/>
      <c r="AZ353"/>
      <c r="BA353"/>
      <c r="BB353"/>
      <c r="BC353"/>
      <c r="BD353"/>
      <c r="BE353"/>
      <c r="BF353"/>
      <c r="BG353"/>
      <c r="BH353"/>
      <c r="BI353"/>
      <c r="BJ353"/>
      <c r="BK353"/>
    </row>
    <row r="372" spans="1:1" ht="15.75" x14ac:dyDescent="0.25">
      <c r="A372" s="80" t="str">
        <f>CONCATENATE("Occupation Figure 2.9  Change in Employment in ",$L$37,", ",$M$2,"-",$O$2,", ",Info!B5)</f>
        <v>Occupation Figure 2.9  Change in Employment in Sales and customer service occupations, 2010-2035, Greater Lincolnshire</v>
      </c>
    </row>
    <row r="388" spans="12:63" s="81" customFormat="1" x14ac:dyDescent="0.2">
      <c r="L388"/>
      <c r="M388"/>
      <c r="N388"/>
      <c r="O388"/>
      <c r="P388"/>
      <c r="Q388"/>
      <c r="R388"/>
      <c r="S388"/>
      <c r="T388"/>
      <c r="U388"/>
      <c r="V388"/>
      <c r="W388"/>
      <c r="X388"/>
      <c r="Y388"/>
      <c r="Z388"/>
      <c r="AA388"/>
      <c r="AB388"/>
      <c r="AC388"/>
      <c r="AD388"/>
      <c r="AE388"/>
      <c r="AF388"/>
      <c r="AG388"/>
      <c r="AH388"/>
      <c r="AI388"/>
      <c r="AJ388"/>
      <c r="AK388"/>
      <c r="AL388"/>
      <c r="AM388"/>
      <c r="AN388"/>
      <c r="AO388"/>
      <c r="AP388"/>
      <c r="AQ388"/>
      <c r="AR388"/>
      <c r="AS388"/>
      <c r="AT388"/>
      <c r="AU388"/>
      <c r="AV388"/>
      <c r="AW388"/>
      <c r="AX388"/>
      <c r="AY388"/>
      <c r="AZ388"/>
      <c r="BA388"/>
      <c r="BB388"/>
      <c r="BC388"/>
      <c r="BD388"/>
      <c r="BE388"/>
      <c r="BF388"/>
      <c r="BG388"/>
      <c r="BH388"/>
      <c r="BI388"/>
      <c r="BJ388"/>
      <c r="BK388"/>
    </row>
    <row r="407" spans="1:1" ht="15.75" x14ac:dyDescent="0.25">
      <c r="A407" s="80" t="str">
        <f>CONCATENATE("Occupation Figure 2.10  Change in Employment in ",$L$41,", ",$M$2,"-",$O$2,", ",Info!B5)</f>
        <v>Occupation Figure 2.10  Change in Employment in Process, plant and machine operatives, 2010-2035, Greater Lincolnshire</v>
      </c>
    </row>
    <row r="442" spans="1:1" ht="15.75" x14ac:dyDescent="0.25">
      <c r="A442" s="80" t="str">
        <f>CONCATENATE("Occupation Figure 2.11  Change in Employment in ",$L$45,", ",$M$2,"-",$O$2,", ",Info!B5)</f>
        <v>Occupation Figure 2.11  Change in Employment in Elementary occupations, 2010-2035, Greater Lincolnshire</v>
      </c>
    </row>
    <row r="477" spans="1:12" ht="15.75" x14ac:dyDescent="0.25">
      <c r="A477" s="80" t="str">
        <f>CONCATENATE("Occupation Figure 2.12  Employment Level by Occupation (SOC 2020), ",'Occ T1'!D6," and ",'Occ T1'!F6," (000s)",", ",Info!B5)</f>
        <v>Occupation Figure 2.12  Employment Level by Occupation (SOC 2020), 2020 and 2035 (000s), Greater Lincolnshire</v>
      </c>
    </row>
    <row r="479" spans="1:12" x14ac:dyDescent="0.2">
      <c r="L479" s="46" t="s">
        <v>412</v>
      </c>
    </row>
    <row r="480" spans="1:12" x14ac:dyDescent="0.2">
      <c r="L480" s="30" t="s">
        <v>413</v>
      </c>
    </row>
    <row r="505" spans="1:12" ht="15.75" x14ac:dyDescent="0.25">
      <c r="A505" s="80" t="str">
        <f>CONCATENATE("Occupation Figure 2.13  Employment Share by Occupation (SOC 2020), ",'Occ T1'!B24,", ",'Occ T1'!D24," and ",'Occ T1'!F24," (%)",", ",Info!B5)</f>
        <v>Occupation Figure 2.13  Employment Share by Occupation (SOC 2020), 2015, 2020 and 2035 (%), Greater Lincolnshire</v>
      </c>
    </row>
    <row r="507" spans="1:12" x14ac:dyDescent="0.2">
      <c r="L507" s="46" t="s">
        <v>414</v>
      </c>
    </row>
    <row r="508" spans="1:12" x14ac:dyDescent="0.2">
      <c r="L508" s="30" t="s">
        <v>413</v>
      </c>
    </row>
  </sheetData>
  <conditionalFormatting sqref="L4:AM4 L51:AL51">
    <cfRule type="cellIs" dxfId="7" priority="2" stopIfTrue="1" operator="equal">
      <formula>0</formula>
    </cfRule>
  </conditionalFormatting>
  <pageMargins left="0.19685039370078741" right="0.19685039370078741" top="0.78740157480314965" bottom="0.78740157480314965" header="0.51181102362204722" footer="0.51181102362204722"/>
  <pageSetup paperSize="9" scale="80" orientation="portrait" r:id="rId1"/>
  <headerFooter alignWithMargins="0"/>
  <rowBreaks count="8" manualBreakCount="8">
    <brk id="57" max="9" man="1"/>
    <brk id="115" max="9" man="1"/>
    <brk id="161" max="9" man="1"/>
    <brk id="231" max="9" man="1"/>
    <brk id="301" max="9" man="1"/>
    <brk id="371" max="9" man="1"/>
    <brk id="441" max="9" man="1"/>
    <brk id="476" max="9" man="1"/>
  </rowBreaks>
  <drawing r:id="rId2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500-000000000000}">
  <sheetPr codeName="Sheet8"/>
  <dimension ref="A1:AC28"/>
  <sheetViews>
    <sheetView showGridLines="0" zoomScale="75" zoomScaleNormal="75" workbookViewId="0"/>
  </sheetViews>
  <sheetFormatPr defaultRowHeight="12.75" x14ac:dyDescent="0.2"/>
  <cols>
    <col min="18" max="18" width="9" customWidth="1"/>
    <col min="19" max="22" width="16" customWidth="1"/>
    <col min="23" max="23" width="42.42578125" customWidth="1"/>
    <col min="24" max="29" width="11.42578125" customWidth="1"/>
  </cols>
  <sheetData>
    <row r="1" spans="1:29" ht="15.75" x14ac:dyDescent="0.25">
      <c r="A1" s="80" t="str">
        <f>CONCATENATE("Occupation Figure 3  Changes in Occupational Employment Structure (000s) (SOC 2020), ",$W$1,"-",$X$1,", ",Info!B5)</f>
        <v>Occupation Figure 3  Changes in Occupational Employment Structure (000s) (SOC 2020), 2015-2035, Greater Lincolnshire</v>
      </c>
      <c r="W1" t="str">
        <f>LEFT(X3,4)</f>
        <v>2015</v>
      </c>
      <c r="X1" t="str">
        <f>RIGHT(AC3,4)</f>
        <v>2035</v>
      </c>
    </row>
    <row r="2" spans="1:29" x14ac:dyDescent="0.2">
      <c r="A2" s="364" t="s">
        <v>517</v>
      </c>
      <c r="X2" t="s">
        <v>416</v>
      </c>
    </row>
    <row r="3" spans="1:29" x14ac:dyDescent="0.2">
      <c r="W3" s="1" t="s">
        <v>0</v>
      </c>
      <c r="X3" s="10" t="str">
        <f>'Occ T1'!B6&amp;"-"&amp;'Occ T1'!C6</f>
        <v>2015-2019</v>
      </c>
      <c r="Y3" s="10" t="str">
        <f>'Occ T1'!C6&amp;"-"&amp;'Occ T1'!D6</f>
        <v>2019-2020</v>
      </c>
      <c r="Z3" s="10" t="str">
        <f>'Occ T1'!D6&amp;"-"&amp;'Occ T1'!E6</f>
        <v>2020-2025</v>
      </c>
      <c r="AA3" s="10" t="str">
        <f>'Occ T1'!E6&amp;"-"&amp;'Occ T1'!F6</f>
        <v>2025-2035</v>
      </c>
      <c r="AB3" s="10" t="str">
        <f>'Occ T1'!B6&amp;"-"&amp;'Occ T1'!D6</f>
        <v>2015-2020</v>
      </c>
      <c r="AC3" s="10" t="str">
        <f>'Occ T1'!D6&amp;"-"&amp;'Occ T1'!F6</f>
        <v>2020-2035</v>
      </c>
    </row>
    <row r="4" spans="1:29" x14ac:dyDescent="0.2">
      <c r="W4" s="10" t="str">
        <f>name!E4</f>
        <v>Managers, directors and senior officials</v>
      </c>
      <c r="X4" s="11">
        <f>'Occ T1'!C8-'Occ T1'!B8</f>
        <v>6.4861191284456012</v>
      </c>
      <c r="Y4" s="11">
        <f>'Occ T1'!D8-'Occ T1'!C8</f>
        <v>2.6915726331275778</v>
      </c>
      <c r="Z4" s="11">
        <f>'Occ T1'!E8-'Occ T1'!D8</f>
        <v>-3.521867014739442</v>
      </c>
      <c r="AA4" s="11">
        <f>'Occ T1'!F8-'Occ T1'!E8</f>
        <v>4.5570876766389219</v>
      </c>
      <c r="AB4" s="11">
        <f>'Occ T1'!D8-'Occ T1'!B8</f>
        <v>9.177691761573179</v>
      </c>
      <c r="AC4" s="11">
        <f>'Occ T1'!F8-'Occ T1'!D8</f>
        <v>1.0352206618994799</v>
      </c>
    </row>
    <row r="5" spans="1:29" x14ac:dyDescent="0.2">
      <c r="W5" s="10" t="str">
        <f>name!E5</f>
        <v>Professional occupations</v>
      </c>
      <c r="X5" s="11">
        <f>'Occ T1'!C9-'Occ T1'!B9</f>
        <v>9.7945423715772222</v>
      </c>
      <c r="Y5" s="11">
        <f>'Occ T1'!D9-'Occ T1'!C9</f>
        <v>6.8106257400610843</v>
      </c>
      <c r="Z5" s="11">
        <f>'Occ T1'!E9-'Occ T1'!D9</f>
        <v>5.6663807319860382</v>
      </c>
      <c r="AA5" s="11">
        <f>'Occ T1'!F9-'Occ T1'!E9</f>
        <v>10.851109858173203</v>
      </c>
      <c r="AB5" s="11">
        <f>'Occ T1'!D9-'Occ T1'!B9</f>
        <v>16.605168111638307</v>
      </c>
      <c r="AC5" s="11">
        <f>'Occ T1'!F9-'Occ T1'!D9</f>
        <v>16.517490590159241</v>
      </c>
    </row>
    <row r="6" spans="1:29" x14ac:dyDescent="0.2">
      <c r="W6" s="10" t="str">
        <f>name!E6</f>
        <v>Associate professional occupations</v>
      </c>
      <c r="X6" s="11">
        <f>'Occ T1'!C10-'Occ T1'!B10</f>
        <v>3.8648111808073224</v>
      </c>
      <c r="Y6" s="11">
        <f>'Occ T1'!D10-'Occ T1'!C10</f>
        <v>3.6456765158383888</v>
      </c>
      <c r="Z6" s="11">
        <f>'Occ T1'!E10-'Occ T1'!D10</f>
        <v>2.9856331273460057</v>
      </c>
      <c r="AA6" s="11">
        <f>'Occ T1'!F10-'Occ T1'!E10</f>
        <v>5.3758998915897678</v>
      </c>
      <c r="AB6" s="11">
        <f>'Occ T1'!D10-'Occ T1'!B10</f>
        <v>7.5104876966457113</v>
      </c>
      <c r="AC6" s="11">
        <f>'Occ T1'!F10-'Occ T1'!D10</f>
        <v>8.3615330189357735</v>
      </c>
    </row>
    <row r="7" spans="1:29" x14ac:dyDescent="0.2">
      <c r="W7" s="10" t="str">
        <f>name!E7</f>
        <v>Administrative and secretarial occupations</v>
      </c>
      <c r="X7" s="11">
        <f>'Occ T1'!C11-'Occ T1'!B11</f>
        <v>-1.8204800864941575</v>
      </c>
      <c r="Y7" s="11">
        <f>'Occ T1'!D11-'Occ T1'!C11</f>
        <v>1.6062100534674641</v>
      </c>
      <c r="Z7" s="11">
        <f>'Occ T1'!E11-'Occ T1'!D11</f>
        <v>-0.12217253715361664</v>
      </c>
      <c r="AA7" s="11">
        <f>'Occ T1'!F11-'Occ T1'!E11</f>
        <v>-2.853341585578427</v>
      </c>
      <c r="AB7" s="11">
        <f>'Occ T1'!D11-'Occ T1'!B11</f>
        <v>-0.21427003302669334</v>
      </c>
      <c r="AC7" s="11">
        <f>'Occ T1'!F11-'Occ T1'!D11</f>
        <v>-2.9755141227320436</v>
      </c>
    </row>
    <row r="8" spans="1:29" x14ac:dyDescent="0.2">
      <c r="W8" s="10" t="str">
        <f>name!E8</f>
        <v>Skilled trades occupations</v>
      </c>
      <c r="X8" s="11">
        <f>'Occ T1'!C12-'Occ T1'!B12</f>
        <v>-3.3347520654599663</v>
      </c>
      <c r="Y8" s="11">
        <f>'Occ T1'!D12-'Occ T1'!C12</f>
        <v>-3.7043749902613001</v>
      </c>
      <c r="Z8" s="11">
        <f>'Occ T1'!E12-'Occ T1'!D12</f>
        <v>-1.742842145639699</v>
      </c>
      <c r="AA8" s="11">
        <f>'Occ T1'!F12-'Occ T1'!E12</f>
        <v>-3.5552083803519139</v>
      </c>
      <c r="AB8" s="11">
        <f>'Occ T1'!D12-'Occ T1'!B12</f>
        <v>-7.0391270557212664</v>
      </c>
      <c r="AC8" s="11">
        <f>'Occ T1'!F12-'Occ T1'!D12</f>
        <v>-5.2980505259916129</v>
      </c>
    </row>
    <row r="9" spans="1:29" x14ac:dyDescent="0.2">
      <c r="W9" s="10" t="str">
        <f>name!E9</f>
        <v>Caring, leisure and other service occupations</v>
      </c>
      <c r="X9" s="11">
        <f>'Occ T1'!C13-'Occ T1'!B13</f>
        <v>3.3269802997955154</v>
      </c>
      <c r="Y9" s="11">
        <f>'Occ T1'!D13-'Occ T1'!C13</f>
        <v>-1.7016570860306928</v>
      </c>
      <c r="Z9" s="11">
        <f>'Occ T1'!E13-'Occ T1'!D13</f>
        <v>0.39108047917498112</v>
      </c>
      <c r="AA9" s="11">
        <f>'Occ T1'!F13-'Occ T1'!E13</f>
        <v>3.1900677171163068</v>
      </c>
      <c r="AB9" s="11">
        <f>'Occ T1'!D13-'Occ T1'!B13</f>
        <v>1.6253232137648226</v>
      </c>
      <c r="AC9" s="11">
        <f>'Occ T1'!F13-'Occ T1'!D13</f>
        <v>3.5811481962912879</v>
      </c>
    </row>
    <row r="10" spans="1:29" x14ac:dyDescent="0.2">
      <c r="W10" s="10" t="str">
        <f>name!E10</f>
        <v>Sales and customer service occupations</v>
      </c>
      <c r="X10" s="11">
        <f>'Occ T1'!C14-'Occ T1'!B14</f>
        <v>-2.9346957888071543</v>
      </c>
      <c r="Y10" s="11">
        <f>'Occ T1'!D14-'Occ T1'!C14</f>
        <v>-0.60590254108254982</v>
      </c>
      <c r="Z10" s="11">
        <f>'Occ T1'!E14-'Occ T1'!D14</f>
        <v>-0.24211563147542137</v>
      </c>
      <c r="AA10" s="11">
        <f>'Occ T1'!F14-'Occ T1'!E14</f>
        <v>-6.3860069941640063E-2</v>
      </c>
      <c r="AB10" s="11">
        <f>'Occ T1'!D14-'Occ T1'!B14</f>
        <v>-3.5405983298897041</v>
      </c>
      <c r="AC10" s="11">
        <f>'Occ T1'!F14-'Occ T1'!D14</f>
        <v>-0.30597570141706143</v>
      </c>
    </row>
    <row r="11" spans="1:29" x14ac:dyDescent="0.2">
      <c r="W11" s="10" t="str">
        <f>name!E11</f>
        <v>Process, plant and machine operatives</v>
      </c>
      <c r="X11" s="11">
        <f>'Occ T1'!C15-'Occ T1'!B15</f>
        <v>-0.22984600565863644</v>
      </c>
      <c r="Y11" s="11">
        <f>'Occ T1'!D15-'Occ T1'!C15</f>
        <v>-2.9628973453487006</v>
      </c>
      <c r="Z11" s="11">
        <f>'Occ T1'!E15-'Occ T1'!D15</f>
        <v>0.1223269940083398</v>
      </c>
      <c r="AA11" s="11">
        <f>'Occ T1'!F15-'Occ T1'!E15</f>
        <v>-2.3908736486648223</v>
      </c>
      <c r="AB11" s="11">
        <f>'Occ T1'!D15-'Occ T1'!B15</f>
        <v>-3.1927433510073371</v>
      </c>
      <c r="AC11" s="11">
        <f>'Occ T1'!F15-'Occ T1'!D15</f>
        <v>-2.2685466546564825</v>
      </c>
    </row>
    <row r="12" spans="1:29" x14ac:dyDescent="0.2">
      <c r="W12" s="10" t="str">
        <f>name!E12</f>
        <v>Elementary occupations</v>
      </c>
      <c r="X12" s="11">
        <f>'Occ T1'!C16-'Occ T1'!B16</f>
        <v>-2.9916790342061219</v>
      </c>
      <c r="Y12" s="11">
        <f>'Occ T1'!D16-'Occ T1'!C16</f>
        <v>-4.7002529797710366</v>
      </c>
      <c r="Z12" s="11">
        <f>'Occ T1'!E16-'Occ T1'!D16</f>
        <v>1.9885759964928909</v>
      </c>
      <c r="AA12" s="11">
        <f>'Occ T1'!F16-'Occ T1'!E16</f>
        <v>-2.5688814589817781</v>
      </c>
      <c r="AB12" s="11">
        <f>'Occ T1'!D16-'Occ T1'!B16</f>
        <v>-7.6919320139771585</v>
      </c>
      <c r="AC12" s="11">
        <f>'Occ T1'!F16-'Occ T1'!D16</f>
        <v>-0.58030546248888726</v>
      </c>
    </row>
    <row r="14" spans="1:29" x14ac:dyDescent="0.2">
      <c r="W14" s="10" t="str">
        <f>name!E3</f>
        <v>All occupations</v>
      </c>
      <c r="X14" s="11">
        <f>'Occ T1'!C18-'Occ T1'!B18</f>
        <v>12.160999999999603</v>
      </c>
      <c r="Y14" s="11">
        <f>'Occ T1'!D18-'Occ T1'!C18</f>
        <v>1.0790000000001783</v>
      </c>
      <c r="Z14" s="11">
        <f>'Occ T1'!E18-'Occ T1'!D18</f>
        <v>5.5250000000000909</v>
      </c>
      <c r="AA14" s="11">
        <f>'Occ T1'!F18-'Occ T1'!E18</f>
        <v>12.541999999999575</v>
      </c>
      <c r="AB14" s="11">
        <f>'Occ T1'!D18-'Occ T1'!B18</f>
        <v>13.239999999999782</v>
      </c>
      <c r="AC14" s="11">
        <f>'Occ T1'!F18-'Occ T1'!D18</f>
        <v>18.066999999999666</v>
      </c>
    </row>
    <row r="17" spans="23:26" x14ac:dyDescent="0.2">
      <c r="Y17" s="83" t="s">
        <v>439</v>
      </c>
      <c r="Z17" s="83" t="s">
        <v>440</v>
      </c>
    </row>
    <row r="18" spans="23:26" x14ac:dyDescent="0.2">
      <c r="W18" s="83" t="s">
        <v>437</v>
      </c>
      <c r="X18">
        <f>CEILING(MAX(X4:AA12),IF(MAX(X4:AA12)&lt;100,10,IF(MAX(X4:AA12)&lt;1000,100,1000)))</f>
        <v>20</v>
      </c>
      <c r="Y18">
        <f>MAX(X18,(X19*-1))</f>
        <v>20</v>
      </c>
      <c r="Z18">
        <f>IF(Y18&gt;1000,1000,IF(Y18&gt;500,500,IF(Y18&gt;100,100,IF(Y18&gt;40,20,10))))</f>
        <v>10</v>
      </c>
    </row>
    <row r="19" spans="23:26" x14ac:dyDescent="0.2">
      <c r="W19" s="83" t="s">
        <v>438</v>
      </c>
      <c r="X19">
        <f>FLOOR(MIN(X4:AA12),IF(MIN(X4:AA12)&gt;-100,10,IF(MIN(X4:AA12)&gt;-1000,100,1000)))</f>
        <v>-10</v>
      </c>
      <c r="Y19">
        <f>Y18*-1</f>
        <v>-20</v>
      </c>
    </row>
    <row r="26" spans="23:26" x14ac:dyDescent="0.2">
      <c r="Z26" s="83"/>
    </row>
    <row r="27" spans="23:26" x14ac:dyDescent="0.2">
      <c r="Z27" s="83"/>
    </row>
    <row r="28" spans="23:26" x14ac:dyDescent="0.2">
      <c r="Z28" s="83"/>
    </row>
  </sheetData>
  <pageMargins left="0.7" right="0.7" top="0.75" bottom="0.75" header="0.3" footer="0.3"/>
  <pageSetup paperSize="9" scale="74" orientation="landscape" r:id="rId1"/>
  <drawing r:id="rId2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600-000000000000}">
  <sheetPr codeName="Sheet61"/>
  <dimension ref="A1:P13"/>
  <sheetViews>
    <sheetView showGridLines="0" zoomScale="75" zoomScaleNormal="75" workbookViewId="0"/>
  </sheetViews>
  <sheetFormatPr defaultRowHeight="12.75" x14ac:dyDescent="0.2"/>
  <cols>
    <col min="13" max="13" width="36" customWidth="1"/>
  </cols>
  <sheetData>
    <row r="1" spans="1:16" ht="15.75" x14ac:dyDescent="0.25">
      <c r="A1" s="80" t="str">
        <f>CONCATENATE("Occupation Figure 4  Occupational Change by Gender (000s) (SOC 2020), ",N1,", ",Info!B5)</f>
        <v>Occupation Figure 4  Occupational Change by Gender (000s) (SOC 2020), 2020-2035, Greater Lincolnshire</v>
      </c>
      <c r="M1" s="83" t="s">
        <v>19</v>
      </c>
      <c r="N1" t="str">
        <f>'Occ T1'!F62</f>
        <v>2020-2035</v>
      </c>
    </row>
    <row r="2" spans="1:16" x14ac:dyDescent="0.2">
      <c r="A2" s="364" t="s">
        <v>517</v>
      </c>
      <c r="M2" s="1" t="s">
        <v>0</v>
      </c>
      <c r="N2" s="83" t="s">
        <v>33</v>
      </c>
      <c r="O2" s="83" t="s">
        <v>105</v>
      </c>
      <c r="P2" s="83" t="s">
        <v>104</v>
      </c>
    </row>
    <row r="3" spans="1:16" x14ac:dyDescent="0.2">
      <c r="M3" s="10" t="str">
        <f>name!E4</f>
        <v>Managers, directors and senior officials</v>
      </c>
      <c r="N3" s="11">
        <f>'Occ T1'!F64</f>
        <v>1.0352206618994799</v>
      </c>
      <c r="O3" s="11">
        <f>'Occ T1'!AB64</f>
        <v>1.2402784220480925</v>
      </c>
      <c r="P3" s="11">
        <f>'Occ T1'!Q64</f>
        <v>-0.20505776014856281</v>
      </c>
    </row>
    <row r="4" spans="1:16" x14ac:dyDescent="0.2">
      <c r="M4" s="10" t="str">
        <f>name!E5</f>
        <v>Professional occupations</v>
      </c>
      <c r="N4" s="11">
        <f>'Occ T1'!F65</f>
        <v>16.517490590159241</v>
      </c>
      <c r="O4" s="11">
        <f>'Occ T1'!AB65</f>
        <v>6.2173367333410141</v>
      </c>
      <c r="P4" s="11">
        <f>'Occ T1'!Q65</f>
        <v>10.30015385681827</v>
      </c>
    </row>
    <row r="5" spans="1:16" x14ac:dyDescent="0.2">
      <c r="M5" s="10" t="str">
        <f>name!E6</f>
        <v>Associate professional occupations</v>
      </c>
      <c r="N5" s="11">
        <f>'Occ T1'!F66</f>
        <v>8.3615330189357735</v>
      </c>
      <c r="O5" s="11">
        <f>'Occ T1'!AB66</f>
        <v>9.1850292796237412</v>
      </c>
      <c r="P5" s="11">
        <f>'Occ T1'!Q66</f>
        <v>-0.82349626068803161</v>
      </c>
    </row>
    <row r="6" spans="1:16" x14ac:dyDescent="0.2">
      <c r="M6" s="10" t="str">
        <f>name!E7</f>
        <v>Administrative and secretarial occupations</v>
      </c>
      <c r="N6" s="11">
        <f>'Occ T1'!F67</f>
        <v>-2.9755141227320436</v>
      </c>
      <c r="O6" s="11">
        <f>'Occ T1'!AB67</f>
        <v>-4.6302074365967627</v>
      </c>
      <c r="P6" s="11">
        <f>'Occ T1'!Q67</f>
        <v>1.6546933138646978</v>
      </c>
    </row>
    <row r="7" spans="1:16" x14ac:dyDescent="0.2">
      <c r="M7" s="10" t="str">
        <f>name!E8</f>
        <v>Skilled trades occupations</v>
      </c>
      <c r="N7" s="11">
        <f>'Occ T1'!F68</f>
        <v>-5.2980505259916129</v>
      </c>
      <c r="O7" s="11">
        <f>'Occ T1'!AB68</f>
        <v>1.2281903767563662E-2</v>
      </c>
      <c r="P7" s="11">
        <f>'Occ T1'!Q68</f>
        <v>-5.3103324297591925</v>
      </c>
    </row>
    <row r="8" spans="1:16" x14ac:dyDescent="0.2">
      <c r="M8" s="10" t="str">
        <f>name!E9</f>
        <v>Caring, leisure and other service occupations</v>
      </c>
      <c r="N8" s="11">
        <f>'Occ T1'!F69</f>
        <v>3.5811481962912879</v>
      </c>
      <c r="O8" s="11">
        <f>'Occ T1'!AB69</f>
        <v>1.0889216996697044</v>
      </c>
      <c r="P8" s="11">
        <f>'Occ T1'!Q69</f>
        <v>2.4922264966216083</v>
      </c>
    </row>
    <row r="9" spans="1:16" x14ac:dyDescent="0.2">
      <c r="M9" s="10" t="str">
        <f>name!E10</f>
        <v>Sales and customer service occupations</v>
      </c>
      <c r="N9" s="11">
        <f>'Occ T1'!F70</f>
        <v>-0.30597570141706143</v>
      </c>
      <c r="O9" s="11">
        <f>'Occ T1'!AB70</f>
        <v>-0.88807552460857764</v>
      </c>
      <c r="P9" s="11">
        <f>'Occ T1'!Q70</f>
        <v>0.58209982319159614</v>
      </c>
    </row>
    <row r="10" spans="1:16" x14ac:dyDescent="0.2">
      <c r="M10" s="10" t="str">
        <f>name!E11</f>
        <v>Process, plant and machine operatives</v>
      </c>
      <c r="N10" s="11">
        <f>'Occ T1'!F71</f>
        <v>-2.2685466546564825</v>
      </c>
      <c r="O10" s="11">
        <f>'Occ T1'!AB71</f>
        <v>1.2849203765403336</v>
      </c>
      <c r="P10" s="11">
        <f>'Occ T1'!Q71</f>
        <v>-3.553467031196881</v>
      </c>
    </row>
    <row r="11" spans="1:16" x14ac:dyDescent="0.2">
      <c r="M11" s="10" t="str">
        <f>name!E12</f>
        <v>Elementary occupations</v>
      </c>
      <c r="N11" s="11">
        <f>'Occ T1'!F72</f>
        <v>-0.58030546248888726</v>
      </c>
      <c r="O11" s="11">
        <f>'Occ T1'!AB72</f>
        <v>-0.84006313021035339</v>
      </c>
      <c r="P11" s="11">
        <f>'Occ T1'!Q72</f>
        <v>0.2597576677214164</v>
      </c>
    </row>
    <row r="12" spans="1:16" x14ac:dyDescent="0.2">
      <c r="M12" s="10"/>
      <c r="N12" s="11"/>
      <c r="O12" s="11"/>
      <c r="P12" s="11"/>
    </row>
    <row r="13" spans="1:16" x14ac:dyDescent="0.2">
      <c r="M13" s="10" t="str">
        <f>name!E3</f>
        <v>All occupations</v>
      </c>
      <c r="N13" s="11">
        <f>'Occ T1'!F74</f>
        <v>18.066999999999666</v>
      </c>
      <c r="O13" s="11">
        <f>'Occ T1'!AB74</f>
        <v>12.670422323574797</v>
      </c>
      <c r="P13" s="11">
        <f>'Occ T1'!Q74</f>
        <v>5.396577676424954</v>
      </c>
    </row>
  </sheetData>
  <pageMargins left="0.7" right="0.7" top="0.75" bottom="0.75" header="0.3" footer="0.3"/>
  <pageSetup paperSize="9" scale="97" orientation="portrait" r:id="rId1"/>
  <drawing r:id="rId2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700-000000000000}">
  <sheetPr codeName="Sheet62"/>
  <dimension ref="A1:P79"/>
  <sheetViews>
    <sheetView showGridLines="0" zoomScale="75" zoomScaleNormal="75" workbookViewId="0"/>
  </sheetViews>
  <sheetFormatPr defaultColWidth="9.140625" defaultRowHeight="12.75" x14ac:dyDescent="0.2"/>
  <cols>
    <col min="12" max="12" width="24.7109375" customWidth="1"/>
    <col min="13" max="13" width="36" customWidth="1"/>
    <col min="14" max="14" width="19.5703125" customWidth="1"/>
  </cols>
  <sheetData>
    <row r="1" spans="1:16" ht="15.75" x14ac:dyDescent="0.25">
      <c r="A1" s="80" t="str">
        <f>CONCATENATE("Occupation Figure 5  Occupational Change by Status (000s) (SOC 2020), ",N1,", ",Info!B5)</f>
        <v>Occupation Figure 5  Occupational Change by Status (000s) (SOC 2020), 2020-2035, Greater Lincolnshire</v>
      </c>
      <c r="M1" s="83" t="s">
        <v>19</v>
      </c>
      <c r="N1" t="str">
        <f>'Ind Occ T2'!G6&amp;"-"&amp;'Ind Occ T2'!L6</f>
        <v>2020-2035</v>
      </c>
    </row>
    <row r="2" spans="1:16" x14ac:dyDescent="0.2">
      <c r="A2" s="364" t="s">
        <v>517</v>
      </c>
      <c r="M2" s="1" t="s">
        <v>337</v>
      </c>
      <c r="N2" s="83" t="s">
        <v>344</v>
      </c>
      <c r="O2" s="83" t="s">
        <v>421</v>
      </c>
      <c r="P2" s="83" t="s">
        <v>422</v>
      </c>
    </row>
    <row r="3" spans="1:16" x14ac:dyDescent="0.2">
      <c r="M3" s="10" t="str">
        <f>name!E4</f>
        <v>Managers, directors and senior officials</v>
      </c>
      <c r="N3" s="11">
        <f>'Occ T5'!I44</f>
        <v>1.2733507298252835</v>
      </c>
      <c r="O3" s="11">
        <f>'Occ T5'!H44</f>
        <v>1.1409843260896659</v>
      </c>
      <c r="P3" s="11">
        <f>'Occ T5'!G44</f>
        <v>-1.3791143940153958</v>
      </c>
    </row>
    <row r="4" spans="1:16" x14ac:dyDescent="0.2">
      <c r="M4" s="10" t="str">
        <f>name!E5</f>
        <v>Professional occupations</v>
      </c>
      <c r="N4" s="11">
        <f>'Occ T5'!I45</f>
        <v>-2.13817270279133E-2</v>
      </c>
      <c r="O4" s="11">
        <f>'Occ T5'!H45</f>
        <v>3.0623630478545003</v>
      </c>
      <c r="P4" s="11">
        <f>'Occ T5'!G45</f>
        <v>13.476509269332695</v>
      </c>
    </row>
    <row r="5" spans="1:16" x14ac:dyDescent="0.2">
      <c r="M5" s="10" t="str">
        <f>name!E6</f>
        <v>Associate professional occupations</v>
      </c>
      <c r="N5" s="11">
        <f>'Occ T5'!I46</f>
        <v>0.16111576850618015</v>
      </c>
      <c r="O5" s="11">
        <f>'Occ T5'!H46</f>
        <v>2.9315059363402174</v>
      </c>
      <c r="P5" s="11">
        <f>'Occ T5'!G46</f>
        <v>5.2689113140893014</v>
      </c>
    </row>
    <row r="6" spans="1:16" x14ac:dyDescent="0.2">
      <c r="M6" s="10" t="str">
        <f>name!E7</f>
        <v>Administrative and secretarial occupations</v>
      </c>
      <c r="N6" s="11">
        <f>'Occ T5'!I47</f>
        <v>-0.14942970672041422</v>
      </c>
      <c r="O6" s="11">
        <f>'Occ T5'!H47</f>
        <v>-2.5701118481131324</v>
      </c>
      <c r="P6" s="11">
        <f>'Occ T5'!G47</f>
        <v>-0.25597256789852807</v>
      </c>
    </row>
    <row r="7" spans="1:16" x14ac:dyDescent="0.2">
      <c r="M7" s="10" t="str">
        <f>name!E8</f>
        <v>Skilled trades occupations</v>
      </c>
      <c r="N7" s="11">
        <f>'Occ T5'!I48</f>
        <v>-0.41853348692460202</v>
      </c>
      <c r="O7" s="11">
        <f>'Occ T5'!H48</f>
        <v>0.46870264565185504</v>
      </c>
      <c r="P7" s="11">
        <f>'Occ T5'!G48</f>
        <v>-5.3482196847188348</v>
      </c>
    </row>
    <row r="8" spans="1:16" x14ac:dyDescent="0.2">
      <c r="M8" s="10" t="str">
        <f>name!E9</f>
        <v>Caring, leisure and other service occupations</v>
      </c>
      <c r="N8" s="11">
        <f>'Occ T5'!I49</f>
        <v>0.65437219012120984</v>
      </c>
      <c r="O8" s="11">
        <f>'Occ T5'!H49</f>
        <v>-0.54217595749452485</v>
      </c>
      <c r="P8" s="11">
        <f>'Occ T5'!G49</f>
        <v>3.4689519636647006</v>
      </c>
    </row>
    <row r="9" spans="1:16" x14ac:dyDescent="0.2">
      <c r="M9" s="10" t="str">
        <f>name!E10</f>
        <v>Sales and customer service occupations</v>
      </c>
      <c r="N9" s="11">
        <f>'Occ T5'!I50</f>
        <v>-0.54393575552811035</v>
      </c>
      <c r="O9" s="11">
        <f>'Occ T5'!H50</f>
        <v>0.99349160535047076</v>
      </c>
      <c r="P9" s="11">
        <f>'Occ T5'!G50</f>
        <v>-0.75553155123931681</v>
      </c>
    </row>
    <row r="10" spans="1:16" x14ac:dyDescent="0.2">
      <c r="M10" s="10" t="str">
        <f>name!E11</f>
        <v>Process, plant and machine operatives</v>
      </c>
      <c r="N10" s="11">
        <f>'Occ T5'!I51</f>
        <v>0.62649725699777559</v>
      </c>
      <c r="O10" s="11">
        <f>'Occ T5'!H51</f>
        <v>0.82625779475861982</v>
      </c>
      <c r="P10" s="11">
        <f>'Occ T5'!G51</f>
        <v>-3.7213017064129872</v>
      </c>
    </row>
    <row r="11" spans="1:16" x14ac:dyDescent="0.2">
      <c r="M11" s="10" t="str">
        <f>name!E12</f>
        <v>Elementary occupations</v>
      </c>
      <c r="N11" s="11">
        <f>'Occ T5'!I52</f>
        <v>1.073744286222782</v>
      </c>
      <c r="O11" s="11">
        <f>'Occ T5'!H52</f>
        <v>-4.377457657014773</v>
      </c>
      <c r="P11" s="11">
        <f>'Occ T5'!G52</f>
        <v>2.7234079083030132</v>
      </c>
    </row>
    <row r="12" spans="1:16" x14ac:dyDescent="0.2">
      <c r="M12" s="10"/>
      <c r="N12" s="11"/>
      <c r="O12" s="11"/>
      <c r="P12" s="11"/>
    </row>
    <row r="13" spans="1:16" x14ac:dyDescent="0.2">
      <c r="M13" s="10" t="str">
        <f>name!E3</f>
        <v>All occupations</v>
      </c>
      <c r="N13" s="11">
        <f>'Occ T5'!I54</f>
        <v>2.6557995554722069</v>
      </c>
      <c r="O13" s="11">
        <f>'Occ T5'!H54</f>
        <v>1.9335598934228813</v>
      </c>
      <c r="P13" s="11">
        <f>'Occ T5'!G54</f>
        <v>13.477640551104571</v>
      </c>
    </row>
    <row r="16" spans="1:16" x14ac:dyDescent="0.2">
      <c r="M16" s="83" t="s">
        <v>19</v>
      </c>
      <c r="N16" t="str">
        <f>N1</f>
        <v>2020-2035</v>
      </c>
    </row>
    <row r="17" spans="13:16" x14ac:dyDescent="0.2">
      <c r="M17" s="1" t="s">
        <v>105</v>
      </c>
      <c r="N17" s="83" t="s">
        <v>344</v>
      </c>
      <c r="O17" s="83" t="s">
        <v>421</v>
      </c>
      <c r="P17" s="83" t="s">
        <v>422</v>
      </c>
    </row>
    <row r="18" spans="13:16" x14ac:dyDescent="0.2">
      <c r="M18" s="10" t="str">
        <f>M3</f>
        <v>Managers, directors and senior officials</v>
      </c>
      <c r="N18" s="11">
        <f>'Occ T5'!AO44</f>
        <v>0.33395979131876485</v>
      </c>
      <c r="O18" s="11">
        <f>'Occ T5'!AN44</f>
        <v>0.68456703085269144</v>
      </c>
      <c r="P18" s="11">
        <f>'Occ T5'!AM44</f>
        <v>0.22175159987664017</v>
      </c>
    </row>
    <row r="19" spans="13:16" x14ac:dyDescent="0.2">
      <c r="M19" s="10" t="str">
        <f t="shared" ref="M19:M28" si="0">M4</f>
        <v>Professional occupations</v>
      </c>
      <c r="N19" s="11">
        <f>'Occ T5'!AO45</f>
        <v>0.75969938641051549</v>
      </c>
      <c r="O19" s="11">
        <f>'Occ T5'!AN45</f>
        <v>1.5677084729259469</v>
      </c>
      <c r="P19" s="11">
        <f>'Occ T5'!AM45</f>
        <v>3.8899288740045179</v>
      </c>
    </row>
    <row r="20" spans="13:16" x14ac:dyDescent="0.2">
      <c r="M20" s="10" t="str">
        <f t="shared" si="0"/>
        <v>Associate professional occupations</v>
      </c>
      <c r="N20" s="11">
        <f>'Occ T5'!AO46</f>
        <v>0.14753204639683615</v>
      </c>
      <c r="O20" s="11">
        <f>'Occ T5'!AN46</f>
        <v>2.9078401980067525</v>
      </c>
      <c r="P20" s="11">
        <f>'Occ T5'!AM46</f>
        <v>6.1296570352201574</v>
      </c>
    </row>
    <row r="21" spans="13:16" x14ac:dyDescent="0.2">
      <c r="M21" s="10" t="str">
        <f t="shared" si="0"/>
        <v>Administrative and secretarial occupations</v>
      </c>
      <c r="N21" s="11">
        <f>'Occ T5'!AO47</f>
        <v>-0.23305563039099875</v>
      </c>
      <c r="O21" s="11">
        <f>'Occ T5'!AN47</f>
        <v>-2.3274055266956069</v>
      </c>
      <c r="P21" s="11">
        <f>'Occ T5'!AM47</f>
        <v>-2.06974627951017</v>
      </c>
    </row>
    <row r="22" spans="13:16" x14ac:dyDescent="0.2">
      <c r="M22" s="10" t="str">
        <f t="shared" si="0"/>
        <v>Skilled trades occupations</v>
      </c>
      <c r="N22" s="11">
        <f>'Occ T5'!AO48</f>
        <v>9.1004656501139092E-2</v>
      </c>
      <c r="O22" s="11">
        <f>'Occ T5'!AN48</f>
        <v>-5.849120948228026E-2</v>
      </c>
      <c r="P22" s="11">
        <f>'Occ T5'!AM48</f>
        <v>-2.0231543251297168E-2</v>
      </c>
    </row>
    <row r="23" spans="13:16" x14ac:dyDescent="0.2">
      <c r="M23" s="10" t="str">
        <f t="shared" si="0"/>
        <v>Caring, leisure and other service occupations</v>
      </c>
      <c r="N23" s="11">
        <f>'Occ T5'!AO49</f>
        <v>0.28304708060598305</v>
      </c>
      <c r="O23" s="11">
        <f>'Occ T5'!AN49</f>
        <v>-1.6449879854409488</v>
      </c>
      <c r="P23" s="11">
        <f>'Occ T5'!AM49</f>
        <v>2.4508626045047528</v>
      </c>
    </row>
    <row r="24" spans="13:16" x14ac:dyDescent="0.2">
      <c r="M24" s="10" t="str">
        <f t="shared" si="0"/>
        <v>Sales and customer service occupations</v>
      </c>
      <c r="N24" s="11">
        <f>'Occ T5'!AO50</f>
        <v>-0.29841701993787284</v>
      </c>
      <c r="O24" s="11">
        <f>'Occ T5'!AN50</f>
        <v>7.7720424867244731E-2</v>
      </c>
      <c r="P24" s="11">
        <f>'Occ T5'!AM50</f>
        <v>-0.66737892953792333</v>
      </c>
    </row>
    <row r="25" spans="13:16" x14ac:dyDescent="0.2">
      <c r="M25" s="10" t="str">
        <f t="shared" si="0"/>
        <v>Process, plant and machine operatives</v>
      </c>
      <c r="N25" s="11">
        <f>'Occ T5'!AO51</f>
        <v>1.3479663178714851E-3</v>
      </c>
      <c r="O25" s="11">
        <f>'Occ T5'!AN51</f>
        <v>0.58591501665824608</v>
      </c>
      <c r="P25" s="11">
        <f>'Occ T5'!AM51</f>
        <v>0.6976573935642123</v>
      </c>
    </row>
    <row r="26" spans="13:16" x14ac:dyDescent="0.2">
      <c r="M26" s="10" t="str">
        <f t="shared" si="0"/>
        <v>Elementary occupations</v>
      </c>
      <c r="N26" s="11">
        <f>'Occ T5'!AO52</f>
        <v>0.35768109812679416</v>
      </c>
      <c r="O26" s="11">
        <f>'Occ T5'!AN52</f>
        <v>-2.4199931129391672</v>
      </c>
      <c r="P26" s="11">
        <f>'Occ T5'!AM52</f>
        <v>1.2222488846020374</v>
      </c>
    </row>
    <row r="27" spans="13:16" x14ac:dyDescent="0.2">
      <c r="M27" s="10"/>
      <c r="N27" s="11"/>
      <c r="O27" s="11"/>
      <c r="P27" s="11"/>
    </row>
    <row r="28" spans="13:16" x14ac:dyDescent="0.2">
      <c r="M28" s="10" t="str">
        <f t="shared" si="0"/>
        <v>All occupations</v>
      </c>
      <c r="N28" s="11">
        <f>'Occ T5'!AO54</f>
        <v>1.4427993753490291</v>
      </c>
      <c r="O28" s="11">
        <f>'Occ T5'!AN54</f>
        <v>-0.62712669124712761</v>
      </c>
      <c r="P28" s="11">
        <f>'Occ T5'!AM54</f>
        <v>11.854749639472928</v>
      </c>
    </row>
    <row r="31" spans="13:16" x14ac:dyDescent="0.2">
      <c r="M31" s="83" t="s">
        <v>19</v>
      </c>
      <c r="N31" t="str">
        <f>N1</f>
        <v>2020-2035</v>
      </c>
    </row>
    <row r="32" spans="13:16" x14ac:dyDescent="0.2">
      <c r="M32" s="1" t="s">
        <v>104</v>
      </c>
      <c r="N32" s="83" t="s">
        <v>344</v>
      </c>
      <c r="O32" s="83" t="s">
        <v>421</v>
      </c>
      <c r="P32" s="83" t="s">
        <v>422</v>
      </c>
    </row>
    <row r="33" spans="1:16" x14ac:dyDescent="0.2">
      <c r="M33" s="10" t="str">
        <f>M3</f>
        <v>Managers, directors and senior officials</v>
      </c>
      <c r="N33" s="11">
        <f>'Occ T5'!Y44</f>
        <v>0.93939093850650668</v>
      </c>
      <c r="O33" s="11">
        <f>'Occ T5'!X44</f>
        <v>0.45641729523697538</v>
      </c>
      <c r="P33" s="11">
        <f>'Occ T5'!W44</f>
        <v>-1.6008659938920005</v>
      </c>
    </row>
    <row r="34" spans="1:16" x14ac:dyDescent="0.2">
      <c r="M34" s="10" t="str">
        <f t="shared" ref="M34:M43" si="1">M4</f>
        <v>Professional occupations</v>
      </c>
      <c r="N34" s="11">
        <f>'Occ T5'!Y45</f>
        <v>-0.78108111343843056</v>
      </c>
      <c r="O34" s="11">
        <f>'Occ T5'!X45</f>
        <v>1.4946545749285569</v>
      </c>
      <c r="P34" s="11">
        <f>'Occ T5'!W45</f>
        <v>9.5865803953281912</v>
      </c>
    </row>
    <row r="35" spans="1:16" x14ac:dyDescent="0.2">
      <c r="M35" s="10" t="str">
        <f t="shared" si="1"/>
        <v>Associate professional occupations</v>
      </c>
      <c r="N35" s="11">
        <f>'Occ T5'!Y46</f>
        <v>1.3583722109344887E-2</v>
      </c>
      <c r="O35" s="11">
        <f>'Occ T5'!X46</f>
        <v>2.3665738333469299E-2</v>
      </c>
      <c r="P35" s="11">
        <f>'Occ T5'!W46</f>
        <v>-0.86074572113083647</v>
      </c>
    </row>
    <row r="36" spans="1:16" x14ac:dyDescent="0.2">
      <c r="M36" s="10" t="str">
        <f t="shared" si="1"/>
        <v>Administrative and secretarial occupations</v>
      </c>
      <c r="N36" s="11">
        <f>'Occ T5'!Y47</f>
        <v>8.3625923670583913E-2</v>
      </c>
      <c r="O36" s="11">
        <f>'Occ T5'!X47</f>
        <v>-0.24270632141753001</v>
      </c>
      <c r="P36" s="11">
        <f>'Occ T5'!W47</f>
        <v>1.8137737116116686</v>
      </c>
    </row>
    <row r="37" spans="1:16" x14ac:dyDescent="0.2">
      <c r="M37" s="10" t="str">
        <f t="shared" si="1"/>
        <v>Skilled trades occupations</v>
      </c>
      <c r="N37" s="11">
        <f>'Occ T5'!Y48</f>
        <v>-0.50953814342574155</v>
      </c>
      <c r="O37" s="11">
        <f>'Occ T5'!X48</f>
        <v>0.52719385513413375</v>
      </c>
      <c r="P37" s="11">
        <f>'Occ T5'!W48</f>
        <v>-5.3279881414675572</v>
      </c>
    </row>
    <row r="38" spans="1:16" x14ac:dyDescent="0.2">
      <c r="M38" s="10" t="str">
        <f t="shared" si="1"/>
        <v>Caring, leisure and other service occupations</v>
      </c>
      <c r="N38" s="11">
        <f>'Occ T5'!Y49</f>
        <v>0.37132510951522668</v>
      </c>
      <c r="O38" s="11">
        <f>'Occ T5'!X49</f>
        <v>1.10281202794642</v>
      </c>
      <c r="P38" s="11">
        <f>'Occ T5'!W49</f>
        <v>1.0180893591599602</v>
      </c>
    </row>
    <row r="39" spans="1:16" x14ac:dyDescent="0.2">
      <c r="M39" s="10" t="str">
        <f t="shared" si="1"/>
        <v>Sales and customer service occupations</v>
      </c>
      <c r="N39" s="11">
        <f>'Occ T5'!Y50</f>
        <v>-0.24551873559023729</v>
      </c>
      <c r="O39" s="11">
        <f>'Occ T5'!X50</f>
        <v>0.91577118048323491</v>
      </c>
      <c r="P39" s="11">
        <f>'Occ T5'!W50</f>
        <v>-8.8152621701403255E-2</v>
      </c>
    </row>
    <row r="40" spans="1:16" ht="15.75" x14ac:dyDescent="0.25">
      <c r="A40" s="80" t="str">
        <f>CONCATENATE("Occupation Figure 5.1 Females:  Occupational Change by Status (000s) (SOC 2020), ",N1,", ",Info!B5)</f>
        <v>Occupation Figure 5.1 Females:  Occupational Change by Status (000s) (SOC 2020), 2020-2035, Greater Lincolnshire</v>
      </c>
      <c r="M40" s="10" t="str">
        <f t="shared" si="1"/>
        <v>Process, plant and machine operatives</v>
      </c>
      <c r="N40" s="11">
        <f>'Occ T5'!Y51</f>
        <v>0.62514929067990899</v>
      </c>
      <c r="O40" s="11">
        <f>'Occ T5'!X51</f>
        <v>0.24034277810037441</v>
      </c>
      <c r="P40" s="11">
        <f>'Occ T5'!W51</f>
        <v>-4.4189590999771937</v>
      </c>
    </row>
    <row r="41" spans="1:16" x14ac:dyDescent="0.2">
      <c r="M41" s="10" t="str">
        <f t="shared" si="1"/>
        <v>Elementary occupations</v>
      </c>
      <c r="N41" s="11">
        <f>'Occ T5'!Y52</f>
        <v>0.71606318809599001</v>
      </c>
      <c r="O41" s="11">
        <f>'Occ T5'!X52</f>
        <v>-1.95746454407558</v>
      </c>
      <c r="P41" s="11">
        <f>'Occ T5'!W52</f>
        <v>1.5011590237010104</v>
      </c>
    </row>
    <row r="42" spans="1:16" x14ac:dyDescent="0.2">
      <c r="M42" s="10"/>
      <c r="N42" s="11"/>
      <c r="O42" s="11"/>
      <c r="P42" s="11"/>
    </row>
    <row r="43" spans="1:16" x14ac:dyDescent="0.2">
      <c r="M43" s="10" t="str">
        <f t="shared" si="1"/>
        <v>All occupations</v>
      </c>
      <c r="N43" s="11">
        <f>'Occ T5'!Y54</f>
        <v>1.2130001801231529</v>
      </c>
      <c r="O43" s="11">
        <f>'Occ T5'!X54</f>
        <v>2.5606865846700586</v>
      </c>
      <c r="P43" s="11">
        <f>'Occ T5'!W54</f>
        <v>1.6228909116317993</v>
      </c>
    </row>
    <row r="79" spans="1:1" ht="15.75" x14ac:dyDescent="0.25">
      <c r="A79" s="80" t="str">
        <f>CONCATENATE("Occupation Figure 5.2 Males:  Occupational Change by Status (000s) (SOC 2020), ",N1,", ",Info!B5)</f>
        <v>Occupation Figure 5.2 Males:  Occupational Change by Status (000s) (SOC 2020), 2020-2035, Greater Lincolnshire</v>
      </c>
    </row>
  </sheetData>
  <pageMargins left="0.7" right="0.7" top="0.75" bottom="0.75" header="0.3" footer="0.3"/>
  <pageSetup paperSize="9" scale="76" orientation="portrait" r:id="rId1"/>
  <rowBreaks count="1" manualBreakCount="1">
    <brk id="39" max="9" man="1"/>
  </rowBreaks>
  <drawing r:id="rId2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800-000000000000}">
  <sheetPr codeName="Sheet32"/>
  <dimension ref="A1:G57"/>
  <sheetViews>
    <sheetView showGridLines="0" zoomScale="85" zoomScaleNormal="85" workbookViewId="0"/>
  </sheetViews>
  <sheetFormatPr defaultRowHeight="12.75" x14ac:dyDescent="0.2"/>
  <cols>
    <col min="1" max="1" width="36.7109375" customWidth="1"/>
    <col min="2" max="6" width="11.7109375" customWidth="1"/>
  </cols>
  <sheetData>
    <row r="1" spans="1:7" ht="15.75" x14ac:dyDescent="0.25">
      <c r="A1" s="19" t="str">
        <f>CONCATENATE("Qualification Table 1  Employment by Qualification, ",B$3,"-",F$3,", ",Info!B5,", ",Info!B5)</f>
        <v>Qualification Table 1  Employment by Qualification, 2015-2035, Greater Lincolnshire, Greater Lincolnshire</v>
      </c>
    </row>
    <row r="2" spans="1:7" x14ac:dyDescent="0.2">
      <c r="A2" s="1" t="s">
        <v>520</v>
      </c>
    </row>
    <row r="3" spans="1:7" x14ac:dyDescent="0.2">
      <c r="A3" s="22"/>
      <c r="B3" s="23">
        <f>'Occ T3'!B5</f>
        <v>2015</v>
      </c>
      <c r="C3" s="23">
        <f>'Occ T3'!C5</f>
        <v>2019</v>
      </c>
      <c r="D3" s="23">
        <f>'Occ T3'!D5</f>
        <v>2020</v>
      </c>
      <c r="E3" s="23">
        <f>'Occ T3'!E5</f>
        <v>2025</v>
      </c>
      <c r="F3" s="23">
        <f>'Occ T3'!F5</f>
        <v>2035</v>
      </c>
      <c r="G3" s="10"/>
    </row>
    <row r="4" spans="1:7" x14ac:dyDescent="0.2">
      <c r="A4" s="1" t="s">
        <v>13</v>
      </c>
      <c r="C4" s="10"/>
      <c r="D4" s="10"/>
      <c r="E4" s="10"/>
      <c r="F4" s="10"/>
    </row>
    <row r="5" spans="1:7" x14ac:dyDescent="0.2">
      <c r="A5" t="str">
        <f>name!F4</f>
        <v>RQF8 Doctorate</v>
      </c>
      <c r="B5" s="11">
        <f>HLOOKUP(B$3,'Qual F1'!$M$4:$BW$14,11,FALSE)</f>
        <v>5.0370719976379803</v>
      </c>
      <c r="C5" s="11">
        <f>HLOOKUP(C$3,'Qual F1'!$M$4:$BW$14,11,FALSE)</f>
        <v>6.5846760964963407</v>
      </c>
      <c r="D5" s="11">
        <f>HLOOKUP(D$3,'Qual F1'!$M$4:$BW$14,11,FALSE)</f>
        <v>6.2511851360305242</v>
      </c>
      <c r="E5" s="11">
        <f>HLOOKUP(E$3,'Qual F1'!$M$4:$BW$14,11,FALSE)</f>
        <v>7.5571721095660678</v>
      </c>
      <c r="F5" s="11">
        <f>HLOOKUP(F$3,'Qual F1'!$M$4:$BW$14,11,FALSE)</f>
        <v>9.8180059904802608</v>
      </c>
      <c r="G5" s="11"/>
    </row>
    <row r="6" spans="1:7" x14ac:dyDescent="0.2">
      <c r="A6" t="str">
        <f>name!F5</f>
        <v>RQF7 Other higher degree</v>
      </c>
      <c r="B6" s="11">
        <f>HLOOKUP(B$3,'Qual F1'!$M$4:$BW$14,10,FALSE)</f>
        <v>33.745861677240953</v>
      </c>
      <c r="C6" s="11">
        <f>HLOOKUP(C$3,'Qual F1'!$M$4:$BW$14,10,FALSE)</f>
        <v>46.012739344338343</v>
      </c>
      <c r="D6" s="11">
        <f>HLOOKUP(D$3,'Qual F1'!$M$4:$BW$14,10,FALSE)</f>
        <v>42.914344354753744</v>
      </c>
      <c r="E6" s="11">
        <f>HLOOKUP(E$3,'Qual F1'!$M$4:$BW$14,10,FALSE)</f>
        <v>51.727743713682116</v>
      </c>
      <c r="F6" s="11">
        <f>HLOOKUP(F$3,'Qual F1'!$M$4:$BW$14,10,FALSE)</f>
        <v>67.99366612550142</v>
      </c>
      <c r="G6" s="11"/>
    </row>
    <row r="7" spans="1:7" x14ac:dyDescent="0.2">
      <c r="A7" t="str">
        <f>name!F6</f>
        <v>RQF6 First degree</v>
      </c>
      <c r="B7" s="11">
        <f>HLOOKUP(B$3,'Qual F1'!$M$4:$BW$14,9,FALSE)</f>
        <v>80.288099078753362</v>
      </c>
      <c r="C7" s="11">
        <f>HLOOKUP(C$3,'Qual F1'!$M$4:$BW$14,9,FALSE)</f>
        <v>84.444502998161283</v>
      </c>
      <c r="D7" s="11">
        <f>HLOOKUP(D$3,'Qual F1'!$M$4:$BW$14,9,FALSE)</f>
        <v>93.903645024450952</v>
      </c>
      <c r="E7" s="11">
        <f>HLOOKUP(E$3,'Qual F1'!$M$4:$BW$14,9,FALSE)</f>
        <v>102.82505998507928</v>
      </c>
      <c r="F7" s="11">
        <f>HLOOKUP(F$3,'Qual F1'!$M$4:$BW$14,9,FALSE)</f>
        <v>125.54968530465672</v>
      </c>
      <c r="G7" s="11"/>
    </row>
    <row r="8" spans="1:7" x14ac:dyDescent="0.2">
      <c r="A8" t="str">
        <f>name!F7</f>
        <v>RQF5 Foundation degree;Nursing;Teaching</v>
      </c>
      <c r="B8" s="11">
        <f>HLOOKUP(B$3,'Qual F1'!$M$4:$BW$14,8,FALSE)</f>
        <v>27.348045135760522</v>
      </c>
      <c r="C8" s="11">
        <f>HLOOKUP(C$3,'Qual F1'!$M$4:$BW$14,8,FALSE)</f>
        <v>26.596779011418935</v>
      </c>
      <c r="D8" s="11">
        <f>HLOOKUP(D$3,'Qual F1'!$M$4:$BW$14,8,FALSE)</f>
        <v>28.149028553170805</v>
      </c>
      <c r="E8" s="11">
        <f>HLOOKUP(E$3,'Qual F1'!$M$4:$BW$14,8,FALSE)</f>
        <v>28.714998300947027</v>
      </c>
      <c r="F8" s="11">
        <f>HLOOKUP(F$3,'Qual F1'!$M$4:$BW$14,8,FALSE)</f>
        <v>33.086905154250509</v>
      </c>
      <c r="G8" s="11"/>
    </row>
    <row r="9" spans="1:7" x14ac:dyDescent="0.2">
      <c r="A9" t="str">
        <f>name!F8</f>
        <v>RQF4 HE below degree level</v>
      </c>
      <c r="B9" s="11">
        <f>HLOOKUP(B$3,'Qual F1'!$M$4:$BW$14,7,FALSE)</f>
        <v>25.568285657845244</v>
      </c>
      <c r="C9" s="11">
        <f>HLOOKUP(C$3,'Qual F1'!$M$4:$BW$14,7,FALSE)</f>
        <v>25.362227941740873</v>
      </c>
      <c r="D9" s="11">
        <f>HLOOKUP(D$3,'Qual F1'!$M$4:$BW$14,7,FALSE)</f>
        <v>28.7766719269659</v>
      </c>
      <c r="E9" s="11">
        <f>HLOOKUP(E$3,'Qual F1'!$M$4:$BW$14,7,FALSE)</f>
        <v>30.311458320598025</v>
      </c>
      <c r="F9" s="11">
        <f>HLOOKUP(F$3,'Qual F1'!$M$4:$BW$14,7,FALSE)</f>
        <v>36.225630706947001</v>
      </c>
      <c r="G9" s="11"/>
    </row>
    <row r="10" spans="1:7" x14ac:dyDescent="0.2">
      <c r="A10" t="str">
        <f>name!F9</f>
        <v>RQF3 A level &amp; equivalent</v>
      </c>
      <c r="B10" s="11">
        <f>HLOOKUP(B$3,'Qual F1'!$M$4:$BW$14,6,FALSE)</f>
        <v>107.78051384441879</v>
      </c>
      <c r="C10" s="11">
        <f>HLOOKUP(C$3,'Qual F1'!$M$4:$BW$14,6,FALSE)</f>
        <v>117.47424709820056</v>
      </c>
      <c r="D10" s="11">
        <f>HLOOKUP(D$3,'Qual F1'!$M$4:$BW$14,6,FALSE)</f>
        <v>116.13706559485935</v>
      </c>
      <c r="E10" s="11">
        <f>HLOOKUP(E$3,'Qual F1'!$M$4:$BW$14,6,FALSE)</f>
        <v>117.96109253537774</v>
      </c>
      <c r="F10" s="11">
        <f>HLOOKUP(F$3,'Qual F1'!$M$4:$BW$14,6,FALSE)</f>
        <v>123.77739001921469</v>
      </c>
      <c r="G10" s="11"/>
    </row>
    <row r="11" spans="1:7" x14ac:dyDescent="0.2">
      <c r="A11" t="str">
        <f>name!F10</f>
        <v>RQF2 GCSE(A-C) &amp; equivalent</v>
      </c>
      <c r="B11" s="11">
        <f>HLOOKUP(B$3,'Qual F1'!$M$4:$BW$14,5,FALSE)</f>
        <v>112.7002804319275</v>
      </c>
      <c r="C11" s="11">
        <f>HLOOKUP(C$3,'Qual F1'!$M$4:$BW$14,5,FALSE)</f>
        <v>113.37189947872221</v>
      </c>
      <c r="D11" s="11">
        <f>HLOOKUP(D$3,'Qual F1'!$M$4:$BW$14,5,FALSE)</f>
        <v>108.75074157184629</v>
      </c>
      <c r="E11" s="11">
        <f>HLOOKUP(E$3,'Qual F1'!$M$4:$BW$14,5,FALSE)</f>
        <v>100.82718434429103</v>
      </c>
      <c r="F11" s="11">
        <f>HLOOKUP(F$3,'Qual F1'!$M$4:$BW$14,5,FALSE)</f>
        <v>84.329481581221955</v>
      </c>
      <c r="G11" s="11"/>
    </row>
    <row r="12" spans="1:7" x14ac:dyDescent="0.2">
      <c r="A12" t="str">
        <f>name!F11</f>
        <v>RQF1 GCSE(below grade C) &amp; equivalent</v>
      </c>
      <c r="B12" s="11">
        <f>HLOOKUP(B$3,'Qual F1'!$M$4:$BW$14,4,FALSE)</f>
        <v>83.748351231101708</v>
      </c>
      <c r="C12" s="11">
        <f>HLOOKUP(C$3,'Qual F1'!$M$4:$BW$14,4,FALSE)</f>
        <v>70.637405708751928</v>
      </c>
      <c r="D12" s="11">
        <f>HLOOKUP(D$3,'Qual F1'!$M$4:$BW$14,4,FALSE)</f>
        <v>70.337314116798368</v>
      </c>
      <c r="E12" s="11">
        <f>HLOOKUP(E$3,'Qual F1'!$M$4:$BW$14,4,FALSE)</f>
        <v>61.974619444358716</v>
      </c>
      <c r="F12" s="11">
        <f>HLOOKUP(F$3,'Qual F1'!$M$4:$BW$14,4,FALSE)</f>
        <v>38.84779721740761</v>
      </c>
      <c r="G12" s="11"/>
    </row>
    <row r="13" spans="1:7" x14ac:dyDescent="0.2">
      <c r="A13" t="str">
        <f>name!F12</f>
        <v>No Qualification</v>
      </c>
      <c r="B13" s="11">
        <f>HLOOKUP(B$3,'Qual F1'!$M$4:$BW$14,3,FALSE)</f>
        <v>25.388490945313837</v>
      </c>
      <c r="C13" s="11">
        <f>HLOOKUP(C$3,'Qual F1'!$M$4:$BW$14,3,FALSE)</f>
        <v>23.281522322168922</v>
      </c>
      <c r="D13" s="11">
        <f>HLOOKUP(D$3,'Qual F1'!$M$4:$BW$14,3,FALSE)</f>
        <v>19.625003721124724</v>
      </c>
      <c r="E13" s="11">
        <f>HLOOKUP(E$3,'Qual F1'!$M$4:$BW$14,3,FALSE)</f>
        <v>18.470671246100558</v>
      </c>
      <c r="F13" s="11">
        <f>HLOOKUP(F$3,'Qual F1'!$M$4:$BW$14,3,FALSE)</f>
        <v>13.283437900320125</v>
      </c>
      <c r="G13" s="11"/>
    </row>
    <row r="14" spans="1:7" x14ac:dyDescent="0.2">
      <c r="B14" s="11"/>
      <c r="C14" s="11"/>
      <c r="D14" s="11"/>
      <c r="E14" s="11"/>
      <c r="F14" s="11"/>
      <c r="G14" s="11"/>
    </row>
    <row r="15" spans="1:7" x14ac:dyDescent="0.2">
      <c r="A15" t="str">
        <f>name!F3</f>
        <v>All qualifications</v>
      </c>
      <c r="B15" s="11">
        <f>SUM(B5:B13)</f>
        <v>501.60499999999985</v>
      </c>
      <c r="C15" s="11">
        <f t="shared" ref="C15:F15" si="0">SUM(C5:C13)</f>
        <v>513.76599999999939</v>
      </c>
      <c r="D15" s="11">
        <f t="shared" si="0"/>
        <v>514.8450000000006</v>
      </c>
      <c r="E15" s="11">
        <f t="shared" si="0"/>
        <v>520.37000000000057</v>
      </c>
      <c r="F15" s="11">
        <f t="shared" si="0"/>
        <v>532.91200000000026</v>
      </c>
      <c r="G15" s="11"/>
    </row>
    <row r="16" spans="1:7" x14ac:dyDescent="0.2">
      <c r="B16" s="11"/>
      <c r="C16" s="11"/>
      <c r="D16" s="11"/>
      <c r="E16" s="11"/>
      <c r="F16" s="11"/>
      <c r="G16" s="11"/>
    </row>
    <row r="17" spans="1:7" x14ac:dyDescent="0.2">
      <c r="B17" s="11"/>
      <c r="C17" s="11"/>
      <c r="D17" s="11"/>
      <c r="E17" s="11"/>
      <c r="F17" s="11"/>
      <c r="G17" s="11"/>
    </row>
    <row r="18" spans="1:7" x14ac:dyDescent="0.2">
      <c r="A18" s="1" t="s">
        <v>14</v>
      </c>
      <c r="B18" s="17">
        <f>B$3</f>
        <v>2015</v>
      </c>
      <c r="C18" s="17">
        <f>C$3</f>
        <v>2019</v>
      </c>
      <c r="D18" s="17">
        <f>D$3</f>
        <v>2020</v>
      </c>
      <c r="E18" s="17">
        <f>E$3</f>
        <v>2025</v>
      </c>
      <c r="F18" s="17">
        <f>F$3</f>
        <v>2035</v>
      </c>
      <c r="G18" s="11"/>
    </row>
    <row r="19" spans="1:7" x14ac:dyDescent="0.2">
      <c r="A19" t="str">
        <f>$A5</f>
        <v>RQF8 Doctorate</v>
      </c>
      <c r="B19" s="18">
        <f t="shared" ref="B19:F21" si="1">B5/B$15*100</f>
        <v>1.0041909465890455</v>
      </c>
      <c r="C19" s="18">
        <f t="shared" si="1"/>
        <v>1.2816488628084279</v>
      </c>
      <c r="D19" s="18">
        <f t="shared" si="1"/>
        <v>1.2141877916713801</v>
      </c>
      <c r="E19" s="18">
        <f t="shared" si="1"/>
        <v>1.4522689835244269</v>
      </c>
      <c r="F19" s="18">
        <f t="shared" si="1"/>
        <v>1.8423315651515177</v>
      </c>
      <c r="G19" s="11"/>
    </row>
    <row r="20" spans="1:7" x14ac:dyDescent="0.2">
      <c r="A20" t="str">
        <f>$A6</f>
        <v>RQF7 Other higher degree</v>
      </c>
      <c r="B20" s="18">
        <f t="shared" si="1"/>
        <v>6.7275768138756522</v>
      </c>
      <c r="C20" s="18">
        <f t="shared" si="1"/>
        <v>8.9559720464838861</v>
      </c>
      <c r="D20" s="18">
        <f t="shared" si="1"/>
        <v>8.3353911089267054</v>
      </c>
      <c r="E20" s="18">
        <f t="shared" si="1"/>
        <v>9.9405699240313741</v>
      </c>
      <c r="F20" s="18">
        <f t="shared" si="1"/>
        <v>12.7588919231508</v>
      </c>
      <c r="G20" s="11"/>
    </row>
    <row r="21" spans="1:7" x14ac:dyDescent="0.2">
      <c r="A21" t="str">
        <f>$A7</f>
        <v>RQF6 First degree</v>
      </c>
      <c r="B21" s="18">
        <f t="shared" si="1"/>
        <v>16.006239786037497</v>
      </c>
      <c r="C21" s="18">
        <f t="shared" si="1"/>
        <v>16.436374341268472</v>
      </c>
      <c r="D21" s="18">
        <f t="shared" si="1"/>
        <v>18.239206950528963</v>
      </c>
      <c r="E21" s="18">
        <f t="shared" si="1"/>
        <v>19.759990004242976</v>
      </c>
      <c r="F21" s="18">
        <f t="shared" si="1"/>
        <v>23.559177745041708</v>
      </c>
      <c r="G21" s="11"/>
    </row>
    <row r="22" spans="1:7" x14ac:dyDescent="0.2">
      <c r="A22" t="str">
        <f t="shared" ref="A22:A27" si="2">$A8</f>
        <v>RQF5 Foundation degree;Nursing;Teaching</v>
      </c>
      <c r="B22" s="18">
        <f t="shared" ref="B22:F22" si="3">B8/B$15*100</f>
        <v>5.4521077612385307</v>
      </c>
      <c r="C22" s="18">
        <f t="shared" si="3"/>
        <v>5.1768273905667108</v>
      </c>
      <c r="D22" s="18">
        <f t="shared" si="3"/>
        <v>5.4674763381543521</v>
      </c>
      <c r="E22" s="18">
        <f t="shared" si="3"/>
        <v>5.5181886544087853</v>
      </c>
      <c r="F22" s="18">
        <f t="shared" si="3"/>
        <v>6.2086995890973542</v>
      </c>
      <c r="G22" s="11"/>
    </row>
    <row r="23" spans="1:7" x14ac:dyDescent="0.2">
      <c r="A23" t="str">
        <f t="shared" si="2"/>
        <v>RQF4 HE below degree level</v>
      </c>
      <c r="B23" s="18">
        <f t="shared" ref="B23:F23" si="4">B9/B$15*100</f>
        <v>5.0972948152122193</v>
      </c>
      <c r="C23" s="18">
        <f t="shared" si="4"/>
        <v>4.9365329628159325</v>
      </c>
      <c r="D23" s="18">
        <f t="shared" si="4"/>
        <v>5.5893855290360914</v>
      </c>
      <c r="E23" s="18">
        <f t="shared" si="4"/>
        <v>5.8249819014543478</v>
      </c>
      <c r="F23" s="18">
        <f t="shared" si="4"/>
        <v>6.7976759215305691</v>
      </c>
      <c r="G23" s="11"/>
    </row>
    <row r="24" spans="1:7" x14ac:dyDescent="0.2">
      <c r="A24" t="str">
        <f t="shared" si="2"/>
        <v>RQF3 A level &amp; equivalent</v>
      </c>
      <c r="B24" s="18">
        <f t="shared" ref="B24:F24" si="5">B10/B$15*100</f>
        <v>21.487129084522447</v>
      </c>
      <c r="C24" s="18">
        <f t="shared" si="5"/>
        <v>22.865321391100366</v>
      </c>
      <c r="D24" s="18">
        <f t="shared" si="5"/>
        <v>22.557675726647673</v>
      </c>
      <c r="E24" s="18">
        <f t="shared" si="5"/>
        <v>22.668695838610532</v>
      </c>
      <c r="F24" s="18">
        <f t="shared" si="5"/>
        <v>23.226609650226422</v>
      </c>
      <c r="G24" s="11"/>
    </row>
    <row r="25" spans="1:7" x14ac:dyDescent="0.2">
      <c r="A25" t="str">
        <f t="shared" si="2"/>
        <v>RQF2 GCSE(A-C) &amp; equivalent</v>
      </c>
      <c r="B25" s="18">
        <f t="shared" ref="B25:F25" si="6">B11/B$15*100</f>
        <v>22.467934018187126</v>
      </c>
      <c r="C25" s="18">
        <f t="shared" si="6"/>
        <v>22.066835773235745</v>
      </c>
      <c r="D25" s="18">
        <f t="shared" si="6"/>
        <v>21.123006258552802</v>
      </c>
      <c r="E25" s="18">
        <f t="shared" si="6"/>
        <v>19.376056333818418</v>
      </c>
      <c r="F25" s="18">
        <f t="shared" si="6"/>
        <v>15.824278976870836</v>
      </c>
      <c r="G25" s="11"/>
    </row>
    <row r="26" spans="1:7" x14ac:dyDescent="0.2">
      <c r="A26" t="str">
        <f t="shared" si="2"/>
        <v>RQF1 GCSE(below grade C) &amp; equivalent</v>
      </c>
      <c r="B26" s="18">
        <f t="shared" ref="B26:F26" si="7">B12/B$15*100</f>
        <v>16.696075842765072</v>
      </c>
      <c r="C26" s="18">
        <f>C12/C$15*100</f>
        <v>13.748945182972797</v>
      </c>
      <c r="D26" s="18">
        <f t="shared" si="7"/>
        <v>13.661842713204612</v>
      </c>
      <c r="E26" s="18">
        <f t="shared" si="7"/>
        <v>11.909721821849578</v>
      </c>
      <c r="F26" s="18">
        <f t="shared" si="7"/>
        <v>7.2897208577415382</v>
      </c>
      <c r="G26" s="11"/>
    </row>
    <row r="27" spans="1:7" x14ac:dyDescent="0.2">
      <c r="A27" t="str">
        <f t="shared" si="2"/>
        <v>No Qualification</v>
      </c>
      <c r="B27" s="18">
        <f t="shared" ref="B27:F27" si="8">B13/B$15*100</f>
        <v>5.0614509315724217</v>
      </c>
      <c r="C27" s="18">
        <f>C13/C$15*100</f>
        <v>4.531542048747669</v>
      </c>
      <c r="D27" s="18">
        <f t="shared" si="8"/>
        <v>3.8118275832774335</v>
      </c>
      <c r="E27" s="18">
        <f t="shared" si="8"/>
        <v>3.5495265380595606</v>
      </c>
      <c r="F27" s="18">
        <f t="shared" si="8"/>
        <v>2.4926137711892618</v>
      </c>
      <c r="G27" s="11"/>
    </row>
    <row r="28" spans="1:7" x14ac:dyDescent="0.2">
      <c r="B28" s="18"/>
      <c r="C28" s="18"/>
      <c r="D28" s="18"/>
      <c r="E28" s="18"/>
      <c r="F28" s="18"/>
      <c r="G28" s="11"/>
    </row>
    <row r="29" spans="1:7" x14ac:dyDescent="0.2">
      <c r="A29" t="str">
        <f>$A15</f>
        <v>All qualifications</v>
      </c>
      <c r="B29" s="18">
        <f>B15/B$15*100</f>
        <v>100</v>
      </c>
      <c r="C29" s="18">
        <f>C15/C$15*100</f>
        <v>100</v>
      </c>
      <c r="D29" s="18">
        <f>D15/D$15*100</f>
        <v>100</v>
      </c>
      <c r="E29" s="18">
        <f>E15/E$15*100</f>
        <v>100</v>
      </c>
      <c r="F29" s="18">
        <f>F15/F$15*100</f>
        <v>100</v>
      </c>
      <c r="G29" s="11"/>
    </row>
    <row r="30" spans="1:7" x14ac:dyDescent="0.2">
      <c r="B30" s="18"/>
      <c r="C30" s="18"/>
      <c r="D30" s="18"/>
      <c r="E30" s="18"/>
      <c r="F30" s="18"/>
      <c r="G30" s="11"/>
    </row>
    <row r="32" spans="1:7" x14ac:dyDescent="0.2">
      <c r="A32" s="1" t="s">
        <v>15</v>
      </c>
      <c r="B32" s="20" t="str">
        <f>CONCATENATE(B$3,"-",C$3)</f>
        <v>2015-2019</v>
      </c>
      <c r="C32" s="20" t="str">
        <f>CONCATENATE(C$3,"-",D$3)</f>
        <v>2019-2020</v>
      </c>
      <c r="D32" s="20" t="str">
        <f>CONCATENATE(D$3,"-",E$3)</f>
        <v>2020-2025</v>
      </c>
      <c r="E32" s="20" t="str">
        <f>CONCATENATE(E$3,"-",F$3)</f>
        <v>2025-2035</v>
      </c>
      <c r="F32" s="20" t="str">
        <f>CONCATENATE(D$3,"-",F$3)</f>
        <v>2020-2035</v>
      </c>
    </row>
    <row r="33" spans="1:6" x14ac:dyDescent="0.2">
      <c r="A33" t="str">
        <f>$A19</f>
        <v>RQF8 Doctorate</v>
      </c>
      <c r="B33" s="18">
        <f t="shared" ref="B33:E35" si="9">IF(C$3-B$3 &lt;&gt; 0,(EXP(LN(C5/B5)/(C$3-B$3))-1)*100,0)</f>
        <v>6.927414206401461</v>
      </c>
      <c r="C33" s="18">
        <f t="shared" si="9"/>
        <v>-5.0646524685286298</v>
      </c>
      <c r="D33" s="18">
        <f t="shared" si="9"/>
        <v>3.8674310532223366</v>
      </c>
      <c r="E33" s="18">
        <f t="shared" si="9"/>
        <v>2.6517595427075547</v>
      </c>
      <c r="F33" s="18">
        <f>IF(F$3-D$3 &lt;&gt; 0,(EXP(LN(F5/D5)/(F$3-D$3))-1)*100,0)</f>
        <v>3.0553941768104886</v>
      </c>
    </row>
    <row r="34" spans="1:6" x14ac:dyDescent="0.2">
      <c r="A34" t="str">
        <f>$A20</f>
        <v>RQF7 Other higher degree</v>
      </c>
      <c r="B34" s="18">
        <f t="shared" si="9"/>
        <v>8.0598578437798718</v>
      </c>
      <c r="C34" s="18">
        <f t="shared" si="9"/>
        <v>-6.7337764143917234</v>
      </c>
      <c r="D34" s="18">
        <f t="shared" si="9"/>
        <v>3.8064193039202943</v>
      </c>
      <c r="E34" s="18">
        <f t="shared" si="9"/>
        <v>2.7719252358185509</v>
      </c>
      <c r="F34" s="18">
        <f t="shared" ref="F34:F43" si="10">IF(F$3-D$3 &lt;&gt; 0,(EXP(LN(F6/D6)/(F$3-D$3))-1)*100,0)</f>
        <v>3.1156060039367439</v>
      </c>
    </row>
    <row r="35" spans="1:6" x14ac:dyDescent="0.2">
      <c r="A35" t="str">
        <f>$A21</f>
        <v>RQF6 First degree</v>
      </c>
      <c r="B35" s="18">
        <f t="shared" si="9"/>
        <v>1.2698232762486716</v>
      </c>
      <c r="C35" s="18">
        <f t="shared" si="9"/>
        <v>11.201607790261537</v>
      </c>
      <c r="D35" s="18">
        <f t="shared" si="9"/>
        <v>1.8317727310685594</v>
      </c>
      <c r="E35" s="18">
        <f t="shared" si="9"/>
        <v>2.0167927100785077</v>
      </c>
      <c r="F35" s="18">
        <f t="shared" si="10"/>
        <v>1.9550820620803266</v>
      </c>
    </row>
    <row r="36" spans="1:6" x14ac:dyDescent="0.2">
      <c r="A36" t="str">
        <f t="shared" ref="A36:A41" si="11">$A22</f>
        <v>RQF5 Foundation degree;Nursing;Teaching</v>
      </c>
      <c r="B36" s="18">
        <f>IF(C$3-B$3 &lt;&gt; 0,(EXP(LN(C8/B8)/(C$3-B$3))-1)*100,0)</f>
        <v>-0.6939542349921779</v>
      </c>
      <c r="C36" s="18">
        <f t="shared" ref="C36:E36" si="12">IF(D$3-C$3 &lt;&gt; 0,(EXP(LN(D8/C8)/(D$3-C$3))-1)*100,0)</f>
        <v>5.8362313011114386</v>
      </c>
      <c r="D36" s="18">
        <f t="shared" si="12"/>
        <v>0.39892822498330816</v>
      </c>
      <c r="E36" s="18">
        <f t="shared" si="12"/>
        <v>1.4272697469157603</v>
      </c>
      <c r="F36" s="18">
        <f t="shared" si="10"/>
        <v>1.0833242195156911</v>
      </c>
    </row>
    <row r="37" spans="1:6" x14ac:dyDescent="0.2">
      <c r="A37" t="str">
        <f t="shared" si="11"/>
        <v>RQF4 HE below degree level</v>
      </c>
      <c r="B37" s="18">
        <f t="shared" ref="B37:E37" si="13">IF(C$3-B$3 &lt;&gt; 0,(EXP(LN(C9/B9)/(C$3-B$3))-1)*100,0)</f>
        <v>-0.2020896157583052</v>
      </c>
      <c r="C37" s="18">
        <f t="shared" si="13"/>
        <v>13.462713106546808</v>
      </c>
      <c r="D37" s="18">
        <f t="shared" si="13"/>
        <v>1.0446335334602264</v>
      </c>
      <c r="E37" s="18">
        <f t="shared" si="13"/>
        <v>1.7983906989276655</v>
      </c>
      <c r="F37" s="18">
        <f t="shared" si="10"/>
        <v>1.5465156215030973</v>
      </c>
    </row>
    <row r="38" spans="1:6" x14ac:dyDescent="0.2">
      <c r="A38" t="str">
        <f t="shared" si="11"/>
        <v>RQF3 A level &amp; equivalent</v>
      </c>
      <c r="B38" s="18">
        <f t="shared" ref="B38:E38" si="14">IF(C$3-B$3 &lt;&gt; 0,(EXP(LN(C10/B10)/(C$3-B$3))-1)*100,0)</f>
        <v>2.1764019031484949</v>
      </c>
      <c r="C38" s="18">
        <f t="shared" si="14"/>
        <v>-1.1382762915036371</v>
      </c>
      <c r="D38" s="18">
        <f t="shared" si="14"/>
        <v>0.31216125759272462</v>
      </c>
      <c r="E38" s="18">
        <f t="shared" si="14"/>
        <v>0.482458748659087</v>
      </c>
      <c r="F38" s="18">
        <f t="shared" si="10"/>
        <v>0.42566081919901411</v>
      </c>
    </row>
    <row r="39" spans="1:6" x14ac:dyDescent="0.2">
      <c r="A39" t="str">
        <f t="shared" si="11"/>
        <v>RQF2 GCSE(A-C) &amp; equivalent</v>
      </c>
      <c r="B39" s="18">
        <f t="shared" ref="B39:E39" si="15">IF(C$3-B$3 &lt;&gt; 0,(EXP(LN(C11/B11)/(C$3-B$3))-1)*100,0)</f>
        <v>0.14865165789701429</v>
      </c>
      <c r="C39" s="18">
        <f t="shared" si="15"/>
        <v>-4.0761052148934223</v>
      </c>
      <c r="D39" s="18">
        <f t="shared" si="15"/>
        <v>-1.5016211925034662</v>
      </c>
      <c r="E39" s="18">
        <f t="shared" si="15"/>
        <v>-1.7708967980294976</v>
      </c>
      <c r="F39" s="18">
        <f t="shared" si="10"/>
        <v>-1.6812201565801432</v>
      </c>
    </row>
    <row r="40" spans="1:6" x14ac:dyDescent="0.2">
      <c r="A40" t="str">
        <f t="shared" si="11"/>
        <v>RQF1 GCSE(below grade C) &amp; equivalent</v>
      </c>
      <c r="B40" s="18">
        <f t="shared" ref="B40:E40" si="16">IF(C$3-B$3 &lt;&gt; 0,(EXP(LN(C12/B12)/(C$3-B$3))-1)*100,0)</f>
        <v>-4.1671026102956255</v>
      </c>
      <c r="C40" s="18">
        <f t="shared" si="16"/>
        <v>-0.42483382415101634</v>
      </c>
      <c r="D40" s="18">
        <f t="shared" si="16"/>
        <v>-2.4997750607997138</v>
      </c>
      <c r="E40" s="18">
        <f t="shared" si="16"/>
        <v>-4.5633353780961228</v>
      </c>
      <c r="F40" s="18">
        <f t="shared" si="10"/>
        <v>-3.8803808888458469</v>
      </c>
    </row>
    <row r="41" spans="1:6" x14ac:dyDescent="0.2">
      <c r="A41" t="str">
        <f t="shared" si="11"/>
        <v>No Qualification</v>
      </c>
      <c r="B41" s="18">
        <f t="shared" ref="B41:E41" si="17">IF(C$3-B$3 &lt;&gt; 0,(EXP(LN(C13/B13)/(C$3-B$3))-1)*100,0)</f>
        <v>-2.1426115028476023</v>
      </c>
      <c r="C41" s="18">
        <f t="shared" si="17"/>
        <v>-15.705667999048412</v>
      </c>
      <c r="D41" s="18">
        <f t="shared" si="17"/>
        <v>-1.2050863114390631</v>
      </c>
      <c r="E41" s="18">
        <f t="shared" si="17"/>
        <v>-3.2429138352772169</v>
      </c>
      <c r="F41" s="18">
        <f t="shared" si="10"/>
        <v>-2.5683517720757387</v>
      </c>
    </row>
    <row r="42" spans="1:6" x14ac:dyDescent="0.2">
      <c r="B42" s="18"/>
      <c r="C42" s="18"/>
      <c r="D42" s="18"/>
      <c r="E42" s="18"/>
      <c r="F42" s="18"/>
    </row>
    <row r="43" spans="1:6" x14ac:dyDescent="0.2">
      <c r="A43" t="str">
        <f>$A29</f>
        <v>All qualifications</v>
      </c>
      <c r="B43" s="18">
        <f>IF(C$3-B$3 &lt;&gt; 0,(EXP(LN(C15/B15)/(C$3-B$3))-1)*100,0)</f>
        <v>0.60067062186750508</v>
      </c>
      <c r="C43" s="18">
        <f t="shared" ref="C43" si="18">IF(D$3-C$3 &lt;&gt; 0,(EXP(LN(D15/C15)/(D$3-C$3))-1)*100,0)</f>
        <v>0.2100177902004452</v>
      </c>
      <c r="D43" s="18">
        <f>IF(E$3-D$3 &lt;&gt; 0,(EXP(LN(E15/D15)/(E$3-D$3))-1)*100,0)</f>
        <v>0.2137122903617783</v>
      </c>
      <c r="E43" s="18">
        <f>IF(F$3-E$3 &lt;&gt; 0,(EXP(LN(F15/E15)/(F$3-E$3))-1)*100,0)</f>
        <v>0.23844593453650198</v>
      </c>
      <c r="F43" s="18">
        <f t="shared" si="10"/>
        <v>0.23020070827648453</v>
      </c>
    </row>
    <row r="44" spans="1:6" x14ac:dyDescent="0.2">
      <c r="B44" s="18"/>
      <c r="C44" s="18"/>
      <c r="D44" s="18"/>
      <c r="E44" s="18"/>
      <c r="F44" s="18"/>
    </row>
    <row r="46" spans="1:6" x14ac:dyDescent="0.2">
      <c r="A46" s="1" t="s">
        <v>16</v>
      </c>
      <c r="B46" s="20" t="str">
        <f>CONCATENATE(B$3,"-",C$3)</f>
        <v>2015-2019</v>
      </c>
      <c r="C46" s="20" t="str">
        <f>CONCATENATE(C$3,"-",D$3)</f>
        <v>2019-2020</v>
      </c>
      <c r="D46" s="20" t="str">
        <f>CONCATENATE(D$3,"-",E$3)</f>
        <v>2020-2025</v>
      </c>
      <c r="E46" s="20" t="str">
        <f>CONCATENATE(E$3,"-",F$3)</f>
        <v>2025-2035</v>
      </c>
      <c r="F46" s="20" t="str">
        <f>CONCATENATE(D$3,"-",F$3)</f>
        <v>2020-2035</v>
      </c>
    </row>
    <row r="47" spans="1:6" x14ac:dyDescent="0.2">
      <c r="A47" t="str">
        <f>$A33</f>
        <v>RQF8 Doctorate</v>
      </c>
      <c r="B47" s="27">
        <f>C5-B5</f>
        <v>1.5476040988583604</v>
      </c>
      <c r="C47" s="27">
        <f>D5-C5</f>
        <v>-0.3334909604658165</v>
      </c>
      <c r="D47" s="27">
        <f>E5-D5</f>
        <v>1.3059869735355436</v>
      </c>
      <c r="E47" s="27">
        <f>F5-E5</f>
        <v>2.260833880914193</v>
      </c>
      <c r="F47" s="27">
        <f>F5-D5</f>
        <v>3.5668208544497366</v>
      </c>
    </row>
    <row r="48" spans="1:6" x14ac:dyDescent="0.2">
      <c r="A48" t="str">
        <f t="shared" ref="A48:A55" si="19">$A34</f>
        <v>RQF7 Other higher degree</v>
      </c>
      <c r="B48" s="27">
        <f t="shared" ref="B48:E48" si="20">C6-B6</f>
        <v>12.26687766709739</v>
      </c>
      <c r="C48" s="27">
        <f t="shared" si="20"/>
        <v>-3.0983949895845981</v>
      </c>
      <c r="D48" s="27">
        <f t="shared" si="20"/>
        <v>8.8133993589283719</v>
      </c>
      <c r="E48" s="27">
        <f t="shared" si="20"/>
        <v>16.265922411819304</v>
      </c>
      <c r="F48" s="27">
        <f t="shared" ref="F48:F57" si="21">F6-D6</f>
        <v>25.079321770747676</v>
      </c>
    </row>
    <row r="49" spans="1:6" x14ac:dyDescent="0.2">
      <c r="A49" t="str">
        <f t="shared" si="19"/>
        <v>RQF6 First degree</v>
      </c>
      <c r="B49" s="27">
        <f t="shared" ref="B49:E49" si="22">C7-B7</f>
        <v>4.1564039194079214</v>
      </c>
      <c r="C49" s="27">
        <f t="shared" si="22"/>
        <v>9.459142026289669</v>
      </c>
      <c r="D49" s="27">
        <f t="shared" si="22"/>
        <v>8.9214149606283257</v>
      </c>
      <c r="E49" s="27">
        <f t="shared" si="22"/>
        <v>22.724625319577441</v>
      </c>
      <c r="F49" s="27">
        <f t="shared" si="21"/>
        <v>31.646040280205767</v>
      </c>
    </row>
    <row r="50" spans="1:6" x14ac:dyDescent="0.2">
      <c r="A50" t="str">
        <f t="shared" si="19"/>
        <v>RQF5 Foundation degree;Nursing;Teaching</v>
      </c>
      <c r="B50" s="27">
        <f t="shared" ref="B50:E50" si="23">C8-B8</f>
        <v>-0.75126612434158702</v>
      </c>
      <c r="C50" s="27">
        <f t="shared" si="23"/>
        <v>1.5522495417518698</v>
      </c>
      <c r="D50" s="27">
        <f t="shared" si="23"/>
        <v>0.56596974777622222</v>
      </c>
      <c r="E50" s="27">
        <f t="shared" si="23"/>
        <v>4.3719068533034822</v>
      </c>
      <c r="F50" s="27">
        <f t="shared" si="21"/>
        <v>4.9378766010797044</v>
      </c>
    </row>
    <row r="51" spans="1:6" x14ac:dyDescent="0.2">
      <c r="A51" t="str">
        <f t="shared" si="19"/>
        <v>RQF4 HE below degree level</v>
      </c>
      <c r="B51" s="27">
        <f t="shared" ref="B51:E51" si="24">C9-B9</f>
        <v>-0.20605771610437174</v>
      </c>
      <c r="C51" s="27">
        <f t="shared" si="24"/>
        <v>3.4144439852250272</v>
      </c>
      <c r="D51" s="27">
        <f t="shared" si="24"/>
        <v>1.5347863936321247</v>
      </c>
      <c r="E51" s="27">
        <f t="shared" si="24"/>
        <v>5.9141723863489766</v>
      </c>
      <c r="F51" s="27">
        <f t="shared" si="21"/>
        <v>7.4489587799811012</v>
      </c>
    </row>
    <row r="52" spans="1:6" x14ac:dyDescent="0.2">
      <c r="A52" t="str">
        <f t="shared" si="19"/>
        <v>RQF3 A level &amp; equivalent</v>
      </c>
      <c r="B52" s="27">
        <f t="shared" ref="B52:E52" si="25">C10-B10</f>
        <v>9.6937332537817724</v>
      </c>
      <c r="C52" s="27">
        <f t="shared" si="25"/>
        <v>-1.3371815033412133</v>
      </c>
      <c r="D52" s="27">
        <f t="shared" si="25"/>
        <v>1.8240269405183938</v>
      </c>
      <c r="E52" s="27">
        <f t="shared" si="25"/>
        <v>5.8162974838369479</v>
      </c>
      <c r="F52" s="27">
        <f t="shared" si="21"/>
        <v>7.6403244243553416</v>
      </c>
    </row>
    <row r="53" spans="1:6" x14ac:dyDescent="0.2">
      <c r="A53" t="str">
        <f t="shared" si="19"/>
        <v>RQF2 GCSE(A-C) &amp; equivalent</v>
      </c>
      <c r="B53" s="27">
        <f t="shared" ref="B53:E53" si="26">C11-B11</f>
        <v>0.67161904679471718</v>
      </c>
      <c r="C53" s="27">
        <f>D11-C11</f>
        <v>-4.6211579068759221</v>
      </c>
      <c r="D53" s="27">
        <f t="shared" si="26"/>
        <v>-7.9235572275552641</v>
      </c>
      <c r="E53" s="27">
        <f t="shared" si="26"/>
        <v>-16.497702763069071</v>
      </c>
      <c r="F53" s="27">
        <f t="shared" si="21"/>
        <v>-24.421259990624336</v>
      </c>
    </row>
    <row r="54" spans="1:6" x14ac:dyDescent="0.2">
      <c r="A54" t="str">
        <f t="shared" si="19"/>
        <v>RQF1 GCSE(below grade C) &amp; equivalent</v>
      </c>
      <c r="B54" s="27">
        <f t="shared" ref="B54:E54" si="27">C12-B12</f>
        <v>-13.11094552234978</v>
      </c>
      <c r="C54" s="27">
        <f t="shared" si="27"/>
        <v>-0.30009159195356006</v>
      </c>
      <c r="D54" s="27">
        <f t="shared" si="27"/>
        <v>-8.3626946724396518</v>
      </c>
      <c r="E54" s="27">
        <f t="shared" si="27"/>
        <v>-23.126822226951106</v>
      </c>
      <c r="F54" s="27">
        <f t="shared" si="21"/>
        <v>-31.489516899390757</v>
      </c>
    </row>
    <row r="55" spans="1:6" x14ac:dyDescent="0.2">
      <c r="A55" t="str">
        <f t="shared" si="19"/>
        <v>No Qualification</v>
      </c>
      <c r="B55" s="27">
        <f t="shared" ref="B55:E55" si="28">C13-B13</f>
        <v>-2.1069686231449154</v>
      </c>
      <c r="C55" s="27">
        <f t="shared" si="28"/>
        <v>-3.6565186010441977</v>
      </c>
      <c r="D55" s="27">
        <f t="shared" si="28"/>
        <v>-1.1543324750241659</v>
      </c>
      <c r="E55" s="27">
        <f t="shared" si="28"/>
        <v>-5.1872333457804327</v>
      </c>
      <c r="F55" s="27">
        <f t="shared" si="21"/>
        <v>-6.3415658208045986</v>
      </c>
    </row>
    <row r="56" spans="1:6" x14ac:dyDescent="0.2">
      <c r="B56" s="21"/>
      <c r="C56" s="27"/>
      <c r="D56" s="21"/>
      <c r="E56" s="21"/>
      <c r="F56" s="27"/>
    </row>
    <row r="57" spans="1:6" x14ac:dyDescent="0.2">
      <c r="A57" s="24" t="str">
        <f>$A43</f>
        <v>All qualifications</v>
      </c>
      <c r="B57" s="29">
        <f>C15-B15</f>
        <v>12.160999999999547</v>
      </c>
      <c r="C57" s="29">
        <f t="shared" ref="C57" si="29">D15-C15</f>
        <v>1.0790000000012014</v>
      </c>
      <c r="D57" s="29">
        <f>E15-D15</f>
        <v>5.5249999999999773</v>
      </c>
      <c r="E57" s="29">
        <f>F15-E15</f>
        <v>12.541999999999689</v>
      </c>
      <c r="F57" s="29">
        <f t="shared" si="21"/>
        <v>18.066999999999666</v>
      </c>
    </row>
  </sheetData>
  <phoneticPr fontId="4" type="noConversion"/>
  <pageMargins left="0.74803149606299213" right="0.74803149606299213" top="0.78740157480314965" bottom="0.78740157480314965" header="0.51181102362204722" footer="0.51181102362204722"/>
  <pageSetup paperSize="9" scale="92" orientation="portrait" r:id="rId1"/>
  <headerFooter alignWithMargins="0"/>
  <ignoredErrors>
    <ignoredError sqref="C44:C45" formula="1"/>
  </ignoredErrors>
  <drawing r:id="rId2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900-000000000000}">
  <sheetPr codeName="Sheet24"/>
  <dimension ref="A1:BP52"/>
  <sheetViews>
    <sheetView zoomScale="75" zoomScaleNormal="75" workbookViewId="0"/>
  </sheetViews>
  <sheetFormatPr defaultRowHeight="12.75" x14ac:dyDescent="0.2"/>
  <cols>
    <col min="1" max="1" width="17" style="81" customWidth="1"/>
    <col min="2" max="8" width="9.140625" style="81"/>
    <col min="9" max="9" width="31.85546875" style="81" customWidth="1"/>
    <col min="10" max="10" width="11.28515625" style="81" customWidth="1"/>
    <col min="11" max="11" width="6.140625" style="81" customWidth="1"/>
    <col min="12" max="12" width="27.140625" customWidth="1"/>
    <col min="13" max="33" width="7.7109375" customWidth="1"/>
    <col min="34" max="37" width="6.42578125" customWidth="1"/>
    <col min="38" max="38" width="7.140625" customWidth="1"/>
    <col min="39" max="68" width="6.28515625" customWidth="1"/>
  </cols>
  <sheetData>
    <row r="1" spans="1:68" ht="15.75" x14ac:dyDescent="0.25">
      <c r="A1" s="80" t="str">
        <f>CONCATENATE("Qualification Figure 1  Employment by Qualification, ",$M$2,"-",$O$2,", ",Info!B5)</f>
        <v>Qualification Figure 1  Employment by Qualification, 2010-2035, Greater Lincolnshire</v>
      </c>
      <c r="H1"/>
      <c r="L1" s="46"/>
    </row>
    <row r="2" spans="1:68" x14ac:dyDescent="0.2">
      <c r="A2" s="1" t="s">
        <v>520</v>
      </c>
      <c r="L2" s="16" t="s">
        <v>29</v>
      </c>
      <c r="M2" s="48">
        <f>M4</f>
        <v>2010</v>
      </c>
      <c r="N2" s="47" t="s">
        <v>28</v>
      </c>
      <c r="O2" s="48">
        <f>MAX(M4:BM4)</f>
        <v>2035</v>
      </c>
    </row>
    <row r="3" spans="1:68" x14ac:dyDescent="0.2">
      <c r="L3" s="16"/>
      <c r="M3" s="16"/>
      <c r="N3" s="47"/>
      <c r="O3" s="16"/>
    </row>
    <row r="4" spans="1:68" x14ac:dyDescent="0.2">
      <c r="L4" s="13"/>
      <c r="M4" s="48">
        <v>2010</v>
      </c>
      <c r="N4" s="48">
        <v>2011</v>
      </c>
      <c r="O4" s="48">
        <v>2012</v>
      </c>
      <c r="P4" s="48">
        <v>2013</v>
      </c>
      <c r="Q4" s="48">
        <v>2014</v>
      </c>
      <c r="R4" s="48">
        <v>2015</v>
      </c>
      <c r="S4" s="48">
        <v>2016</v>
      </c>
      <c r="T4" s="48">
        <v>2017</v>
      </c>
      <c r="U4" s="48">
        <v>2018</v>
      </c>
      <c r="V4" s="48">
        <v>2019</v>
      </c>
      <c r="W4" s="48">
        <v>2020</v>
      </c>
      <c r="X4" s="48">
        <v>2021</v>
      </c>
      <c r="Y4" s="48">
        <v>2022</v>
      </c>
      <c r="Z4" s="48">
        <v>2023</v>
      </c>
      <c r="AA4" s="48">
        <v>2024</v>
      </c>
      <c r="AB4" s="48">
        <v>2025</v>
      </c>
      <c r="AC4" s="48">
        <v>2026</v>
      </c>
      <c r="AD4" s="48">
        <v>2027</v>
      </c>
      <c r="AE4" s="48">
        <v>2028</v>
      </c>
      <c r="AF4" s="48">
        <v>2029</v>
      </c>
      <c r="AG4" s="48">
        <v>2030</v>
      </c>
      <c r="AH4" s="48">
        <v>2031</v>
      </c>
      <c r="AI4" s="48">
        <v>2032</v>
      </c>
      <c r="AJ4" s="48">
        <v>2033</v>
      </c>
      <c r="AK4" s="48">
        <v>2034</v>
      </c>
      <c r="AL4" s="48">
        <v>2035</v>
      </c>
      <c r="AM4" s="10"/>
      <c r="AN4" s="10"/>
      <c r="AO4" s="10"/>
      <c r="AP4" s="10"/>
      <c r="AQ4" s="10"/>
      <c r="AR4" s="10"/>
      <c r="AS4" s="10"/>
      <c r="AT4" s="10"/>
      <c r="AU4" s="10"/>
      <c r="AV4" s="10"/>
      <c r="AW4" s="10"/>
      <c r="AX4" s="10"/>
      <c r="AY4" s="10"/>
      <c r="AZ4" s="10"/>
      <c r="BA4" s="10"/>
      <c r="BB4" s="10"/>
      <c r="BC4" s="10"/>
      <c r="BD4" s="10"/>
      <c r="BE4" s="10"/>
      <c r="BF4" s="10"/>
      <c r="BG4" s="10"/>
      <c r="BH4" s="10"/>
      <c r="BI4" s="10"/>
      <c r="BJ4" s="10"/>
      <c r="BK4" s="10"/>
      <c r="BL4" s="10"/>
      <c r="BM4" s="10"/>
    </row>
    <row r="5" spans="1:68" x14ac:dyDescent="0.2">
      <c r="L5" s="1"/>
      <c r="M5" s="11"/>
      <c r="N5" s="11"/>
      <c r="O5" s="11"/>
      <c r="P5" s="11"/>
      <c r="Q5" s="11"/>
      <c r="R5" s="11"/>
      <c r="S5" s="11"/>
      <c r="T5" s="11"/>
      <c r="U5" s="11"/>
      <c r="V5" s="11"/>
      <c r="W5" s="11"/>
      <c r="X5" s="11"/>
      <c r="Y5" s="11"/>
      <c r="Z5" s="11"/>
      <c r="AA5" s="11"/>
      <c r="AB5" s="11"/>
      <c r="AC5" s="11"/>
      <c r="AD5" s="11"/>
      <c r="AE5" s="11"/>
      <c r="AF5" s="11"/>
      <c r="AG5" s="11"/>
      <c r="AH5" s="11"/>
      <c r="AI5" s="11"/>
      <c r="AJ5" s="11"/>
      <c r="AK5" s="11"/>
      <c r="AL5" s="11"/>
      <c r="AM5" s="11"/>
      <c r="AN5" s="11"/>
      <c r="AO5" s="11"/>
      <c r="AP5" s="11"/>
      <c r="AQ5" s="11"/>
      <c r="AR5" s="11"/>
      <c r="AS5" s="11"/>
      <c r="AT5" s="11"/>
      <c r="AU5" s="11"/>
      <c r="AV5" s="11"/>
      <c r="AW5" s="11"/>
      <c r="AX5" s="11"/>
      <c r="AY5" s="11"/>
      <c r="AZ5" s="11"/>
      <c r="BA5" s="11"/>
      <c r="BB5" s="11"/>
      <c r="BC5" s="11"/>
      <c r="BD5" s="11"/>
      <c r="BE5" s="11"/>
      <c r="BF5" s="11"/>
      <c r="BG5" s="11"/>
      <c r="BH5" s="11"/>
      <c r="BI5" s="11"/>
      <c r="BJ5" s="11"/>
      <c r="BK5" s="11"/>
      <c r="BL5" s="11"/>
      <c r="BM5" s="11"/>
    </row>
    <row r="6" spans="1:68" x14ac:dyDescent="0.2">
      <c r="L6" s="232" t="str">
        <f>name!F12</f>
        <v>No Qualification</v>
      </c>
      <c r="M6" s="11">
        <v>38.080169948442702</v>
      </c>
      <c r="N6" s="11">
        <v>35.091493351851099</v>
      </c>
      <c r="O6" s="11">
        <v>31.560069816777904</v>
      </c>
      <c r="P6" s="11">
        <v>29.543683885094559</v>
      </c>
      <c r="Q6" s="11">
        <v>28.797861842345551</v>
      </c>
      <c r="R6" s="11">
        <v>25.388490945313837</v>
      </c>
      <c r="S6" s="11">
        <v>24.78544772996732</v>
      </c>
      <c r="T6" s="11">
        <v>25.875864851297028</v>
      </c>
      <c r="U6" s="11">
        <v>27.318616432515853</v>
      </c>
      <c r="V6" s="11">
        <v>23.281522322168922</v>
      </c>
      <c r="W6" s="11">
        <v>19.625003721124724</v>
      </c>
      <c r="X6" s="11">
        <v>26.333851813552702</v>
      </c>
      <c r="Y6" s="11">
        <v>20.949185435666276</v>
      </c>
      <c r="Z6" s="11">
        <v>19.983742105954601</v>
      </c>
      <c r="AA6" s="11">
        <v>19.04805259378972</v>
      </c>
      <c r="AB6" s="11">
        <v>18.470671246100558</v>
      </c>
      <c r="AC6" s="11">
        <v>17.963759925135136</v>
      </c>
      <c r="AD6" s="11">
        <v>17.42034474436398</v>
      </c>
      <c r="AE6" s="11">
        <v>16.882444997956693</v>
      </c>
      <c r="AF6" s="11">
        <v>16.331969687672128</v>
      </c>
      <c r="AG6" s="11">
        <v>15.767568460719941</v>
      </c>
      <c r="AH6" s="11">
        <v>15.166864150833316</v>
      </c>
      <c r="AI6" s="11">
        <v>14.542760328756996</v>
      </c>
      <c r="AJ6" s="11">
        <v>13.897707289875326</v>
      </c>
      <c r="AK6" s="11">
        <v>13.276097401103224</v>
      </c>
      <c r="AL6" s="11">
        <v>13.283437900320125</v>
      </c>
      <c r="AM6" s="11"/>
      <c r="AN6" s="11"/>
      <c r="AO6" s="11"/>
      <c r="AP6" s="11"/>
      <c r="AQ6" s="11"/>
      <c r="AR6" s="11"/>
      <c r="AS6" s="11"/>
      <c r="AT6" s="11"/>
      <c r="AU6" s="11"/>
      <c r="AV6" s="11"/>
      <c r="AW6" s="11"/>
      <c r="AX6" s="11"/>
      <c r="AY6" s="11"/>
      <c r="AZ6" s="11"/>
      <c r="BA6" s="11"/>
      <c r="BB6" s="11"/>
      <c r="BC6" s="11"/>
      <c r="BD6" s="11"/>
      <c r="BE6" s="11"/>
      <c r="BF6" s="11"/>
      <c r="BG6" s="11"/>
      <c r="BH6" s="11"/>
      <c r="BI6" s="11"/>
      <c r="BJ6" s="11"/>
      <c r="BK6" s="11"/>
      <c r="BL6" s="11"/>
      <c r="BM6" s="11"/>
    </row>
    <row r="7" spans="1:68" x14ac:dyDescent="0.2">
      <c r="L7" s="232" t="str">
        <f>name!F11</f>
        <v>RQF1 GCSE(below grade C) &amp; equivalent</v>
      </c>
      <c r="M7" s="11">
        <v>84.418930622790384</v>
      </c>
      <c r="N7" s="11">
        <v>85.803185207252213</v>
      </c>
      <c r="O7" s="11">
        <v>88.939559858584587</v>
      </c>
      <c r="P7" s="11">
        <v>75.813718363768913</v>
      </c>
      <c r="Q7" s="11">
        <v>79.870448363292496</v>
      </c>
      <c r="R7" s="11">
        <v>83.748351231101708</v>
      </c>
      <c r="S7" s="11">
        <v>77.184680200461614</v>
      </c>
      <c r="T7" s="11">
        <v>83.117873133377145</v>
      </c>
      <c r="U7" s="11">
        <v>80.628618469257191</v>
      </c>
      <c r="V7" s="11">
        <v>70.637405708751928</v>
      </c>
      <c r="W7" s="11">
        <v>70.337314116798368</v>
      </c>
      <c r="X7" s="11">
        <v>72.241482787441726</v>
      </c>
      <c r="Y7" s="11">
        <v>67.826277916927822</v>
      </c>
      <c r="Z7" s="11">
        <v>65.873146226295688</v>
      </c>
      <c r="AA7" s="11">
        <v>64.018070508998946</v>
      </c>
      <c r="AB7" s="11">
        <v>61.974619444358716</v>
      </c>
      <c r="AC7" s="11">
        <v>59.862324639169906</v>
      </c>
      <c r="AD7" s="11">
        <v>57.653409097184344</v>
      </c>
      <c r="AE7" s="11">
        <v>55.414599610599382</v>
      </c>
      <c r="AF7" s="11">
        <v>53.143569401791332</v>
      </c>
      <c r="AG7" s="11">
        <v>50.851371333890455</v>
      </c>
      <c r="AH7" s="11">
        <v>48.525678161549614</v>
      </c>
      <c r="AI7" s="11">
        <v>46.165790877522269</v>
      </c>
      <c r="AJ7" s="11">
        <v>43.781387219043822</v>
      </c>
      <c r="AK7" s="11">
        <v>41.36076179199015</v>
      </c>
      <c r="AL7" s="11">
        <v>38.84779721740761</v>
      </c>
      <c r="AM7" s="11"/>
      <c r="AN7" s="11"/>
      <c r="AO7" s="11"/>
      <c r="AP7" s="11"/>
      <c r="AQ7" s="11"/>
      <c r="AR7" s="11"/>
      <c r="AS7" s="11"/>
      <c r="AT7" s="11"/>
      <c r="AU7" s="11"/>
      <c r="AV7" s="11"/>
      <c r="AW7" s="11"/>
      <c r="AX7" s="11"/>
      <c r="AY7" s="11"/>
      <c r="AZ7" s="11"/>
      <c r="BA7" s="11"/>
      <c r="BB7" s="11"/>
      <c r="BC7" s="11"/>
      <c r="BD7" s="11"/>
      <c r="BE7" s="11"/>
      <c r="BF7" s="11"/>
      <c r="BG7" s="11"/>
      <c r="BH7" s="11"/>
      <c r="BI7" s="11"/>
      <c r="BJ7" s="11"/>
      <c r="BK7" s="11"/>
      <c r="BL7" s="11"/>
      <c r="BM7" s="11"/>
    </row>
    <row r="8" spans="1:68" x14ac:dyDescent="0.2">
      <c r="L8" s="232" t="str">
        <f>name!F10</f>
        <v>RQF2 GCSE(A-C) &amp; equivalent</v>
      </c>
      <c r="M8" s="11">
        <v>110.32223788832535</v>
      </c>
      <c r="N8" s="11">
        <v>111.60538428014158</v>
      </c>
      <c r="O8" s="11">
        <v>111.77404831446324</v>
      </c>
      <c r="P8" s="11">
        <v>111.46887281488658</v>
      </c>
      <c r="Q8" s="11">
        <v>117.01170612981939</v>
      </c>
      <c r="R8" s="11">
        <v>112.7002804319275</v>
      </c>
      <c r="S8" s="11">
        <v>121.01443843747217</v>
      </c>
      <c r="T8" s="11">
        <v>113.86558129166085</v>
      </c>
      <c r="U8" s="11">
        <v>108.67038910833055</v>
      </c>
      <c r="V8" s="11">
        <v>113.37189947872221</v>
      </c>
      <c r="W8" s="11">
        <v>108.75074157184629</v>
      </c>
      <c r="X8" s="11">
        <v>104.60218034383409</v>
      </c>
      <c r="Y8" s="11">
        <v>104.94674787725553</v>
      </c>
      <c r="Z8" s="11">
        <v>103.5401205337171</v>
      </c>
      <c r="AA8" s="11">
        <v>102.31416757266798</v>
      </c>
      <c r="AB8" s="11">
        <v>100.82718434429103</v>
      </c>
      <c r="AC8" s="11">
        <v>99.248439846725176</v>
      </c>
      <c r="AD8" s="11">
        <v>97.641855875741797</v>
      </c>
      <c r="AE8" s="11">
        <v>96.001377936628302</v>
      </c>
      <c r="AF8" s="11">
        <v>94.353251952035748</v>
      </c>
      <c r="AG8" s="11">
        <v>92.734132786502627</v>
      </c>
      <c r="AH8" s="11">
        <v>91.102144789863104</v>
      </c>
      <c r="AI8" s="11">
        <v>89.456957236487213</v>
      </c>
      <c r="AJ8" s="11">
        <v>87.809695823125978</v>
      </c>
      <c r="AK8" s="11">
        <v>86.134221291014768</v>
      </c>
      <c r="AL8" s="11">
        <v>84.329481581221955</v>
      </c>
      <c r="AM8" s="11"/>
      <c r="AN8" s="11"/>
      <c r="AO8" s="11"/>
      <c r="AP8" s="11"/>
      <c r="AQ8" s="11"/>
      <c r="AR8" s="11"/>
      <c r="AS8" s="11"/>
      <c r="AT8" s="11"/>
      <c r="AU8" s="11"/>
      <c r="AV8" s="11"/>
      <c r="AW8" s="11"/>
      <c r="AX8" s="11"/>
      <c r="AY8" s="11"/>
      <c r="AZ8" s="11"/>
      <c r="BA8" s="11"/>
      <c r="BB8" s="11"/>
      <c r="BC8" s="11"/>
      <c r="BD8" s="11"/>
      <c r="BE8" s="11"/>
      <c r="BF8" s="11"/>
      <c r="BG8" s="11"/>
      <c r="BH8" s="11"/>
      <c r="BI8" s="11"/>
      <c r="BJ8" s="11"/>
      <c r="BK8" s="11"/>
      <c r="BL8" s="11"/>
      <c r="BM8" s="11"/>
    </row>
    <row r="9" spans="1:68" x14ac:dyDescent="0.2">
      <c r="L9" s="232" t="str">
        <f>name!F9</f>
        <v>RQF3 A level &amp; equivalent</v>
      </c>
      <c r="M9" s="11">
        <v>103.38433294477741</v>
      </c>
      <c r="N9" s="11">
        <v>108.06903027285914</v>
      </c>
      <c r="O9" s="11">
        <v>109.88427576637754</v>
      </c>
      <c r="P9" s="11">
        <v>98.576079881303883</v>
      </c>
      <c r="Q9" s="11">
        <v>107.17158431358375</v>
      </c>
      <c r="R9" s="11">
        <v>107.78051384441879</v>
      </c>
      <c r="S9" s="11">
        <v>112.93392343034898</v>
      </c>
      <c r="T9" s="11">
        <v>117.43167292909591</v>
      </c>
      <c r="U9" s="11">
        <v>110.61572767581148</v>
      </c>
      <c r="V9" s="11">
        <v>117.47424709820056</v>
      </c>
      <c r="W9" s="11">
        <v>116.13706559485935</v>
      </c>
      <c r="X9" s="11">
        <v>113.71196979280766</v>
      </c>
      <c r="Y9" s="11">
        <v>115.58025404468917</v>
      </c>
      <c r="Z9" s="11">
        <v>116.3021354049702</v>
      </c>
      <c r="AA9" s="11">
        <v>117.2603341057012</v>
      </c>
      <c r="AB9" s="11">
        <v>117.96109253537774</v>
      </c>
      <c r="AC9" s="11">
        <v>118.57065775075546</v>
      </c>
      <c r="AD9" s="11">
        <v>119.12414746398883</v>
      </c>
      <c r="AE9" s="11">
        <v>119.67853728224432</v>
      </c>
      <c r="AF9" s="11">
        <v>120.23673357525537</v>
      </c>
      <c r="AG9" s="11">
        <v>120.84500787772888</v>
      </c>
      <c r="AH9" s="11">
        <v>121.45351453848527</v>
      </c>
      <c r="AI9" s="11">
        <v>122.07188571541252</v>
      </c>
      <c r="AJ9" s="11">
        <v>122.7059876352437</v>
      </c>
      <c r="AK9" s="11">
        <v>123.32627004327072</v>
      </c>
      <c r="AL9" s="11">
        <v>123.77739001921469</v>
      </c>
      <c r="AM9" s="11"/>
      <c r="AN9" s="11"/>
      <c r="AO9" s="11"/>
      <c r="AP9" s="11"/>
      <c r="AQ9" s="11"/>
      <c r="AR9" s="11"/>
      <c r="AS9" s="11"/>
      <c r="AT9" s="11"/>
      <c r="AU9" s="11"/>
      <c r="AV9" s="11"/>
      <c r="AW9" s="11"/>
      <c r="AX9" s="11"/>
      <c r="AY9" s="11"/>
      <c r="AZ9" s="11"/>
      <c r="BA9" s="11"/>
      <c r="BB9" s="11"/>
      <c r="BC9" s="11"/>
    </row>
    <row r="10" spans="1:68" x14ac:dyDescent="0.2">
      <c r="L10" s="232" t="str">
        <f>name!F8</f>
        <v>RQF4 HE below degree level</v>
      </c>
      <c r="M10" s="11">
        <v>22.661008464021563</v>
      </c>
      <c r="N10" s="11">
        <v>24.387285814586217</v>
      </c>
      <c r="O10" s="11">
        <v>21.819812426809058</v>
      </c>
      <c r="P10" s="11">
        <v>24.389429324489498</v>
      </c>
      <c r="Q10" s="11">
        <v>24.75950352447515</v>
      </c>
      <c r="R10" s="11">
        <v>25.568285657845244</v>
      </c>
      <c r="S10" s="11">
        <v>25.841468723329413</v>
      </c>
      <c r="T10" s="11">
        <v>28.369070533945123</v>
      </c>
      <c r="U10" s="11">
        <v>27.896051117911167</v>
      </c>
      <c r="V10" s="11">
        <v>25.362227941740873</v>
      </c>
      <c r="W10" s="11">
        <v>28.7766719269659</v>
      </c>
      <c r="X10" s="11">
        <v>27.798835369239015</v>
      </c>
      <c r="Y10" s="11">
        <v>28.702377438401623</v>
      </c>
      <c r="Z10" s="11">
        <v>29.208997147489875</v>
      </c>
      <c r="AA10" s="11">
        <v>29.786934955206657</v>
      </c>
      <c r="AB10" s="11">
        <v>30.311458320598025</v>
      </c>
      <c r="AC10" s="11">
        <v>30.841285438785363</v>
      </c>
      <c r="AD10" s="11">
        <v>31.384766947824339</v>
      </c>
      <c r="AE10">
        <v>31.924364187342043</v>
      </c>
      <c r="AF10">
        <v>32.478801609203003</v>
      </c>
      <c r="AG10">
        <v>33.065083304548338</v>
      </c>
      <c r="AH10">
        <v>33.665790159979892</v>
      </c>
      <c r="AI10" s="11">
        <v>34.28699867664033</v>
      </c>
      <c r="AJ10" s="11">
        <v>34.927859770498131</v>
      </c>
      <c r="AK10" s="11">
        <v>35.594425098616441</v>
      </c>
      <c r="AL10" s="11">
        <v>36.225630706947001</v>
      </c>
      <c r="AM10" s="11"/>
      <c r="AN10" s="11"/>
      <c r="AO10" s="11"/>
      <c r="AP10" s="11"/>
      <c r="AQ10" s="11"/>
      <c r="AR10" s="11"/>
      <c r="AS10" s="11"/>
      <c r="AT10" s="11"/>
      <c r="AU10" s="11"/>
      <c r="AV10" s="11"/>
      <c r="AW10" s="11"/>
      <c r="AX10" s="11"/>
      <c r="AY10" s="11"/>
      <c r="AZ10" s="11"/>
      <c r="BA10" s="11"/>
      <c r="BB10" s="11"/>
      <c r="BC10" s="11"/>
      <c r="BD10" s="11"/>
      <c r="BE10" s="11"/>
      <c r="BF10" s="11"/>
      <c r="BG10" s="11"/>
      <c r="BH10" s="11"/>
      <c r="BI10" s="11"/>
      <c r="BJ10" s="11"/>
      <c r="BK10" s="11"/>
      <c r="BL10" s="11"/>
      <c r="BM10" s="11"/>
    </row>
    <row r="11" spans="1:68" x14ac:dyDescent="0.2">
      <c r="L11" s="232" t="str">
        <f>name!F7</f>
        <v>RQF5 Foundation degree;Nursing;Teaching</v>
      </c>
      <c r="M11" s="11">
        <v>27.364761887902166</v>
      </c>
      <c r="N11" s="11">
        <v>28.761839250388409</v>
      </c>
      <c r="O11" s="11">
        <v>25.329757202107846</v>
      </c>
      <c r="P11" s="11">
        <v>27.358782305870289</v>
      </c>
      <c r="Q11" s="11">
        <v>26.609419185577064</v>
      </c>
      <c r="R11" s="11">
        <v>27.348045135760522</v>
      </c>
      <c r="S11" s="11">
        <v>27.603085826214336</v>
      </c>
      <c r="T11" s="11">
        <v>28.934937370059558</v>
      </c>
      <c r="U11" s="11">
        <v>28.200635845458031</v>
      </c>
      <c r="V11" s="11">
        <v>26.596779011418935</v>
      </c>
      <c r="W11" s="11">
        <v>28.149028553170805</v>
      </c>
      <c r="X11" s="11">
        <v>27.021461049601363</v>
      </c>
      <c r="Y11" s="11">
        <v>27.725511471721855</v>
      </c>
      <c r="Z11" s="11">
        <v>28.025764864820601</v>
      </c>
      <c r="AA11" s="11">
        <v>28.40229272751607</v>
      </c>
      <c r="AB11" s="11">
        <v>28.714998300947027</v>
      </c>
      <c r="AC11" s="11">
        <v>29.020991520769307</v>
      </c>
      <c r="AD11" s="11">
        <v>29.379195562082675</v>
      </c>
      <c r="AE11">
        <v>29.762403117546089</v>
      </c>
      <c r="AF11">
        <v>30.157741719296318</v>
      </c>
      <c r="AG11">
        <v>30.591206510170363</v>
      </c>
      <c r="AH11">
        <v>31.056334571270238</v>
      </c>
      <c r="AI11" s="11">
        <v>31.534799849228012</v>
      </c>
      <c r="AJ11" s="11">
        <v>32.034482927746176</v>
      </c>
      <c r="AK11" s="11">
        <v>32.541733249741242</v>
      </c>
      <c r="AL11" s="11">
        <v>33.086905154250509</v>
      </c>
      <c r="AM11" s="11"/>
      <c r="AN11" s="11"/>
      <c r="AO11" s="11"/>
      <c r="AP11" s="11"/>
      <c r="AQ11" s="11"/>
      <c r="AR11" s="11"/>
      <c r="AS11" s="11"/>
      <c r="AT11" s="11"/>
      <c r="AU11" s="11"/>
      <c r="AV11" s="11"/>
      <c r="AW11" s="11"/>
      <c r="AX11" s="11"/>
      <c r="AY11" s="11"/>
      <c r="AZ11" s="11"/>
      <c r="BA11" s="11"/>
      <c r="BB11" s="11"/>
      <c r="BC11" s="11"/>
      <c r="BD11" s="11"/>
      <c r="BE11" s="11"/>
      <c r="BF11" s="11"/>
      <c r="BG11" s="11"/>
      <c r="BH11" s="11"/>
      <c r="BI11" s="11"/>
      <c r="BJ11" s="11"/>
      <c r="BK11" s="11"/>
      <c r="BL11" s="11"/>
      <c r="BM11" s="11"/>
    </row>
    <row r="12" spans="1:68" x14ac:dyDescent="0.2">
      <c r="L12" s="232" t="str">
        <f>name!F6</f>
        <v>RQF6 First degree</v>
      </c>
      <c r="M12" s="11">
        <v>65.62872960391438</v>
      </c>
      <c r="N12" s="11">
        <v>72.078045791960122</v>
      </c>
      <c r="O12" s="11">
        <v>67.016730096045819</v>
      </c>
      <c r="P12" s="11">
        <v>73.812734654618581</v>
      </c>
      <c r="Q12" s="11">
        <v>77.100073668557854</v>
      </c>
      <c r="R12" s="11">
        <v>80.288099078753362</v>
      </c>
      <c r="S12" s="11">
        <v>82.016479267192537</v>
      </c>
      <c r="T12" s="11">
        <v>90.041095715166648</v>
      </c>
      <c r="U12" s="11">
        <v>88.739854906679696</v>
      </c>
      <c r="V12" s="11">
        <v>84.444502998161283</v>
      </c>
      <c r="W12" s="11">
        <v>93.903645024450952</v>
      </c>
      <c r="X12" s="11">
        <v>92.81414880700143</v>
      </c>
      <c r="Y12" s="11">
        <v>95.914735512662247</v>
      </c>
      <c r="Z12" s="11">
        <v>98.131344667201944</v>
      </c>
      <c r="AA12" s="11">
        <v>100.58532440995045</v>
      </c>
      <c r="AB12" s="11">
        <v>102.82505998507928</v>
      </c>
      <c r="AC12" s="11">
        <v>104.99332296192161</v>
      </c>
      <c r="AD12" s="11">
        <v>107.12208485542762</v>
      </c>
      <c r="AE12">
        <v>109.31314313335561</v>
      </c>
      <c r="AF12">
        <v>111.53465253670709</v>
      </c>
      <c r="AG12">
        <v>113.82641901553995</v>
      </c>
      <c r="AH12">
        <v>116.13416239871795</v>
      </c>
      <c r="AI12">
        <v>118.48060296242318</v>
      </c>
      <c r="AJ12">
        <v>120.87063032441752</v>
      </c>
      <c r="AK12">
        <v>123.28197185547066</v>
      </c>
      <c r="AL12">
        <v>125.54968530465672</v>
      </c>
      <c r="AS12" s="11"/>
      <c r="AT12" s="11"/>
      <c r="AU12" s="11"/>
      <c r="AV12" s="11"/>
      <c r="AW12" s="11"/>
      <c r="AX12" s="11"/>
      <c r="AY12" s="11"/>
      <c r="AZ12" s="11"/>
      <c r="BA12" s="11"/>
      <c r="BB12" s="11"/>
      <c r="BC12" s="11"/>
      <c r="BD12" s="11"/>
      <c r="BE12" s="11"/>
      <c r="BF12" s="11"/>
      <c r="BG12" s="11"/>
      <c r="BH12" s="11"/>
      <c r="BI12" s="11"/>
      <c r="BJ12" s="11"/>
      <c r="BK12" s="11"/>
      <c r="BL12" s="11"/>
      <c r="BM12" s="11"/>
    </row>
    <row r="13" spans="1:68" x14ac:dyDescent="0.2">
      <c r="L13" s="232" t="str">
        <f>name!F5</f>
        <v>RQF7 Other higher degree</v>
      </c>
      <c r="M13" s="11">
        <v>30.028530905324097</v>
      </c>
      <c r="N13" s="11">
        <v>25.743834950848708</v>
      </c>
      <c r="O13" s="11">
        <v>24.327680535740541</v>
      </c>
      <c r="P13" s="11">
        <v>30.670528306948</v>
      </c>
      <c r="Q13" s="11">
        <v>31.450453001272454</v>
      </c>
      <c r="R13" s="11">
        <v>33.745861677240953</v>
      </c>
      <c r="S13" s="11">
        <v>34.306201092324152</v>
      </c>
      <c r="T13" s="11">
        <v>34.617245535232826</v>
      </c>
      <c r="U13" s="11">
        <v>39.299804798974179</v>
      </c>
      <c r="V13" s="11">
        <v>46.012739344338343</v>
      </c>
      <c r="W13" s="11">
        <v>42.914344354753744</v>
      </c>
      <c r="X13" s="11">
        <v>42.980820627799567</v>
      </c>
      <c r="Y13" s="11">
        <v>46.225696801141119</v>
      </c>
      <c r="Z13" s="11">
        <v>48.038386341439455</v>
      </c>
      <c r="AA13" s="11">
        <v>49.950399539630496</v>
      </c>
      <c r="AB13" s="11">
        <v>51.727743713682116</v>
      </c>
      <c r="AC13" s="11">
        <v>53.443946502891961</v>
      </c>
      <c r="AD13" s="11">
        <v>55.12931917358344</v>
      </c>
      <c r="AE13">
        <v>56.789747454292105</v>
      </c>
      <c r="AF13">
        <v>58.43393572698205</v>
      </c>
      <c r="AG13">
        <v>60.083369411281161</v>
      </c>
      <c r="AH13">
        <v>61.71203219395457</v>
      </c>
      <c r="AI13">
        <v>63.324132017230461</v>
      </c>
      <c r="AJ13">
        <v>64.929616846333687</v>
      </c>
      <c r="AK13">
        <v>66.506506610174142</v>
      </c>
      <c r="AL13">
        <v>67.99366612550142</v>
      </c>
      <c r="AS13" s="11"/>
      <c r="AT13" s="11"/>
      <c r="AU13" s="11"/>
      <c r="AV13" s="11"/>
      <c r="AW13" s="11"/>
      <c r="AX13" s="11"/>
      <c r="AY13" s="11"/>
      <c r="AZ13" s="11"/>
      <c r="BA13" s="11"/>
      <c r="BB13" s="11"/>
      <c r="BC13" s="11"/>
      <c r="BD13" s="11"/>
      <c r="BE13" s="11"/>
      <c r="BF13" s="11"/>
      <c r="BG13" s="11"/>
      <c r="BH13" s="11"/>
      <c r="BI13" s="11"/>
      <c r="BJ13" s="11"/>
      <c r="BK13" s="11"/>
      <c r="BL13" s="11"/>
      <c r="BM13" s="11"/>
    </row>
    <row r="14" spans="1:68" x14ac:dyDescent="0.2">
      <c r="L14" s="232" t="str">
        <f>name!F4</f>
        <v>RQF8 Doctorate</v>
      </c>
      <c r="M14" s="11">
        <v>4.3102977345020461</v>
      </c>
      <c r="N14" s="11">
        <v>3.8999010801120071</v>
      </c>
      <c r="O14" s="11">
        <v>3.6090659830931195</v>
      </c>
      <c r="P14" s="11">
        <v>4.5521704630195821</v>
      </c>
      <c r="Q14" s="11">
        <v>4.5209499710764032</v>
      </c>
      <c r="R14" s="11">
        <v>5.0370719976379803</v>
      </c>
      <c r="S14" s="11">
        <v>5.1492752926893814</v>
      </c>
      <c r="T14" s="11">
        <v>5.0666586401648113</v>
      </c>
      <c r="U14" s="11">
        <v>5.5353016450627708</v>
      </c>
      <c r="V14" s="11">
        <v>6.5846760964963407</v>
      </c>
      <c r="W14" s="11">
        <v>6.2511851360305242</v>
      </c>
      <c r="X14" s="11">
        <v>6.4432494087223615</v>
      </c>
      <c r="Y14" s="11">
        <v>6.7842135015342757</v>
      </c>
      <c r="Z14" s="11">
        <v>7.041362708110908</v>
      </c>
      <c r="AA14" s="11">
        <v>7.3094235865381174</v>
      </c>
      <c r="AB14" s="11">
        <v>7.5571721095660678</v>
      </c>
      <c r="AC14" s="11">
        <v>7.7952714138455015</v>
      </c>
      <c r="AD14" s="11">
        <v>8.025876279803219</v>
      </c>
      <c r="AE14">
        <v>8.2613822800354431</v>
      </c>
      <c r="AF14">
        <v>8.492343791056717</v>
      </c>
      <c r="AG14">
        <v>8.723841299618222</v>
      </c>
      <c r="AH14">
        <v>8.9504790353462731</v>
      </c>
      <c r="AI14">
        <v>9.1740723362989129</v>
      </c>
      <c r="AJ14">
        <v>9.3936321637156421</v>
      </c>
      <c r="AK14">
        <v>9.612012658618589</v>
      </c>
      <c r="AL14">
        <v>9.8180059904802608</v>
      </c>
      <c r="AS14" s="11"/>
      <c r="AT14" s="11"/>
      <c r="AU14" s="11"/>
      <c r="AV14" s="11"/>
      <c r="AW14" s="11"/>
      <c r="AX14" s="11"/>
      <c r="AY14" s="11"/>
      <c r="AZ14" s="11"/>
      <c r="BA14" s="11"/>
      <c r="BB14" s="11"/>
      <c r="BC14" s="11"/>
    </row>
    <row r="15" spans="1:68" x14ac:dyDescent="0.2">
      <c r="L15" s="232"/>
      <c r="AV15" s="11"/>
      <c r="AW15" s="11"/>
      <c r="AX15" s="11"/>
      <c r="AY15" s="11"/>
      <c r="AZ15" s="11"/>
      <c r="BA15" s="11"/>
      <c r="BB15" s="11"/>
      <c r="BC15" s="11"/>
      <c r="BD15" s="11"/>
      <c r="BE15" s="11"/>
      <c r="BF15" s="11"/>
      <c r="BG15" s="11"/>
      <c r="BH15" s="11"/>
      <c r="BI15" s="11"/>
      <c r="BJ15" s="11"/>
      <c r="BK15" s="11"/>
      <c r="BL15" s="11"/>
      <c r="BM15" s="11"/>
      <c r="BN15" s="11"/>
      <c r="BO15" s="11"/>
      <c r="BP15" s="11"/>
    </row>
    <row r="16" spans="1:68" x14ac:dyDescent="0.2">
      <c r="L16" s="232"/>
      <c r="AV16" s="11"/>
      <c r="AW16" s="11"/>
      <c r="AX16" s="11"/>
      <c r="AY16" s="11"/>
      <c r="AZ16" s="11"/>
      <c r="BA16" s="11"/>
      <c r="BB16" s="11"/>
      <c r="BC16" s="11"/>
      <c r="BD16" s="11"/>
      <c r="BE16" s="11"/>
      <c r="BF16" s="11"/>
    </row>
    <row r="17" spans="48:68" x14ac:dyDescent="0.2">
      <c r="AV17" s="11"/>
      <c r="AW17" s="11"/>
      <c r="AX17" s="11"/>
      <c r="AY17" s="11"/>
      <c r="AZ17" s="11"/>
      <c r="BA17" s="11"/>
      <c r="BB17" s="11"/>
      <c r="BC17" s="11"/>
      <c r="BD17" s="11"/>
      <c r="BE17" s="11"/>
      <c r="BF17" s="11"/>
      <c r="BG17" s="11"/>
      <c r="BH17" s="11"/>
      <c r="BI17" s="11"/>
      <c r="BJ17" s="11"/>
      <c r="BK17" s="11"/>
      <c r="BL17" s="11"/>
      <c r="BM17" s="11"/>
      <c r="BN17" s="11"/>
      <c r="BO17" s="11"/>
      <c r="BP17" s="11"/>
    </row>
    <row r="18" spans="48:68" x14ac:dyDescent="0.2">
      <c r="AV18" s="11"/>
      <c r="AW18" s="11"/>
      <c r="AX18" s="11"/>
      <c r="AY18" s="11"/>
      <c r="AZ18" s="11"/>
      <c r="BA18" s="11"/>
      <c r="BB18" s="11"/>
      <c r="BC18" s="11"/>
      <c r="BD18" s="11"/>
      <c r="BE18" s="11"/>
      <c r="BF18" s="11"/>
      <c r="BG18" s="11"/>
      <c r="BH18" s="11"/>
      <c r="BI18" s="11"/>
      <c r="BJ18" s="11"/>
      <c r="BK18" s="11"/>
      <c r="BL18" s="11"/>
      <c r="BM18" s="11"/>
      <c r="BN18" s="11"/>
      <c r="BO18" s="11"/>
      <c r="BP18" s="11"/>
    </row>
    <row r="19" spans="48:68" x14ac:dyDescent="0.2">
      <c r="AV19" s="11"/>
      <c r="AW19" s="11"/>
      <c r="AX19" s="11"/>
      <c r="AY19" s="11"/>
      <c r="AZ19" s="11"/>
      <c r="BA19" s="11"/>
      <c r="BB19" s="11"/>
      <c r="BC19" s="11"/>
      <c r="BD19" s="11"/>
      <c r="BE19" s="11"/>
      <c r="BF19" s="11"/>
      <c r="BG19" s="11"/>
      <c r="BH19" s="11"/>
      <c r="BI19" s="11"/>
      <c r="BJ19" s="11"/>
      <c r="BK19" s="11"/>
      <c r="BL19" s="11"/>
      <c r="BM19" s="11"/>
      <c r="BN19" s="11"/>
      <c r="BO19" s="11"/>
      <c r="BP19" s="11"/>
    </row>
    <row r="20" spans="48:68" x14ac:dyDescent="0.2">
      <c r="AV20" s="11"/>
      <c r="AW20" s="11"/>
      <c r="AX20" s="11"/>
      <c r="AY20" s="11"/>
      <c r="AZ20" s="11"/>
      <c r="BA20" s="11"/>
      <c r="BB20" s="11"/>
      <c r="BC20" s="11"/>
      <c r="BD20" s="11"/>
      <c r="BE20" s="11"/>
      <c r="BF20" s="11"/>
      <c r="BG20" s="11"/>
      <c r="BH20" s="11"/>
      <c r="BI20" s="11"/>
      <c r="BJ20" s="11"/>
      <c r="BK20" s="11"/>
      <c r="BL20" s="11"/>
      <c r="BM20" s="11"/>
      <c r="BN20" s="11"/>
      <c r="BO20" s="11"/>
      <c r="BP20" s="11"/>
    </row>
    <row r="21" spans="48:68" x14ac:dyDescent="0.2">
      <c r="AV21" s="11"/>
      <c r="AW21" s="11"/>
      <c r="AX21" s="11"/>
      <c r="AY21" s="11"/>
      <c r="AZ21" s="11"/>
      <c r="BA21" s="11"/>
      <c r="BB21" s="11"/>
      <c r="BC21" s="11"/>
      <c r="BD21" s="11"/>
      <c r="BE21" s="11"/>
      <c r="BF21" s="11"/>
    </row>
    <row r="22" spans="48:68" x14ac:dyDescent="0.2">
      <c r="AV22" s="11"/>
      <c r="AW22" s="11"/>
      <c r="AX22" s="11"/>
      <c r="AY22" s="11"/>
      <c r="AZ22" s="11"/>
      <c r="BA22" s="11"/>
      <c r="BB22" s="11"/>
      <c r="BC22" s="11"/>
      <c r="BD22" s="11"/>
      <c r="BE22" s="11"/>
      <c r="BF22" s="11"/>
      <c r="BG22" s="11"/>
      <c r="BH22" s="11"/>
      <c r="BI22" s="11"/>
      <c r="BJ22" s="11"/>
      <c r="BK22" s="11"/>
      <c r="BL22" s="11"/>
      <c r="BM22" s="11"/>
      <c r="BN22" s="11"/>
      <c r="BO22" s="11"/>
      <c r="BP22" s="11"/>
    </row>
    <row r="23" spans="48:68" x14ac:dyDescent="0.2">
      <c r="AV23" s="11"/>
      <c r="AW23" s="11"/>
      <c r="AX23" s="11"/>
      <c r="AY23" s="11"/>
      <c r="AZ23" s="11"/>
      <c r="BA23" s="11"/>
      <c r="BB23" s="11"/>
      <c r="BC23" s="11"/>
      <c r="BD23" s="11"/>
      <c r="BE23" s="11"/>
      <c r="BF23" s="11"/>
      <c r="BG23" s="11"/>
      <c r="BH23" s="11"/>
      <c r="BI23" s="11"/>
      <c r="BJ23" s="11"/>
      <c r="BK23" s="11"/>
      <c r="BL23" s="11"/>
      <c r="BM23" s="11"/>
      <c r="BN23" s="11"/>
      <c r="BO23" s="11"/>
      <c r="BP23" s="11"/>
    </row>
    <row r="24" spans="48:68" x14ac:dyDescent="0.2">
      <c r="AV24" s="11"/>
      <c r="AW24" s="11"/>
      <c r="AX24" s="11"/>
      <c r="AY24" s="11"/>
      <c r="AZ24" s="11"/>
      <c r="BA24" s="11"/>
      <c r="BB24" s="11"/>
      <c r="BC24" s="11"/>
      <c r="BD24" s="11"/>
      <c r="BE24" s="11"/>
      <c r="BF24" s="11"/>
      <c r="BG24" s="11"/>
      <c r="BH24" s="11"/>
      <c r="BI24" s="11"/>
      <c r="BJ24" s="11"/>
      <c r="BK24" s="11"/>
      <c r="BL24" s="11"/>
      <c r="BM24" s="11"/>
      <c r="BN24" s="11"/>
      <c r="BO24" s="11"/>
      <c r="BP24" s="11"/>
    </row>
    <row r="25" spans="48:68" x14ac:dyDescent="0.2">
      <c r="AV25" s="11"/>
      <c r="AW25" s="11"/>
      <c r="AX25" s="11"/>
      <c r="AY25" s="11"/>
      <c r="AZ25" s="11"/>
      <c r="BA25" s="11"/>
      <c r="BB25" s="11"/>
      <c r="BC25" s="11"/>
      <c r="BD25" s="11"/>
      <c r="BE25" s="11"/>
      <c r="BF25" s="11"/>
      <c r="BG25" s="11"/>
      <c r="BH25" s="11"/>
      <c r="BI25" s="11"/>
      <c r="BJ25" s="11"/>
      <c r="BK25" s="11"/>
      <c r="BL25" s="11"/>
      <c r="BM25" s="11"/>
      <c r="BN25" s="11"/>
      <c r="BO25" s="11"/>
      <c r="BP25" s="11"/>
    </row>
    <row r="26" spans="48:68" x14ac:dyDescent="0.2">
      <c r="AV26" s="11"/>
      <c r="AW26" s="11"/>
      <c r="AX26" s="11"/>
      <c r="AY26" s="11"/>
      <c r="AZ26" s="11"/>
      <c r="BA26" s="11"/>
      <c r="BB26" s="11"/>
      <c r="BC26" s="11"/>
      <c r="BD26" s="11"/>
      <c r="BE26" s="11"/>
      <c r="BF26" s="11"/>
    </row>
    <row r="27" spans="48:68" x14ac:dyDescent="0.2">
      <c r="AV27" s="11"/>
      <c r="AW27" s="11"/>
      <c r="AX27" s="11"/>
      <c r="AY27" s="11"/>
      <c r="AZ27" s="11"/>
      <c r="BA27" s="11"/>
      <c r="BB27" s="11"/>
      <c r="BC27" s="11"/>
      <c r="BD27" s="11"/>
      <c r="BE27" s="11"/>
      <c r="BF27" s="11"/>
      <c r="BG27" s="11"/>
      <c r="BH27" s="11"/>
      <c r="BI27" s="11"/>
      <c r="BJ27" s="11"/>
      <c r="BK27" s="11"/>
      <c r="BL27" s="11"/>
      <c r="BM27" s="11"/>
      <c r="BN27" s="11"/>
      <c r="BO27" s="11"/>
      <c r="BP27" s="11"/>
    </row>
    <row r="28" spans="48:68" x14ac:dyDescent="0.2">
      <c r="AV28" s="11"/>
      <c r="AW28" s="11"/>
      <c r="AX28" s="11"/>
      <c r="AY28" s="11"/>
      <c r="AZ28" s="11"/>
      <c r="BA28" s="11"/>
      <c r="BB28" s="11"/>
      <c r="BC28" s="11"/>
      <c r="BD28" s="11"/>
      <c r="BE28" s="11"/>
      <c r="BF28" s="11"/>
      <c r="BG28" s="11"/>
      <c r="BH28" s="11"/>
      <c r="BI28" s="11"/>
      <c r="BJ28" s="11"/>
      <c r="BK28" s="11"/>
      <c r="BL28" s="11"/>
      <c r="BM28" s="11"/>
      <c r="BN28" s="11"/>
      <c r="BO28" s="11"/>
      <c r="BP28" s="11"/>
    </row>
    <row r="29" spans="48:68" x14ac:dyDescent="0.2">
      <c r="AV29" s="11"/>
      <c r="AW29" s="11"/>
      <c r="AX29" s="11"/>
      <c r="AY29" s="11"/>
      <c r="AZ29" s="11"/>
      <c r="BA29" s="11"/>
      <c r="BB29" s="11"/>
      <c r="BC29" s="11"/>
      <c r="BD29" s="11"/>
      <c r="BE29" s="11"/>
      <c r="BF29" s="11"/>
      <c r="BG29" s="11"/>
      <c r="BH29" s="11"/>
      <c r="BI29" s="11"/>
      <c r="BJ29" s="11"/>
      <c r="BK29" s="11"/>
      <c r="BL29" s="11"/>
      <c r="BM29" s="11"/>
      <c r="BN29" s="11"/>
      <c r="BO29" s="11"/>
      <c r="BP29" s="11"/>
    </row>
    <row r="30" spans="48:68" x14ac:dyDescent="0.2">
      <c r="AV30" s="11"/>
      <c r="AW30" s="11"/>
      <c r="AX30" s="11"/>
      <c r="AY30" s="11"/>
      <c r="AZ30" s="11"/>
      <c r="BA30" s="11"/>
      <c r="BB30" s="11"/>
      <c r="BC30" s="11"/>
      <c r="BD30" s="11"/>
      <c r="BE30" s="11"/>
      <c r="BF30" s="11"/>
      <c r="BG30" s="11"/>
      <c r="BH30" s="11"/>
      <c r="BI30" s="11"/>
      <c r="BJ30" s="11"/>
      <c r="BK30" s="11"/>
      <c r="BL30" s="11"/>
      <c r="BM30" s="11"/>
      <c r="BN30" s="11"/>
      <c r="BO30" s="11"/>
      <c r="BP30" s="11"/>
    </row>
    <row r="32" spans="48:68" x14ac:dyDescent="0.2">
      <c r="AV32" s="11"/>
      <c r="AW32" s="11"/>
      <c r="AX32" s="11"/>
      <c r="AY32" s="11"/>
      <c r="AZ32" s="11"/>
      <c r="BA32" s="11"/>
      <c r="BB32" s="11"/>
      <c r="BC32" s="11"/>
      <c r="BD32" s="11"/>
      <c r="BE32" s="11"/>
      <c r="BF32" s="11"/>
    </row>
    <row r="34" spans="1:58" x14ac:dyDescent="0.2">
      <c r="AV34" s="11"/>
      <c r="AW34" s="11"/>
      <c r="AX34" s="11"/>
      <c r="AY34" s="11"/>
      <c r="AZ34" s="11"/>
      <c r="BA34" s="11"/>
      <c r="BB34" s="11"/>
      <c r="BC34" s="11"/>
      <c r="BD34" s="11"/>
      <c r="BE34" s="11"/>
      <c r="BF34" s="11"/>
    </row>
    <row r="35" spans="1:58" x14ac:dyDescent="0.2">
      <c r="AV35" s="11"/>
      <c r="AW35" s="11"/>
      <c r="AX35" s="11"/>
      <c r="AY35" s="11"/>
      <c r="AZ35" s="11"/>
      <c r="BA35" s="11"/>
      <c r="BB35" s="11"/>
      <c r="BC35" s="11"/>
      <c r="BD35" s="11"/>
      <c r="BE35" s="11"/>
      <c r="BF35" s="11"/>
    </row>
    <row r="36" spans="1:58" x14ac:dyDescent="0.2">
      <c r="AV36" s="11"/>
      <c r="AW36" s="11"/>
      <c r="AX36" s="11"/>
      <c r="AY36" s="11"/>
      <c r="AZ36" s="11"/>
      <c r="BA36" s="11"/>
      <c r="BB36" s="11"/>
      <c r="BC36" s="11"/>
      <c r="BD36" s="11"/>
      <c r="BE36" s="11"/>
      <c r="BF36" s="11"/>
    </row>
    <row r="37" spans="1:58" x14ac:dyDescent="0.2">
      <c r="AV37" s="11"/>
      <c r="AW37" s="11"/>
      <c r="AX37" s="11"/>
      <c r="AY37" s="11"/>
      <c r="AZ37" s="11"/>
      <c r="BA37" s="11"/>
      <c r="BB37" s="11"/>
      <c r="BC37" s="11"/>
      <c r="BD37" s="11"/>
      <c r="BE37" s="11"/>
      <c r="BF37" s="11"/>
    </row>
    <row r="38" spans="1:58" x14ac:dyDescent="0.2">
      <c r="AV38" s="11"/>
      <c r="AW38" s="11"/>
      <c r="AX38" s="11"/>
      <c r="AY38" s="11"/>
      <c r="AZ38" s="11"/>
      <c r="BA38" s="11"/>
      <c r="BB38" s="11"/>
      <c r="BC38" s="11"/>
      <c r="BD38" s="11"/>
      <c r="BE38" s="11"/>
      <c r="BF38" s="11"/>
    </row>
    <row r="40" spans="1:58" x14ac:dyDescent="0.2">
      <c r="AV40" s="11"/>
      <c r="AW40" s="11"/>
      <c r="AX40" s="11"/>
      <c r="AY40" s="11"/>
      <c r="AZ40" s="11"/>
      <c r="BA40" s="11"/>
      <c r="BB40" s="11"/>
      <c r="BC40" s="11"/>
      <c r="BD40" s="11"/>
      <c r="BE40" s="11"/>
      <c r="BF40" s="11"/>
    </row>
    <row r="41" spans="1:58" x14ac:dyDescent="0.2">
      <c r="AV41" s="11"/>
      <c r="AW41" s="11"/>
      <c r="AX41" s="11"/>
      <c r="AY41" s="11"/>
      <c r="AZ41" s="11"/>
      <c r="BA41" s="11"/>
      <c r="BB41" s="11"/>
      <c r="BC41" s="11"/>
      <c r="BD41" s="11"/>
      <c r="BE41" s="11"/>
      <c r="BF41" s="11"/>
    </row>
    <row r="42" spans="1:58" x14ac:dyDescent="0.2">
      <c r="AV42" s="11"/>
      <c r="AW42" s="11"/>
      <c r="AX42" s="11"/>
      <c r="AY42" s="11"/>
      <c r="AZ42" s="11"/>
      <c r="BA42" s="11"/>
      <c r="BB42" s="11"/>
      <c r="BC42" s="11"/>
      <c r="BD42" s="11"/>
      <c r="BE42" s="11"/>
      <c r="BF42" s="11"/>
    </row>
    <row r="43" spans="1:58" x14ac:dyDescent="0.2">
      <c r="AV43" s="11"/>
      <c r="AW43" s="11"/>
      <c r="AX43" s="11"/>
      <c r="AY43" s="11"/>
      <c r="AZ43" s="11"/>
      <c r="BA43" s="11"/>
      <c r="BB43" s="11"/>
      <c r="BC43" s="11"/>
      <c r="BD43" s="11"/>
      <c r="BE43" s="11"/>
      <c r="BF43" s="11"/>
    </row>
    <row r="45" spans="1:58" x14ac:dyDescent="0.2">
      <c r="AV45" s="11"/>
      <c r="AW45" s="11"/>
      <c r="AX45" s="11"/>
      <c r="AY45" s="11"/>
      <c r="AZ45" s="11"/>
      <c r="BA45" s="11"/>
      <c r="BB45" s="11"/>
      <c r="BC45" s="11"/>
      <c r="BD45" s="11"/>
      <c r="BE45" s="11"/>
      <c r="BF45" s="11"/>
    </row>
    <row r="46" spans="1:58" x14ac:dyDescent="0.2">
      <c r="AV46" s="11"/>
      <c r="AW46" s="11"/>
      <c r="AX46" s="11"/>
      <c r="AY46" s="11"/>
      <c r="AZ46" s="11"/>
      <c r="BA46" s="11"/>
      <c r="BB46" s="11"/>
      <c r="BC46" s="11"/>
      <c r="BD46" s="11"/>
      <c r="BE46" s="11"/>
      <c r="BF46" s="11"/>
    </row>
    <row r="47" spans="1:58" x14ac:dyDescent="0.2">
      <c r="AV47" s="11"/>
      <c r="AW47" s="11"/>
      <c r="AX47" s="11"/>
      <c r="AY47" s="11"/>
      <c r="AZ47" s="11"/>
      <c r="BA47" s="11"/>
      <c r="BB47" s="11"/>
      <c r="BC47" s="11"/>
      <c r="BD47" s="11"/>
      <c r="BE47" s="11"/>
      <c r="BF47" s="11"/>
    </row>
    <row r="48" spans="1:58" ht="12.75" customHeight="1" x14ac:dyDescent="0.25">
      <c r="A48" s="80"/>
      <c r="AV48" s="11"/>
      <c r="AW48" s="11"/>
      <c r="AX48" s="11"/>
      <c r="AY48" s="11"/>
      <c r="AZ48" s="11"/>
      <c r="BA48" s="11"/>
      <c r="BB48" s="11"/>
      <c r="BC48" s="11"/>
      <c r="BD48" s="11"/>
      <c r="BE48" s="11"/>
      <c r="BF48" s="11"/>
    </row>
    <row r="51" spans="1:1" ht="15.75" x14ac:dyDescent="0.25">
      <c r="A51" s="80" t="str">
        <f>CONCATENATE("Qualification Figure 1.1  Employment by Qualification, ",$M$2,"-",$O$2,Info!B9,", ",Info!B5)</f>
        <v>Qualification Figure 1.1  Employment by Qualification, 2010-2035, Greater Lincolnshire</v>
      </c>
    </row>
    <row r="52" spans="1:1" x14ac:dyDescent="0.2">
      <c r="A52"/>
    </row>
  </sheetData>
  <phoneticPr fontId="4" type="noConversion"/>
  <conditionalFormatting sqref="L4:AL4">
    <cfRule type="cellIs" dxfId="6" priority="1" stopIfTrue="1" operator="equal">
      <formula>0</formula>
    </cfRule>
  </conditionalFormatting>
  <pageMargins left="0.19685039370078741" right="0.19685039370078741" top="0.78740157480314965" bottom="0.78740157480314965" header="0.51181102362204722" footer="0.51181102362204722"/>
  <pageSetup paperSize="9" scale="80" orientation="portrait" r:id="rId1"/>
  <headerFooter alignWithMargins="0"/>
  <rowBreaks count="1" manualBreakCount="1">
    <brk id="50" max="9" man="1"/>
  </rowBreaks>
  <drawing r:id="rId2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A00-000000000000}">
  <sheetPr codeName="Sheet35"/>
  <dimension ref="A1:L23"/>
  <sheetViews>
    <sheetView zoomScale="85" zoomScaleNormal="85" workbookViewId="0">
      <selection activeCell="A8" sqref="A8"/>
    </sheetView>
  </sheetViews>
  <sheetFormatPr defaultColWidth="9.140625" defaultRowHeight="12.75" x14ac:dyDescent="0.2"/>
  <cols>
    <col min="1" max="1" width="57.85546875" style="91" customWidth="1"/>
    <col min="2" max="6" width="11.7109375" style="91" customWidth="1"/>
    <col min="7" max="7" width="5.7109375" style="91" customWidth="1"/>
    <col min="8" max="12" width="11.7109375" style="91" customWidth="1"/>
    <col min="13" max="16384" width="9.140625" style="91"/>
  </cols>
  <sheetData>
    <row r="1" spans="1:12" ht="15.75" x14ac:dyDescent="0.25">
      <c r="A1" s="19" t="str">
        <f>CONCATENATE("Summary Table 12  Employment Change by ISCED Qualifications in Broad Qualifications, ",B$5,"-",F$5)</f>
        <v>Summary Table 12  Employment Change by ISCED Qualifications in Broad Qualifications, 2008-2020</v>
      </c>
    </row>
    <row r="3" spans="1:12" x14ac:dyDescent="0.2">
      <c r="F3" s="117"/>
      <c r="L3" s="117" t="s">
        <v>20</v>
      </c>
    </row>
    <row r="4" spans="1:12" x14ac:dyDescent="0.2">
      <c r="A4" s="96"/>
      <c r="B4" s="118" t="s">
        <v>18</v>
      </c>
      <c r="C4" s="96"/>
      <c r="D4" s="96"/>
      <c r="E4" s="96"/>
      <c r="F4" s="119"/>
      <c r="H4" s="118" t="s">
        <v>19</v>
      </c>
      <c r="I4" s="96"/>
      <c r="J4" s="96"/>
      <c r="K4" s="96"/>
      <c r="L4" s="96"/>
    </row>
    <row r="5" spans="1:12" x14ac:dyDescent="0.2">
      <c r="A5" s="92"/>
      <c r="B5" s="120">
        <v>2008</v>
      </c>
      <c r="C5" s="120">
        <v>2010</v>
      </c>
      <c r="D5" s="120">
        <v>2012</v>
      </c>
      <c r="E5" s="120">
        <v>2015</v>
      </c>
      <c r="F5" s="120">
        <v>2020</v>
      </c>
      <c r="H5" s="121" t="str">
        <f>CONCATENATE(B$5,"-",C$5)</f>
        <v>2008-2010</v>
      </c>
      <c r="I5" s="121" t="str">
        <f>CONCATENATE(B$5,"-",D$5)</f>
        <v>2008-2012</v>
      </c>
      <c r="J5" s="121" t="str">
        <f>CONCATENATE(D$5,"-",E$5)</f>
        <v>2012-2015</v>
      </c>
      <c r="K5" s="121" t="str">
        <f>CONCATENATE(E$5,"-",F$5)</f>
        <v>2015-2020</v>
      </c>
      <c r="L5" s="121" t="str">
        <f>CONCATENATE(D$5,"-",F$5)</f>
        <v>2012-2020</v>
      </c>
    </row>
    <row r="7" spans="1:12" s="122" customFormat="1" x14ac:dyDescent="0.2">
      <c r="A7" s="122" t="str">
        <f>name!F4</f>
        <v>RQF8 Doctorate</v>
      </c>
      <c r="B7" s="123">
        <v>71325.851049592791</v>
      </c>
      <c r="C7" s="123">
        <v>67875.205285452204</v>
      </c>
      <c r="D7" s="123">
        <v>65953.088065984106</v>
      </c>
      <c r="E7" s="123">
        <v>63161.5699830265</v>
      </c>
      <c r="F7" s="123">
        <v>59517.030027737295</v>
      </c>
      <c r="H7" s="123">
        <f>C7-B7</f>
        <v>-3450.6457641405868</v>
      </c>
      <c r="I7" s="123">
        <f>D7-B7</f>
        <v>-5372.7629836086853</v>
      </c>
      <c r="J7" s="123">
        <f>E7-D7</f>
        <v>-2791.5180829576057</v>
      </c>
      <c r="K7" s="123">
        <f>F7-E7</f>
        <v>-3644.539955289205</v>
      </c>
      <c r="L7" s="123">
        <f>F7-D7</f>
        <v>-6436.0580382468106</v>
      </c>
    </row>
    <row r="8" spans="1:12" x14ac:dyDescent="0.2">
      <c r="A8" s="91" t="str">
        <f>name!J4</f>
        <v>SE</v>
      </c>
      <c r="B8" s="94">
        <v>21828.171692536111</v>
      </c>
      <c r="C8" s="94">
        <v>20792.172573048945</v>
      </c>
      <c r="D8" s="94">
        <v>20234.216118009812</v>
      </c>
      <c r="E8" s="94">
        <v>19430.497541178578</v>
      </c>
      <c r="F8" s="94">
        <v>18413.968008235337</v>
      </c>
      <c r="H8" s="94">
        <f>C8-B8</f>
        <v>-1035.9991194871654</v>
      </c>
      <c r="I8" s="94">
        <f>D8-B8</f>
        <v>-1593.9555745262987</v>
      </c>
      <c r="J8" s="94">
        <f t="shared" ref="J8:K10" si="0">E8-D8</f>
        <v>-803.7185768312338</v>
      </c>
      <c r="K8" s="94">
        <f t="shared" si="0"/>
        <v>-1016.5295329432411</v>
      </c>
      <c r="L8" s="94">
        <f>F8-D8</f>
        <v>-1820.2481097744749</v>
      </c>
    </row>
    <row r="9" spans="1:12" x14ac:dyDescent="0.2">
      <c r="A9" s="91" t="str">
        <f>name!J5</f>
        <v>FT</v>
      </c>
      <c r="B9" s="94">
        <v>49497.679357056688</v>
      </c>
      <c r="C9" s="94">
        <v>47083.032712403263</v>
      </c>
      <c r="D9" s="94">
        <v>45718.871947974287</v>
      </c>
      <c r="E9" s="94">
        <v>43731.072441847915</v>
      </c>
      <c r="F9" s="94">
        <v>41103.062019501958</v>
      </c>
      <c r="H9" s="94">
        <f>C9-B9</f>
        <v>-2414.646644653425</v>
      </c>
      <c r="I9" s="94">
        <f>D9-B9</f>
        <v>-3778.8074090824011</v>
      </c>
      <c r="J9" s="94">
        <f t="shared" si="0"/>
        <v>-1987.7995061263719</v>
      </c>
      <c r="K9" s="94">
        <f t="shared" si="0"/>
        <v>-2628.0104223459566</v>
      </c>
      <c r="L9" s="94">
        <f>F9-D9</f>
        <v>-4615.8099284723285</v>
      </c>
    </row>
    <row r="10" spans="1:12" x14ac:dyDescent="0.2">
      <c r="A10" s="91" t="str">
        <f>name!J6</f>
        <v>PT</v>
      </c>
      <c r="B10" s="94">
        <v>0</v>
      </c>
      <c r="C10" s="94">
        <v>0</v>
      </c>
      <c r="D10" s="94">
        <v>0</v>
      </c>
      <c r="E10" s="94">
        <v>0</v>
      </c>
      <c r="F10" s="94">
        <v>0</v>
      </c>
      <c r="H10" s="94">
        <f>C10-B10</f>
        <v>0</v>
      </c>
      <c r="I10" s="94">
        <f>D10-B10</f>
        <v>0</v>
      </c>
      <c r="J10" s="94">
        <f t="shared" si="0"/>
        <v>0</v>
      </c>
      <c r="K10" s="94">
        <f t="shared" si="0"/>
        <v>0</v>
      </c>
      <c r="L10" s="94">
        <f>F10-D10</f>
        <v>0</v>
      </c>
    </row>
    <row r="11" spans="1:12" x14ac:dyDescent="0.2">
      <c r="H11" s="94"/>
      <c r="I11" s="94"/>
      <c r="J11" s="94"/>
      <c r="K11" s="94"/>
      <c r="L11" s="94"/>
    </row>
    <row r="12" spans="1:12" s="122" customFormat="1" x14ac:dyDescent="0.2">
      <c r="A12" s="122" t="str">
        <f>name!F5</f>
        <v>RQF7 Other higher degree</v>
      </c>
      <c r="B12" s="123">
        <v>117603.36216609999</v>
      </c>
      <c r="C12" s="123">
        <v>115939.95604983499</v>
      </c>
      <c r="D12" s="123">
        <v>117782.27837055401</v>
      </c>
      <c r="E12" s="123">
        <v>118889.39584623399</v>
      </c>
      <c r="F12" s="123">
        <v>120707.41471465</v>
      </c>
      <c r="H12" s="123">
        <f>C12-B12</f>
        <v>-1663.4061162650032</v>
      </c>
      <c r="I12" s="123">
        <f>D12-B12</f>
        <v>178.9162044540135</v>
      </c>
      <c r="J12" s="123">
        <f t="shared" ref="J12:K14" si="1">E12-D12</f>
        <v>1107.1174756799883</v>
      </c>
      <c r="K12" s="123">
        <f t="shared" si="1"/>
        <v>1818.0188684160094</v>
      </c>
      <c r="L12" s="123">
        <f>F12-D12</f>
        <v>2925.1363440959976</v>
      </c>
    </row>
    <row r="13" spans="1:12" x14ac:dyDescent="0.2">
      <c r="A13" s="91">
        <f>name!J7</f>
        <v>0</v>
      </c>
      <c r="B13" s="94">
        <v>85684.696366442135</v>
      </c>
      <c r="C13" s="94">
        <v>84496.661838978005</v>
      </c>
      <c r="D13" s="94">
        <v>85862.536135946357</v>
      </c>
      <c r="E13" s="94">
        <v>86649.544796460745</v>
      </c>
      <c r="F13" s="94">
        <v>87931.502704386687</v>
      </c>
      <c r="H13" s="94">
        <f>C13-B13</f>
        <v>-1188.0345274641295</v>
      </c>
      <c r="I13" s="94">
        <f>D13-B13</f>
        <v>177.8397695042222</v>
      </c>
      <c r="J13" s="94">
        <f t="shared" si="1"/>
        <v>787.00866051438788</v>
      </c>
      <c r="K13" s="94">
        <f t="shared" si="1"/>
        <v>1281.957907925942</v>
      </c>
      <c r="L13" s="94">
        <f>F13-D13</f>
        <v>2068.9665684403299</v>
      </c>
    </row>
    <row r="14" spans="1:12" x14ac:dyDescent="0.2">
      <c r="A14" s="91">
        <f>name!J8</f>
        <v>0</v>
      </c>
      <c r="B14" s="94">
        <v>31918.665799657861</v>
      </c>
      <c r="C14" s="94">
        <v>31443.29421085698</v>
      </c>
      <c r="D14" s="94">
        <v>31919.742234607653</v>
      </c>
      <c r="E14" s="94">
        <v>32239.851049773246</v>
      </c>
      <c r="F14" s="94">
        <v>32775.912010263324</v>
      </c>
      <c r="H14" s="94">
        <f>C14-B14</f>
        <v>-475.371588800881</v>
      </c>
      <c r="I14" s="94">
        <f>D14-B14</f>
        <v>1.0764349497912917</v>
      </c>
      <c r="J14" s="94">
        <f t="shared" si="1"/>
        <v>320.10881516559311</v>
      </c>
      <c r="K14" s="94">
        <f t="shared" si="1"/>
        <v>536.06096049007829</v>
      </c>
      <c r="L14" s="94">
        <f>F14-D14</f>
        <v>856.1697756556714</v>
      </c>
    </row>
    <row r="15" spans="1:12" x14ac:dyDescent="0.2">
      <c r="H15" s="94"/>
      <c r="I15" s="94"/>
      <c r="J15" s="94"/>
      <c r="K15" s="94"/>
      <c r="L15" s="94"/>
    </row>
    <row r="16" spans="1:12" s="122" customFormat="1" x14ac:dyDescent="0.2">
      <c r="A16" s="122" t="str">
        <f>name!F6</f>
        <v>RQF6 First degree</v>
      </c>
      <c r="B16" s="123">
        <v>10699.858351711669</v>
      </c>
      <c r="C16" s="123">
        <v>10970.73916072664</v>
      </c>
      <c r="D16" s="123">
        <v>11301.540359819686</v>
      </c>
      <c r="E16" s="123">
        <v>11603.888290360199</v>
      </c>
      <c r="F16" s="123">
        <v>11675.073262162417</v>
      </c>
      <c r="H16" s="123">
        <f>C16-B16</f>
        <v>270.88080901497051</v>
      </c>
      <c r="I16" s="123">
        <f>D16-B16</f>
        <v>601.68200810801682</v>
      </c>
      <c r="J16" s="123">
        <f t="shared" ref="J16:K18" si="2">E16-D16</f>
        <v>302.34793054051261</v>
      </c>
      <c r="K16" s="123">
        <f t="shared" si="2"/>
        <v>71.18497180221857</v>
      </c>
      <c r="L16" s="123">
        <f>F16-D16</f>
        <v>373.53290234273118</v>
      </c>
    </row>
    <row r="17" spans="1:12" x14ac:dyDescent="0.2">
      <c r="A17" s="91">
        <f>name!J9</f>
        <v>0</v>
      </c>
      <c r="B17" s="94">
        <v>8525.1872183076739</v>
      </c>
      <c r="C17" s="94">
        <v>8709.9422108052859</v>
      </c>
      <c r="D17" s="94">
        <v>8966.579956519352</v>
      </c>
      <c r="E17" s="94">
        <v>9198.0093388787081</v>
      </c>
      <c r="F17" s="94">
        <v>9243.5195858644965</v>
      </c>
      <c r="H17" s="94">
        <f>C17-B17</f>
        <v>184.75499249761197</v>
      </c>
      <c r="I17" s="94">
        <f>D17-B17</f>
        <v>441.39273821167808</v>
      </c>
      <c r="J17" s="94">
        <f t="shared" si="2"/>
        <v>231.42938235935617</v>
      </c>
      <c r="K17" s="94">
        <f t="shared" si="2"/>
        <v>45.510246985788399</v>
      </c>
      <c r="L17" s="94">
        <f>F17-D17</f>
        <v>276.93962934514457</v>
      </c>
    </row>
    <row r="18" spans="1:12" x14ac:dyDescent="0.2">
      <c r="A18" s="91">
        <f>name!J10</f>
        <v>0</v>
      </c>
      <c r="B18" s="94">
        <v>2174.6711334039956</v>
      </c>
      <c r="C18" s="94">
        <v>2260.7969499213555</v>
      </c>
      <c r="D18" s="94">
        <v>2334.9604033003338</v>
      </c>
      <c r="E18" s="94">
        <v>2405.8789514814907</v>
      </c>
      <c r="F18" s="94">
        <v>2431.5536762979191</v>
      </c>
      <c r="H18" s="94">
        <f>C18-B18</f>
        <v>86.125816517359908</v>
      </c>
      <c r="I18" s="94">
        <f>D18-B18</f>
        <v>160.28926989633828</v>
      </c>
      <c r="J18" s="94">
        <f t="shared" si="2"/>
        <v>70.918548181156893</v>
      </c>
      <c r="K18" s="94">
        <f t="shared" si="2"/>
        <v>25.674724816428352</v>
      </c>
      <c r="L18" s="94">
        <f>F18-D18</f>
        <v>96.593272997585245</v>
      </c>
    </row>
    <row r="19" spans="1:12" x14ac:dyDescent="0.2">
      <c r="H19" s="94"/>
      <c r="I19" s="94"/>
      <c r="J19" s="94"/>
      <c r="K19" s="94"/>
      <c r="L19" s="94"/>
    </row>
    <row r="20" spans="1:12" x14ac:dyDescent="0.2">
      <c r="A20" s="92" t="str">
        <f>name!J3</f>
        <v>EE</v>
      </c>
      <c r="B20" s="93">
        <v>199629.07156740446</v>
      </c>
      <c r="C20" s="93">
        <v>194785.90049601384</v>
      </c>
      <c r="D20" s="93">
        <v>195036.90679635777</v>
      </c>
      <c r="E20" s="93">
        <v>193654.85411962072</v>
      </c>
      <c r="F20" s="93">
        <v>191899.51800454973</v>
      </c>
      <c r="H20" s="93">
        <f>C20-B20</f>
        <v>-4843.1710713906214</v>
      </c>
      <c r="I20" s="93">
        <f>D20-B20</f>
        <v>-4592.1647710466932</v>
      </c>
      <c r="J20" s="93">
        <f>E20-D20</f>
        <v>-1382.0526767370466</v>
      </c>
      <c r="K20" s="93">
        <f>F20-E20</f>
        <v>-1755.336115070997</v>
      </c>
      <c r="L20" s="93">
        <f>F20-D20</f>
        <v>-3137.3887918080436</v>
      </c>
    </row>
    <row r="23" spans="1:12" x14ac:dyDescent="0.2">
      <c r="A23" s="91" t="str">
        <f>CONCATENATE("Note: For ",Info!$A$1," there is no European LFS data for some of the ISCED Qualifications.")</f>
        <v>Note: For LSIP there is no European LFS data for some of the ISCED Qualifications.</v>
      </c>
    </row>
  </sheetData>
  <pageMargins left="0.51181102362204722" right="0.31496062992125984" top="0.74803149606299213" bottom="0.74803149606299213" header="0.31496062992125984" footer="0.31496062992125984"/>
  <pageSetup paperSize="9" scale="75" orientation="landscape" r:id="rId1"/>
  <ignoredErrors>
    <ignoredError sqref="I5:I20" formula="1"/>
  </ignoredErrors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B00-000000000000}">
  <sheetPr codeName="Sheet55"/>
  <dimension ref="A1:CS101"/>
  <sheetViews>
    <sheetView showGridLines="0" zoomScale="85" zoomScaleNormal="85" zoomScaleSheetLayoutView="85" workbookViewId="0"/>
  </sheetViews>
  <sheetFormatPr defaultColWidth="9.140625" defaultRowHeight="12.75" x14ac:dyDescent="0.2"/>
  <cols>
    <col min="1" max="1" width="50.7109375" style="130" customWidth="1"/>
    <col min="2" max="2" width="13" style="130" customWidth="1"/>
    <col min="3" max="3" width="10.140625" style="130" customWidth="1"/>
    <col min="4" max="4" width="3.7109375" style="130" customWidth="1"/>
    <col min="5" max="6" width="10.140625" style="130" customWidth="1"/>
    <col min="7" max="7" width="3.7109375" style="130" customWidth="1"/>
    <col min="8" max="9" width="10.140625" style="130" customWidth="1"/>
    <col min="10" max="10" width="3.7109375" style="130" customWidth="1"/>
    <col min="11" max="12" width="10.140625" style="130" customWidth="1"/>
    <col min="13" max="13" width="3.7109375" style="130" customWidth="1"/>
    <col min="14" max="15" width="10.140625" style="130" customWidth="1"/>
    <col min="16" max="16" width="3.7109375" style="130" customWidth="1"/>
    <col min="17" max="18" width="10.140625" style="130" customWidth="1"/>
    <col min="19" max="19" width="9.140625" style="130"/>
    <col min="20" max="20" width="16.7109375" style="130" customWidth="1"/>
    <col min="21" max="21" width="9.140625" style="130"/>
    <col min="22" max="22" width="8.85546875" style="130" customWidth="1"/>
    <col min="23" max="41" width="9.140625" style="130"/>
    <col min="42" max="46" width="9.140625" style="137" customWidth="1"/>
    <col min="47" max="49" width="9.140625" style="130"/>
    <col min="50" max="50" width="9.140625" style="130" customWidth="1"/>
    <col min="51" max="16384" width="9.140625" style="130"/>
  </cols>
  <sheetData>
    <row r="1" spans="1:97" ht="18.75" customHeight="1" x14ac:dyDescent="0.25">
      <c r="A1" s="276" t="str">
        <f>CONCATENATE("ShiftShare Table 1  Shift-share by occupation, ",I4,", ",Info!B5)</f>
        <v>ShiftShare Table 1  Shift-share by occupation, 2015-2020, Greater Lincolnshire</v>
      </c>
      <c r="W1" s="203" t="str">
        <f>CONCATENATE("Shift-share Figure 1: Levels of Employment, ",C4," - ",F40,", ",Info!B5)</f>
        <v>Shift-share Figure 1: Levels of Employment, 2015 - 2035, Greater Lincolnshire</v>
      </c>
      <c r="AK1" s="203" t="str">
        <f>CONCATENATE("Shift-share Figure 1.1: Net Changes, ",C4,"-",F40,", ",Info!B5)</f>
        <v>Shift-share Figure 1.1: Net Changes, 2015-2035, Greater Lincolnshire</v>
      </c>
    </row>
    <row r="2" spans="1:97" ht="18.75" customHeight="1" x14ac:dyDescent="0.25">
      <c r="A2" s="136" t="s">
        <v>518</v>
      </c>
      <c r="W2" s="203"/>
      <c r="AK2" s="203"/>
    </row>
    <row r="3" spans="1:97" x14ac:dyDescent="0.2">
      <c r="A3" s="146"/>
      <c r="B3" s="275"/>
      <c r="C3" s="275"/>
      <c r="D3" s="275"/>
      <c r="E3" s="275"/>
      <c r="F3" s="275"/>
      <c r="G3" s="275"/>
      <c r="H3" s="275"/>
      <c r="I3" s="275"/>
      <c r="J3" s="275"/>
      <c r="K3" s="380" t="s">
        <v>59</v>
      </c>
      <c r="L3" s="380"/>
      <c r="M3" s="380"/>
      <c r="N3" s="380"/>
      <c r="O3" s="380"/>
      <c r="P3" s="380"/>
      <c r="Q3" s="380"/>
      <c r="R3" s="380"/>
      <c r="AT3" s="138"/>
      <c r="AU3" s="126"/>
      <c r="AW3" s="138"/>
      <c r="AX3" s="137"/>
      <c r="AY3" s="139"/>
      <c r="AZ3" s="126"/>
      <c r="BA3" s="126"/>
      <c r="BB3" s="126"/>
      <c r="BC3" s="126"/>
      <c r="BD3" s="126"/>
      <c r="BE3" s="126"/>
      <c r="BF3" s="126"/>
      <c r="BG3" s="126"/>
      <c r="BH3" s="126"/>
      <c r="BI3" s="126"/>
      <c r="BJ3" s="126"/>
      <c r="BK3" s="126"/>
      <c r="BL3" s="126"/>
      <c r="BM3" s="126"/>
      <c r="BN3" s="126"/>
      <c r="BO3" s="126"/>
      <c r="BP3" s="126"/>
      <c r="BQ3" s="126"/>
      <c r="BR3" s="126"/>
      <c r="BS3" s="126"/>
      <c r="BT3" s="126"/>
      <c r="BU3" s="126"/>
      <c r="BV3" s="126"/>
      <c r="BW3" s="126"/>
      <c r="BX3" s="126"/>
      <c r="BY3" s="126"/>
      <c r="BZ3" s="126"/>
      <c r="CA3" s="126"/>
      <c r="CB3" s="126"/>
      <c r="CC3" s="126"/>
      <c r="CD3" s="126"/>
      <c r="CE3" s="126"/>
      <c r="CF3" s="126"/>
      <c r="CG3" s="126"/>
      <c r="CH3" s="126"/>
      <c r="CI3" s="126"/>
      <c r="CJ3" s="126"/>
      <c r="CK3" s="126"/>
      <c r="CL3" s="126"/>
      <c r="CM3" s="126"/>
      <c r="CN3" s="126"/>
      <c r="CO3" s="126"/>
      <c r="CP3" s="126"/>
      <c r="CQ3" s="126"/>
      <c r="CR3" s="126"/>
      <c r="CS3" s="126"/>
    </row>
    <row r="4" spans="1:97" x14ac:dyDescent="0.2">
      <c r="B4" s="270" t="s">
        <v>60</v>
      </c>
      <c r="C4" s="271">
        <v>2015</v>
      </c>
      <c r="D4" s="136"/>
      <c r="E4" s="270" t="s">
        <v>61</v>
      </c>
      <c r="F4" s="271">
        <v>2020</v>
      </c>
      <c r="G4" s="136"/>
      <c r="H4" s="270" t="s">
        <v>19</v>
      </c>
      <c r="I4" s="270" t="str">
        <f>CONCATENATE(C4,"-",F4)</f>
        <v>2015-2020</v>
      </c>
      <c r="J4" s="136"/>
      <c r="K4" s="379" t="s">
        <v>62</v>
      </c>
      <c r="L4" s="379"/>
      <c r="M4" s="136"/>
      <c r="N4" s="379" t="s">
        <v>63</v>
      </c>
      <c r="O4" s="379"/>
      <c r="P4" s="136"/>
      <c r="Q4" s="379" t="s">
        <v>64</v>
      </c>
      <c r="R4" s="379"/>
      <c r="AW4" s="137"/>
      <c r="AX4" s="137"/>
      <c r="AY4" s="139"/>
    </row>
    <row r="5" spans="1:97" x14ac:dyDescent="0.2">
      <c r="A5" s="143" t="s">
        <v>503</v>
      </c>
      <c r="B5" s="272" t="s">
        <v>66</v>
      </c>
      <c r="C5" s="272" t="s">
        <v>67</v>
      </c>
      <c r="D5" s="136"/>
      <c r="E5" s="272" t="str">
        <f>B5</f>
        <v>000s</v>
      </c>
      <c r="F5" s="272" t="str">
        <f>C5</f>
        <v>% share</v>
      </c>
      <c r="G5" s="136"/>
      <c r="H5" s="272" t="str">
        <f>E5</f>
        <v>000s</v>
      </c>
      <c r="I5" s="272" t="s">
        <v>68</v>
      </c>
      <c r="J5" s="136"/>
      <c r="K5" s="272" t="str">
        <f>H5</f>
        <v>000s</v>
      </c>
      <c r="L5" s="272" t="str">
        <f>I5</f>
        <v xml:space="preserve">%   </v>
      </c>
      <c r="M5" s="136"/>
      <c r="N5" s="272" t="str">
        <f>K5</f>
        <v>000s</v>
      </c>
      <c r="O5" s="272" t="str">
        <f>L5</f>
        <v xml:space="preserve">%   </v>
      </c>
      <c r="P5" s="136"/>
      <c r="Q5" s="272" t="str">
        <f>N5</f>
        <v>000s</v>
      </c>
      <c r="R5" s="272" t="str">
        <f>O5</f>
        <v xml:space="preserve">%   </v>
      </c>
      <c r="Z5" s="139" t="e">
        <f>"Levels of Employment, "&amp;#REF!&amp;"-"&amp;#REF!</f>
        <v>#REF!</v>
      </c>
      <c r="AM5" s="130" t="e">
        <f>"Net Changes, "&amp;#REF!&amp;"-"&amp;#REF!</f>
        <v>#REF!</v>
      </c>
      <c r="AV5" s="137"/>
      <c r="AW5" s="137"/>
      <c r="AX5" s="137"/>
    </row>
    <row r="6" spans="1:97" x14ac:dyDescent="0.2">
      <c r="A6" s="143"/>
      <c r="B6" s="270"/>
      <c r="C6" s="270"/>
      <c r="D6" s="136"/>
      <c r="E6" s="270"/>
      <c r="F6" s="270"/>
      <c r="G6" s="136"/>
      <c r="H6" s="270"/>
      <c r="I6" s="270"/>
      <c r="J6" s="136"/>
      <c r="K6" s="270"/>
      <c r="L6" s="270"/>
      <c r="M6" s="136"/>
      <c r="N6" s="270"/>
      <c r="O6" s="270"/>
      <c r="P6" s="136"/>
      <c r="Q6" s="270"/>
      <c r="R6" s="270"/>
      <c r="T6" s="136"/>
      <c r="AV6" s="137"/>
      <c r="AW6" s="137"/>
      <c r="AX6" s="137"/>
      <c r="AY6" s="139"/>
    </row>
    <row r="7" spans="1:97" x14ac:dyDescent="0.2">
      <c r="A7" s="277"/>
      <c r="B7" s="270"/>
      <c r="C7" s="270"/>
      <c r="D7" s="275"/>
      <c r="E7" s="270"/>
      <c r="F7" s="270"/>
      <c r="G7" s="275"/>
      <c r="H7" s="270"/>
      <c r="I7" s="270"/>
      <c r="J7" s="275"/>
      <c r="K7" s="270"/>
      <c r="L7" s="270"/>
      <c r="M7" s="275"/>
      <c r="N7" s="270"/>
      <c r="O7" s="270"/>
      <c r="P7" s="275"/>
      <c r="Q7" s="270"/>
      <c r="R7" s="270"/>
      <c r="T7" s="136"/>
      <c r="AV7" s="137"/>
      <c r="AW7" s="137"/>
      <c r="AX7" s="137"/>
      <c r="AY7" s="139"/>
    </row>
    <row r="8" spans="1:97" x14ac:dyDescent="0.2">
      <c r="A8" s="10" t="str">
        <f>name!$D4</f>
        <v>11 Corporate managers and directors</v>
      </c>
      <c r="B8" s="151">
        <v>30.247562792471243</v>
      </c>
      <c r="C8" s="141">
        <f t="shared" ref="C8:C33" si="0">B8/B$35*100</f>
        <v>6.0301557585094292</v>
      </c>
      <c r="E8" s="151">
        <v>37.285129342999952</v>
      </c>
      <c r="F8" s="141">
        <f t="shared" ref="F8:F33" si="1">E8/E$35*100</f>
        <v>7.2420105746389574</v>
      </c>
      <c r="H8" s="151">
        <f>E8-B8</f>
        <v>7.0375665505287088</v>
      </c>
      <c r="I8" s="141">
        <f>IF(B8&lt;&gt;0,((E8/B8)-1)*100,0)</f>
        <v>23.266557371294681</v>
      </c>
      <c r="K8" s="207">
        <f t="shared" ref="K8:K33" si="2">(($E$35/$B$35)-1)*B8</f>
        <v>0.79839262242663311</v>
      </c>
      <c r="L8" s="141">
        <f>IF(B8&lt;&gt;0,K8/B8*100,0)</f>
        <v>2.6395271179513236</v>
      </c>
      <c r="N8" s="151">
        <f>H8-(K8+Q8)</f>
        <v>6.364924073430986</v>
      </c>
      <c r="O8" s="141">
        <f>IF(B8&lt;&gt;0,N8/B8*100,0)</f>
        <v>21.042766708513934</v>
      </c>
      <c r="Q8" s="151">
        <v>-0.12575014532891021</v>
      </c>
      <c r="R8" s="141">
        <f>IF(B8&lt;&gt;0,Q8/B8*100,0)</f>
        <v>-0.41573645517056335</v>
      </c>
      <c r="AT8" s="137" t="e">
        <f ca="1">CONCATENATE("C:",INT(CELL("col",#REF!))," R:",INT(CELL("row",#REF!)))</f>
        <v>#REF!</v>
      </c>
    </row>
    <row r="9" spans="1:97" x14ac:dyDescent="0.2">
      <c r="A9" s="10" t="str">
        <f>name!$D5</f>
        <v>12 Other managers and proprietors</v>
      </c>
      <c r="B9" s="151">
        <v>15.483032384061453</v>
      </c>
      <c r="C9" s="141">
        <f t="shared" si="0"/>
        <v>3.0866981756683929</v>
      </c>
      <c r="E9" s="151">
        <v>17.623157595105926</v>
      </c>
      <c r="F9" s="141">
        <f t="shared" si="1"/>
        <v>3.423002572639517</v>
      </c>
      <c r="H9" s="151">
        <f t="shared" ref="H9:H32" si="3">E9-B9</f>
        <v>2.1401252110444737</v>
      </c>
      <c r="I9" s="141">
        <f t="shared" ref="I9:I32" si="4">IF(B9&lt;&gt;0,((E9/B9)-1)*100,0)</f>
        <v>13.822390588342138</v>
      </c>
      <c r="K9" s="207">
        <f t="shared" si="2"/>
        <v>0.40867883845848735</v>
      </c>
      <c r="L9" s="141">
        <f t="shared" ref="L9:L32" si="5">IF(B9&lt;&gt;0,K9/B9*100,0)</f>
        <v>2.6395271179513236</v>
      </c>
      <c r="N9" s="151">
        <f t="shared" ref="N9:N31" si="6">H9-(K9+Q9)</f>
        <v>1.4860079326370903</v>
      </c>
      <c r="O9" s="141">
        <f>IF(B9&lt;&gt;0,N9/B9*100,0)</f>
        <v>9.597654359793351</v>
      </c>
      <c r="Q9" s="151">
        <v>0.24543843994889603</v>
      </c>
      <c r="R9" s="141">
        <f>IF(B9&lt;&gt;0,Q9/B9*100,0)</f>
        <v>1.585209110597452</v>
      </c>
      <c r="T9" s="136"/>
    </row>
    <row r="10" spans="1:97" x14ac:dyDescent="0.2">
      <c r="A10" s="10" t="str">
        <f>name!$D6</f>
        <v>21 Science, research, engineering and technology professionals</v>
      </c>
      <c r="B10" s="151">
        <v>23.25915527928213</v>
      </c>
      <c r="C10" s="141">
        <f t="shared" si="0"/>
        <v>4.6369464577271184</v>
      </c>
      <c r="E10" s="151">
        <v>28.087523686209455</v>
      </c>
      <c r="F10" s="141">
        <f t="shared" si="1"/>
        <v>5.4555300500557351</v>
      </c>
      <c r="H10" s="151">
        <f t="shared" si="3"/>
        <v>4.8283684069273249</v>
      </c>
      <c r="I10" s="141">
        <f t="shared" si="4"/>
        <v>20.759001558531011</v>
      </c>
      <c r="K10" s="207">
        <f t="shared" si="2"/>
        <v>0.61393171100305877</v>
      </c>
      <c r="L10" s="141">
        <f t="shared" si="5"/>
        <v>2.639527117951324</v>
      </c>
      <c r="N10" s="151">
        <f t="shared" si="6"/>
        <v>4.3065969802399913</v>
      </c>
      <c r="O10" s="141">
        <f t="shared" ref="O10:O32" si="7">IF(B10&lt;&gt;0,N10/B10*100,0)</f>
        <v>18.515706733666512</v>
      </c>
      <c r="Q10" s="151">
        <v>-9.2160284315725233E-2</v>
      </c>
      <c r="R10" s="141">
        <f t="shared" ref="R10:R32" si="8">IF(B10&lt;&gt;0,Q10/B10*100,0)</f>
        <v>-0.39623229308682645</v>
      </c>
      <c r="AT10" s="137" t="e">
        <f ca="1">CONCATENATE("C:",INT(CELL("col",#REF!))," R:",INT(CELL("row",#REF!)))</f>
        <v>#REF!</v>
      </c>
    </row>
    <row r="11" spans="1:97" x14ac:dyDescent="0.2">
      <c r="A11" s="10" t="str">
        <f>name!$D7</f>
        <v>22 Health professionals</v>
      </c>
      <c r="B11" s="151">
        <v>19.148814719960843</v>
      </c>
      <c r="C11" s="141">
        <f t="shared" si="0"/>
        <v>3.8175087409337687</v>
      </c>
      <c r="E11" s="151">
        <v>22.204702058713004</v>
      </c>
      <c r="F11" s="141">
        <f t="shared" si="1"/>
        <v>4.3128906872384887</v>
      </c>
      <c r="H11" s="151">
        <f>E11-B11</f>
        <v>3.0558873387521608</v>
      </c>
      <c r="I11" s="141">
        <f>IF(B11&lt;&gt;0,((E11/B11)-1)*100,0)</f>
        <v>15.958623985048458</v>
      </c>
      <c r="K11" s="207">
        <f t="shared" si="2"/>
        <v>0.50543815729962127</v>
      </c>
      <c r="L11" s="141">
        <f t="shared" si="5"/>
        <v>2.6395271179513236</v>
      </c>
      <c r="N11" s="151">
        <f t="shared" si="6"/>
        <v>2.2285660459193983</v>
      </c>
      <c r="O11" s="141">
        <f t="shared" si="7"/>
        <v>11.638140942459103</v>
      </c>
      <c r="Q11" s="151">
        <v>0.32188313553314107</v>
      </c>
      <c r="R11" s="141">
        <f>IF(B11&lt;&gt;0,Q11/B11*100,0)</f>
        <v>1.6809559246380303</v>
      </c>
      <c r="T11" s="136"/>
    </row>
    <row r="12" spans="1:97" x14ac:dyDescent="0.2">
      <c r="A12" s="10" t="str">
        <f>name!$D8</f>
        <v>23 Teaching and other educational professionals</v>
      </c>
      <c r="B12" s="151">
        <v>18.259091469867247</v>
      </c>
      <c r="C12" s="141">
        <f t="shared" si="0"/>
        <v>3.6401334655490345</v>
      </c>
      <c r="E12" s="151">
        <v>19.425860904777554</v>
      </c>
      <c r="F12" s="141">
        <f t="shared" si="1"/>
        <v>3.7731474336504283</v>
      </c>
      <c r="H12" s="151">
        <f t="shared" si="3"/>
        <v>1.1667694349103073</v>
      </c>
      <c r="I12" s="141">
        <f t="shared" si="4"/>
        <v>6.3900738809256286</v>
      </c>
      <c r="K12" s="207">
        <f t="shared" si="2"/>
        <v>0.4819536708386829</v>
      </c>
      <c r="L12" s="141">
        <f t="shared" si="5"/>
        <v>2.6395271179513236</v>
      </c>
      <c r="N12" s="151">
        <f t="shared" si="6"/>
        <v>1.816477161604743</v>
      </c>
      <c r="O12" s="141">
        <f t="shared" si="7"/>
        <v>9.9483436216005217</v>
      </c>
      <c r="Q12" s="151">
        <v>-1.1316613975331187</v>
      </c>
      <c r="R12" s="141">
        <f t="shared" si="8"/>
        <v>-6.1977968586262113</v>
      </c>
      <c r="AT12" s="137" t="e">
        <f ca="1">CONCATENATE("C:",INT(CELL("col",#REF!))," R:",INT(CELL("row",#REF!)))</f>
        <v>#REF!</v>
      </c>
    </row>
    <row r="13" spans="1:97" x14ac:dyDescent="0.2">
      <c r="A13" s="10" t="str">
        <f>name!$D9</f>
        <v>24 Business, media and public service professionals</v>
      </c>
      <c r="B13" s="151">
        <v>23.48099893135856</v>
      </c>
      <c r="C13" s="141">
        <f t="shared" si="0"/>
        <v>4.6811732202347551</v>
      </c>
      <c r="E13" s="151">
        <v>31.03514186240707</v>
      </c>
      <c r="F13" s="141">
        <f t="shared" si="1"/>
        <v>6.0280554074346764</v>
      </c>
      <c r="H13" s="151">
        <f t="shared" si="3"/>
        <v>7.55414293104851</v>
      </c>
      <c r="I13" s="141">
        <f t="shared" si="4"/>
        <v>32.171301370658689</v>
      </c>
      <c r="K13" s="207">
        <f t="shared" si="2"/>
        <v>0.61978733435906963</v>
      </c>
      <c r="L13" s="141">
        <f t="shared" si="5"/>
        <v>2.6395271179513231</v>
      </c>
      <c r="N13" s="151">
        <f>H13-(K13+Q13)</f>
        <v>5.9497599890075534</v>
      </c>
      <c r="O13" s="141">
        <f>IF(B13&lt;&gt;0,N13/B13*100,0)</f>
        <v>25.338615305082818</v>
      </c>
      <c r="Q13" s="151">
        <v>0.98459560768188636</v>
      </c>
      <c r="R13" s="141">
        <f t="shared" si="8"/>
        <v>4.1931589476245499</v>
      </c>
      <c r="T13" s="136"/>
    </row>
    <row r="14" spans="1:97" x14ac:dyDescent="0.2">
      <c r="A14" s="10" t="str">
        <f>name!$D10</f>
        <v>31 Science, engineering and technology associate professionals</v>
      </c>
      <c r="B14" s="151">
        <v>7.8788112683670883</v>
      </c>
      <c r="C14" s="141">
        <f t="shared" si="0"/>
        <v>1.5707202416975672</v>
      </c>
      <c r="E14" s="151">
        <v>10.211041430849397</v>
      </c>
      <c r="F14" s="141">
        <f t="shared" si="1"/>
        <v>1.9833234140079818</v>
      </c>
      <c r="H14" s="151">
        <f t="shared" si="3"/>
        <v>2.3322301624823085</v>
      </c>
      <c r="I14" s="141">
        <f t="shared" si="4"/>
        <v>29.60129495481203</v>
      </c>
      <c r="K14" s="207">
        <f t="shared" si="2"/>
        <v>0.20796336000075394</v>
      </c>
      <c r="L14" s="141">
        <f>IF(B14&lt;&gt;0,K14/B14*100,0)</f>
        <v>2.6395271179513236</v>
      </c>
      <c r="N14" s="151">
        <f t="shared" si="6"/>
        <v>2.1010006257542106</v>
      </c>
      <c r="O14" s="141">
        <f t="shared" si="7"/>
        <v>26.666467239665849</v>
      </c>
      <c r="Q14" s="151">
        <v>2.3266176727343817E-2</v>
      </c>
      <c r="R14" s="141">
        <f t="shared" si="8"/>
        <v>0.29530059719485846</v>
      </c>
      <c r="AT14" s="137" t="e">
        <f ca="1">CONCATENATE("C:",INT(CELL("col",#REF!))," R:",INT(CELL("row",#REF!)))</f>
        <v>#REF!</v>
      </c>
    </row>
    <row r="15" spans="1:97" x14ac:dyDescent="0.2">
      <c r="A15" s="10" t="str">
        <f>name!$D11</f>
        <v>32 Health and social care associate professionals</v>
      </c>
      <c r="B15" s="151">
        <v>8.4794949970886488</v>
      </c>
      <c r="C15" s="141">
        <f t="shared" si="0"/>
        <v>1.6904725824281344</v>
      </c>
      <c r="E15" s="151">
        <v>9.8334636122958532</v>
      </c>
      <c r="F15" s="141">
        <f t="shared" si="1"/>
        <v>1.9099852600871818</v>
      </c>
      <c r="H15" s="151">
        <f t="shared" si="3"/>
        <v>1.3539686152072044</v>
      </c>
      <c r="I15" s="141">
        <f t="shared" si="4"/>
        <v>15.967561932309371</v>
      </c>
      <c r="K15" s="207">
        <f t="shared" si="2"/>
        <v>0.22381856991348067</v>
      </c>
      <c r="L15" s="141">
        <f t="shared" si="5"/>
        <v>2.6395271179513236</v>
      </c>
      <c r="N15" s="151">
        <f t="shared" si="6"/>
        <v>1.0259455783249225</v>
      </c>
      <c r="O15" s="141">
        <f t="shared" si="7"/>
        <v>12.099135369230961</v>
      </c>
      <c r="Q15" s="151">
        <v>0.10420446696880123</v>
      </c>
      <c r="R15" s="141">
        <f t="shared" si="8"/>
        <v>1.2288994451270838</v>
      </c>
      <c r="T15" s="11"/>
    </row>
    <row r="16" spans="1:97" x14ac:dyDescent="0.2">
      <c r="A16" s="10" t="str">
        <f>name!$D12</f>
        <v>33 Protective service occupations</v>
      </c>
      <c r="B16" s="151">
        <v>5.4562316961422113</v>
      </c>
      <c r="C16" s="141">
        <f t="shared" si="0"/>
        <v>1.0877546468121744</v>
      </c>
      <c r="E16" s="151">
        <v>5.7259729012338703</v>
      </c>
      <c r="F16" s="141">
        <f t="shared" si="1"/>
        <v>1.1121741303176429</v>
      </c>
      <c r="H16" s="151">
        <f t="shared" si="3"/>
        <v>0.269741205091659</v>
      </c>
      <c r="I16" s="141">
        <f t="shared" si="4"/>
        <v>4.9437271016620876</v>
      </c>
      <c r="K16" s="207">
        <f t="shared" si="2"/>
        <v>0.14401871523792914</v>
      </c>
      <c r="L16" s="141">
        <f t="shared" si="5"/>
        <v>2.639527117951324</v>
      </c>
      <c r="N16" s="151">
        <f t="shared" si="6"/>
        <v>0.16045890879384678</v>
      </c>
      <c r="O16" s="141">
        <f t="shared" si="7"/>
        <v>2.9408375180859361</v>
      </c>
      <c r="Q16" s="151">
        <v>-3.4736418940116913E-2</v>
      </c>
      <c r="R16" s="141">
        <f t="shared" si="8"/>
        <v>-0.63663753437518145</v>
      </c>
      <c r="T16" s="11"/>
    </row>
    <row r="17" spans="1:20" x14ac:dyDescent="0.2">
      <c r="A17" s="10" t="str">
        <f>name!$D13</f>
        <v>34 Culture, media and sports occupations</v>
      </c>
      <c r="B17" s="151">
        <v>6.3591490193584974</v>
      </c>
      <c r="C17" s="141">
        <f t="shared" si="0"/>
        <v>1.2677602933301089</v>
      </c>
      <c r="E17" s="151">
        <v>6.6380728933527591</v>
      </c>
      <c r="F17" s="141">
        <f t="shared" si="1"/>
        <v>1.2893342449383325</v>
      </c>
      <c r="H17" s="151">
        <f t="shared" si="3"/>
        <v>0.27892387399426166</v>
      </c>
      <c r="I17" s="141">
        <f t="shared" si="4"/>
        <v>4.3861823829755009</v>
      </c>
      <c r="K17" s="207">
        <f t="shared" si="2"/>
        <v>0.16785146283690319</v>
      </c>
      <c r="L17" s="141">
        <f t="shared" si="5"/>
        <v>2.6395271179513236</v>
      </c>
      <c r="N17" s="151">
        <f t="shared" si="6"/>
        <v>-7.2040618347294916E-3</v>
      </c>
      <c r="O17" s="141">
        <f t="shared" si="7"/>
        <v>-0.11328657046404972</v>
      </c>
      <c r="Q17" s="151">
        <v>0.11827647299208795</v>
      </c>
      <c r="R17" s="141">
        <f t="shared" si="8"/>
        <v>1.8599418354882258</v>
      </c>
      <c r="T17" s="11"/>
    </row>
    <row r="18" spans="1:20" x14ac:dyDescent="0.2">
      <c r="A18" s="10" t="str">
        <f>name!$D14</f>
        <v>35 Business and public service associate professionals</v>
      </c>
      <c r="B18" s="151">
        <v>25.75319846854515</v>
      </c>
      <c r="C18" s="141">
        <f t="shared" si="0"/>
        <v>5.1341590431804178</v>
      </c>
      <c r="E18" s="151">
        <v>29.028822308415432</v>
      </c>
      <c r="F18" s="141">
        <f t="shared" si="1"/>
        <v>5.6383615084958434</v>
      </c>
      <c r="H18" s="151">
        <f t="shared" si="3"/>
        <v>3.2756238398702813</v>
      </c>
      <c r="I18" s="141">
        <f t="shared" si="4"/>
        <v>12.719289387961318</v>
      </c>
      <c r="K18" s="207">
        <f t="shared" si="2"/>
        <v>0.67976265731707419</v>
      </c>
      <c r="L18" s="141">
        <f t="shared" si="5"/>
        <v>2.6395271179513236</v>
      </c>
      <c r="N18" s="151">
        <f t="shared" si="6"/>
        <v>2.5455708867185081</v>
      </c>
      <c r="O18" s="141">
        <f t="shared" si="7"/>
        <v>9.884484406190003</v>
      </c>
      <c r="Q18" s="151">
        <v>5.0290295834699121E-2</v>
      </c>
      <c r="R18" s="141">
        <f t="shared" si="8"/>
        <v>0.19527786381999687</v>
      </c>
      <c r="T18" s="11"/>
    </row>
    <row r="19" spans="1:20" x14ac:dyDescent="0.2">
      <c r="A19" s="10" t="str">
        <f>name!$D15</f>
        <v>41 Administrative occupations</v>
      </c>
      <c r="B19" s="151">
        <v>41.363649282321632</v>
      </c>
      <c r="C19" s="141">
        <f t="shared" si="0"/>
        <v>8.2462593639061819</v>
      </c>
      <c r="E19" s="151">
        <v>42.015488739913941</v>
      </c>
      <c r="F19" s="141">
        <f t="shared" si="1"/>
        <v>8.1608034922965036</v>
      </c>
      <c r="H19" s="151">
        <f t="shared" si="3"/>
        <v>0.65183945759230966</v>
      </c>
      <c r="I19" s="141">
        <f t="shared" si="4"/>
        <v>1.5758751195845244</v>
      </c>
      <c r="K19" s="207">
        <f t="shared" si="2"/>
        <v>1.0918047397811574</v>
      </c>
      <c r="L19" s="141">
        <f t="shared" si="5"/>
        <v>2.6395271179513236</v>
      </c>
      <c r="N19" s="151">
        <f t="shared" si="6"/>
        <v>-0.71583987459773013</v>
      </c>
      <c r="O19" s="141">
        <f t="shared" si="7"/>
        <v>-1.7306013541306964</v>
      </c>
      <c r="Q19" s="151">
        <v>0.27587459240888235</v>
      </c>
      <c r="R19" s="141">
        <f t="shared" si="8"/>
        <v>0.66694935576389802</v>
      </c>
      <c r="T19" s="11"/>
    </row>
    <row r="20" spans="1:20" x14ac:dyDescent="0.2">
      <c r="A20" s="10" t="str">
        <f>name!$D16</f>
        <v>42 Secretarial and related occupations</v>
      </c>
      <c r="B20" s="151">
        <v>10.002761162761342</v>
      </c>
      <c r="C20" s="141">
        <f t="shared" si="0"/>
        <v>1.9941510078171738</v>
      </c>
      <c r="E20" s="151">
        <v>9.1366516721423405</v>
      </c>
      <c r="F20" s="141">
        <f t="shared" si="1"/>
        <v>1.7746412361278323</v>
      </c>
      <c r="H20" s="151">
        <f t="shared" si="3"/>
        <v>-0.86610949061900122</v>
      </c>
      <c r="I20" s="141">
        <f t="shared" si="4"/>
        <v>-8.6587040970585889</v>
      </c>
      <c r="K20" s="207">
        <f t="shared" si="2"/>
        <v>0.26402559343498877</v>
      </c>
      <c r="L20" s="141">
        <f t="shared" si="5"/>
        <v>2.639527117951324</v>
      </c>
      <c r="N20" s="151">
        <f t="shared" si="6"/>
        <v>-1.4015986196288939</v>
      </c>
      <c r="O20" s="141">
        <f t="shared" si="7"/>
        <v>-14.012117222660661</v>
      </c>
      <c r="Q20" s="151">
        <v>0.27146353557490388</v>
      </c>
      <c r="R20" s="141">
        <f t="shared" si="8"/>
        <v>2.7138860076507538</v>
      </c>
      <c r="T20" s="11"/>
    </row>
    <row r="21" spans="1:20" x14ac:dyDescent="0.2">
      <c r="A21" s="10" t="str">
        <f>name!$D17</f>
        <v>51 Skilled agricultural and related trades</v>
      </c>
      <c r="B21" s="151">
        <v>8.9526980313788851</v>
      </c>
      <c r="C21" s="141">
        <f t="shared" si="0"/>
        <v>1.7848103650041125</v>
      </c>
      <c r="E21" s="151">
        <v>10.053463363622607</v>
      </c>
      <c r="F21" s="141">
        <f t="shared" si="1"/>
        <v>1.9527165192674696</v>
      </c>
      <c r="H21" s="151">
        <f t="shared" si="3"/>
        <v>1.1007653322437214</v>
      </c>
      <c r="I21" s="141">
        <f t="shared" si="4"/>
        <v>12.29534748503276</v>
      </c>
      <c r="K21" s="207">
        <f t="shared" si="2"/>
        <v>0.23630889232653995</v>
      </c>
      <c r="L21" s="141">
        <f t="shared" si="5"/>
        <v>2.6395271179513236</v>
      </c>
      <c r="N21" s="151">
        <f t="shared" si="6"/>
        <v>6.0193869844389347E-2</v>
      </c>
      <c r="O21" s="141">
        <f t="shared" si="7"/>
        <v>0.67235451964773074</v>
      </c>
      <c r="Q21" s="151">
        <v>0.80426257007279212</v>
      </c>
      <c r="R21" s="141">
        <f t="shared" si="8"/>
        <v>8.9834658474337079</v>
      </c>
      <c r="T21" s="11"/>
    </row>
    <row r="22" spans="1:20" x14ac:dyDescent="0.2">
      <c r="A22" s="10" t="str">
        <f>name!$D18</f>
        <v>52 Skilled metal, electrical and electronic trades</v>
      </c>
      <c r="B22" s="151">
        <v>21.170991389265154</v>
      </c>
      <c r="C22" s="141">
        <f t="shared" si="0"/>
        <v>4.2206499913806956</v>
      </c>
      <c r="E22" s="151">
        <v>18.255539317999588</v>
      </c>
      <c r="F22" s="141">
        <f t="shared" si="1"/>
        <v>3.54583210830436</v>
      </c>
      <c r="H22" s="151">
        <f t="shared" si="3"/>
        <v>-2.915452071265566</v>
      </c>
      <c r="I22" s="141">
        <f t="shared" si="4"/>
        <v>-13.770975660326702</v>
      </c>
      <c r="K22" s="207">
        <f t="shared" si="2"/>
        <v>0.55881405885879343</v>
      </c>
      <c r="L22" s="141">
        <f t="shared" si="5"/>
        <v>2.6395271179513236</v>
      </c>
      <c r="N22" s="151">
        <f t="shared" si="6"/>
        <v>-2.6795305673791336</v>
      </c>
      <c r="O22" s="141">
        <f t="shared" si="7"/>
        <v>-12.656613561978972</v>
      </c>
      <c r="Q22" s="151">
        <v>-0.79473556274522561</v>
      </c>
      <c r="R22" s="141">
        <f t="shared" si="8"/>
        <v>-3.7538892162990529</v>
      </c>
      <c r="T22" s="11"/>
    </row>
    <row r="23" spans="1:20" x14ac:dyDescent="0.2">
      <c r="A23" s="10" t="str">
        <f>name!$D19</f>
        <v>53 Skilled construction and building trades</v>
      </c>
      <c r="B23" s="151">
        <v>14.47344054106075</v>
      </c>
      <c r="C23" s="141">
        <f t="shared" si="0"/>
        <v>2.8854258911017112</v>
      </c>
      <c r="E23" s="151">
        <v>11.165279435266021</v>
      </c>
      <c r="F23" s="141">
        <f t="shared" si="1"/>
        <v>2.1686681302656172</v>
      </c>
      <c r="H23" s="151">
        <f t="shared" si="3"/>
        <v>-3.3081611057947296</v>
      </c>
      <c r="I23" s="141">
        <f t="shared" si="4"/>
        <v>-22.8567706234711</v>
      </c>
      <c r="K23" s="207">
        <f t="shared" si="2"/>
        <v>0.38203038798185929</v>
      </c>
      <c r="L23" s="141">
        <f t="shared" si="5"/>
        <v>2.6395271179513236</v>
      </c>
      <c r="N23" s="151">
        <f t="shared" si="6"/>
        <v>-3.151432693512862</v>
      </c>
      <c r="O23" s="141">
        <f t="shared" si="7"/>
        <v>-21.773901544503772</v>
      </c>
      <c r="Q23" s="151">
        <v>-0.5387588002637268</v>
      </c>
      <c r="R23" s="141">
        <f t="shared" si="8"/>
        <v>-3.7223961969186452</v>
      </c>
      <c r="T23" s="11"/>
    </row>
    <row r="24" spans="1:20" x14ac:dyDescent="0.2">
      <c r="A24" s="10" t="str">
        <f>name!$D20</f>
        <v>54 Textiles, printing and other skilled trades</v>
      </c>
      <c r="B24" s="151">
        <v>10.974938041399668</v>
      </c>
      <c r="C24" s="141">
        <f t="shared" si="0"/>
        <v>2.1879642430597106</v>
      </c>
      <c r="E24" s="151">
        <v>9.0586588304949736</v>
      </c>
      <c r="F24" s="141">
        <f t="shared" si="1"/>
        <v>1.7594924356835497</v>
      </c>
      <c r="H24" s="151">
        <f t="shared" si="3"/>
        <v>-1.916279210904694</v>
      </c>
      <c r="I24" s="141">
        <f t="shared" si="4"/>
        <v>-17.460501404892714</v>
      </c>
      <c r="K24" s="207">
        <f t="shared" si="2"/>
        <v>0.28968646578110008</v>
      </c>
      <c r="L24" s="141">
        <f t="shared" si="5"/>
        <v>2.6395271179513236</v>
      </c>
      <c r="N24" s="151">
        <f t="shared" si="6"/>
        <v>-2.1172756058027602</v>
      </c>
      <c r="O24" s="141">
        <f t="shared" si="7"/>
        <v>-19.291913975422659</v>
      </c>
      <c r="Q24" s="151">
        <v>-8.8690070883033809E-2</v>
      </c>
      <c r="R24" s="141">
        <f t="shared" si="8"/>
        <v>-0.80811454742138011</v>
      </c>
      <c r="T24" s="11"/>
    </row>
    <row r="25" spans="1:20" x14ac:dyDescent="0.2">
      <c r="A25" s="10" t="str">
        <f>name!$D21</f>
        <v>61 Caring personal service occupations</v>
      </c>
      <c r="B25" s="151">
        <v>44.06827943212275</v>
      </c>
      <c r="C25" s="141">
        <f t="shared" si="0"/>
        <v>8.7854545772316293</v>
      </c>
      <c r="E25" s="151">
        <v>43.296978489565802</v>
      </c>
      <c r="F25" s="141">
        <f t="shared" si="1"/>
        <v>8.4097113674146193</v>
      </c>
      <c r="H25" s="151">
        <f t="shared" si="3"/>
        <v>-0.77130094255694814</v>
      </c>
      <c r="I25" s="141">
        <f t="shared" si="4"/>
        <v>-1.7502406549476546</v>
      </c>
      <c r="K25" s="207">
        <f t="shared" si="2"/>
        <v>1.1631941860254456</v>
      </c>
      <c r="L25" s="141">
        <f t="shared" si="5"/>
        <v>2.6395271179513236</v>
      </c>
      <c r="N25" s="151">
        <f t="shared" si="6"/>
        <v>-1.6622426319774375</v>
      </c>
      <c r="O25" s="141">
        <f t="shared" si="7"/>
        <v>-3.7719707993994809</v>
      </c>
      <c r="Q25" s="151">
        <v>-0.27225249660495615</v>
      </c>
      <c r="R25" s="141">
        <f t="shared" si="8"/>
        <v>-0.61779697349949814</v>
      </c>
      <c r="T25" s="11"/>
    </row>
    <row r="26" spans="1:20" x14ac:dyDescent="0.2">
      <c r="A26" s="10" t="str">
        <f>name!$D22</f>
        <v>62 Leisure, travel and related personal service occupations</v>
      </c>
      <c r="B26" s="151">
        <v>10.618128366267882</v>
      </c>
      <c r="C26" s="141">
        <f t="shared" si="0"/>
        <v>2.1168306468770997</v>
      </c>
      <c r="E26" s="151">
        <v>12.994951688815915</v>
      </c>
      <c r="F26" s="141">
        <f t="shared" si="1"/>
        <v>2.5240512559733341</v>
      </c>
      <c r="H26" s="151">
        <f t="shared" si="3"/>
        <v>2.3768233225480326</v>
      </c>
      <c r="I26" s="141">
        <f t="shared" si="4"/>
        <v>22.384578906569132</v>
      </c>
      <c r="K26" s="207">
        <f t="shared" si="2"/>
        <v>0.28026837764652257</v>
      </c>
      <c r="L26" s="141">
        <f t="shared" si="5"/>
        <v>2.6395271179513231</v>
      </c>
      <c r="N26" s="151">
        <f t="shared" si="6"/>
        <v>1.1426931637894775</v>
      </c>
      <c r="O26" s="141">
        <f t="shared" si="7"/>
        <v>10.761719244416307</v>
      </c>
      <c r="Q26" s="151">
        <v>0.95386178111203246</v>
      </c>
      <c r="R26" s="141">
        <f t="shared" si="8"/>
        <v>8.9833325442014882</v>
      </c>
      <c r="T26" s="11"/>
    </row>
    <row r="27" spans="1:20" x14ac:dyDescent="0.2">
      <c r="A27" s="10" t="str">
        <f>name!$D23</f>
        <v>63 Community and civil enforcement occupations</v>
      </c>
      <c r="B27" s="151">
        <v>0.53476700853324488</v>
      </c>
      <c r="C27" s="141">
        <f t="shared" si="0"/>
        <v>0.10661117981942854</v>
      </c>
      <c r="E27" s="151">
        <v>0.55456784230697775</v>
      </c>
      <c r="F27" s="141">
        <f t="shared" si="1"/>
        <v>0.10771549540288389</v>
      </c>
      <c r="H27" s="151">
        <f t="shared" si="3"/>
        <v>1.9800833773732873E-2</v>
      </c>
      <c r="I27" s="141">
        <f t="shared" si="4"/>
        <v>3.70270294497832</v>
      </c>
      <c r="K27" s="207">
        <f t="shared" si="2"/>
        <v>1.4115320208092067E-2</v>
      </c>
      <c r="L27" s="141">
        <f t="shared" si="5"/>
        <v>2.6395271179513236</v>
      </c>
      <c r="N27" s="151">
        <f t="shared" si="6"/>
        <v>7.8933687388994533E-3</v>
      </c>
      <c r="O27" s="141">
        <f t="shared" si="7"/>
        <v>1.4760388380258027</v>
      </c>
      <c r="Q27" s="151">
        <v>-2.2078551732586469E-3</v>
      </c>
      <c r="R27" s="141">
        <f t="shared" si="8"/>
        <v>-0.41286301099881545</v>
      </c>
      <c r="T27" s="172"/>
    </row>
    <row r="28" spans="1:20" x14ac:dyDescent="0.2">
      <c r="A28" s="10" t="str">
        <f>name!$D24</f>
        <v>71 Sales occupations</v>
      </c>
      <c r="B28" s="151">
        <v>38.973525313793111</v>
      </c>
      <c r="C28" s="141">
        <f t="shared" si="0"/>
        <v>7.7697641199336296</v>
      </c>
      <c r="E28" s="151">
        <v>34.754105944221891</v>
      </c>
      <c r="F28" s="141">
        <f t="shared" si="1"/>
        <v>6.7504017605729647</v>
      </c>
      <c r="H28" s="151">
        <f t="shared" si="3"/>
        <v>-4.2194193695712201</v>
      </c>
      <c r="I28" s="141">
        <f t="shared" si="4"/>
        <v>-10.82637337936152</v>
      </c>
      <c r="K28" s="207">
        <f t="shared" si="2"/>
        <v>1.0287167694791928</v>
      </c>
      <c r="L28" s="141">
        <f t="shared" si="5"/>
        <v>2.6395271179513236</v>
      </c>
      <c r="N28" s="151">
        <f>H28-(K28+Q28)</f>
        <v>-4.3338330498738884</v>
      </c>
      <c r="O28" s="141">
        <f t="shared" si="7"/>
        <v>-11.119941075333266</v>
      </c>
      <c r="Q28" s="151">
        <v>-0.91430308917652481</v>
      </c>
      <c r="R28" s="141">
        <f t="shared" si="8"/>
        <v>-2.3459594219795763</v>
      </c>
      <c r="T28" s="11"/>
    </row>
    <row r="29" spans="1:20" x14ac:dyDescent="0.2">
      <c r="A29" s="10" t="str">
        <f>name!$D25</f>
        <v>72 Customer service occupations</v>
      </c>
      <c r="B29" s="151">
        <v>7.394546856901548</v>
      </c>
      <c r="C29" s="141">
        <f t="shared" si="0"/>
        <v>1.4741772623681069</v>
      </c>
      <c r="E29" s="151">
        <v>8.0733678965830684</v>
      </c>
      <c r="F29" s="141">
        <f t="shared" si="1"/>
        <v>1.5681162090693443</v>
      </c>
      <c r="H29" s="151">
        <f t="shared" si="3"/>
        <v>0.67882103968152041</v>
      </c>
      <c r="I29" s="141">
        <f t="shared" si="4"/>
        <v>9.1800221544063412</v>
      </c>
      <c r="K29" s="207">
        <f t="shared" si="2"/>
        <v>0.19518106953753361</v>
      </c>
      <c r="L29" s="141">
        <f t="shared" si="5"/>
        <v>2.6395271179513236</v>
      </c>
      <c r="N29" s="151">
        <f t="shared" si="6"/>
        <v>0.54225164392177205</v>
      </c>
      <c r="O29" s="141">
        <f t="shared" si="7"/>
        <v>7.3331287828093572</v>
      </c>
      <c r="Q29" s="151">
        <v>-5.8611673777785242E-2</v>
      </c>
      <c r="R29" s="141">
        <f t="shared" si="8"/>
        <v>-0.79263374635433204</v>
      </c>
      <c r="T29" s="11"/>
    </row>
    <row r="30" spans="1:20" x14ac:dyDescent="0.2">
      <c r="A30" s="10" t="str">
        <f>name!$D26</f>
        <v>81 Process, plant and machine operatives</v>
      </c>
      <c r="B30" s="151">
        <v>23.617997881207206</v>
      </c>
      <c r="C30" s="141">
        <f t="shared" si="0"/>
        <v>4.7084853383054774</v>
      </c>
      <c r="E30" s="151">
        <v>20.118734262019561</v>
      </c>
      <c r="F30" s="141">
        <f t="shared" si="1"/>
        <v>3.9077264539850933</v>
      </c>
      <c r="H30" s="151">
        <f t="shared" si="3"/>
        <v>-3.4992636191876443</v>
      </c>
      <c r="I30" s="141">
        <f t="shared" si="4"/>
        <v>-14.816089140104472</v>
      </c>
      <c r="K30" s="207">
        <f t="shared" si="2"/>
        <v>0.62340345879163317</v>
      </c>
      <c r="L30" s="141">
        <f t="shared" si="5"/>
        <v>2.6395271179513231</v>
      </c>
      <c r="N30" s="151">
        <f t="shared" si="6"/>
        <v>-3.6227929103822532</v>
      </c>
      <c r="O30" s="141">
        <f t="shared" si="7"/>
        <v>-15.339119465604249</v>
      </c>
      <c r="Q30" s="151">
        <v>-0.49987416759702419</v>
      </c>
      <c r="R30" s="141">
        <f t="shared" si="8"/>
        <v>-2.1164967924515441</v>
      </c>
      <c r="T30" s="11"/>
    </row>
    <row r="31" spans="1:20" x14ac:dyDescent="0.2">
      <c r="A31" s="10" t="str">
        <f>name!$D27</f>
        <v>82 Transport and mobile machine drivers and operatives</v>
      </c>
      <c r="B31" s="151">
        <v>21.10381423306055</v>
      </c>
      <c r="C31" s="141">
        <f t="shared" si="0"/>
        <v>4.207257549877002</v>
      </c>
      <c r="E31" s="151">
        <v>21.410334501240857</v>
      </c>
      <c r="F31" s="141">
        <f t="shared" si="1"/>
        <v>4.1585981220058175</v>
      </c>
      <c r="H31" s="151">
        <f t="shared" si="3"/>
        <v>0.3065202681803072</v>
      </c>
      <c r="I31" s="141">
        <f t="shared" si="4"/>
        <v>1.4524401361537986</v>
      </c>
      <c r="K31" s="207">
        <f t="shared" si="2"/>
        <v>0.5570408996037044</v>
      </c>
      <c r="L31" s="141">
        <f t="shared" si="5"/>
        <v>2.639527117951324</v>
      </c>
      <c r="N31" s="151">
        <f t="shared" si="6"/>
        <v>-0.63931716264785232</v>
      </c>
      <c r="O31" s="141">
        <f t="shared" si="7"/>
        <v>-3.0293915383614345</v>
      </c>
      <c r="Q31" s="151">
        <v>0.38879653122445512</v>
      </c>
      <c r="R31" s="141">
        <f t="shared" si="8"/>
        <v>1.8423045565638987</v>
      </c>
      <c r="T31" s="11"/>
    </row>
    <row r="32" spans="1:20" x14ac:dyDescent="0.2">
      <c r="A32" s="10" t="str">
        <f>name!$D28</f>
        <v>91 Elementary trades and related occupations</v>
      </c>
      <c r="B32" s="151">
        <v>13.037691425580578</v>
      </c>
      <c r="C32" s="141">
        <f t="shared" si="0"/>
        <v>2.5991948695847467</v>
      </c>
      <c r="E32" s="151">
        <v>10.615622461459582</v>
      </c>
      <c r="F32" s="141">
        <f t="shared" si="1"/>
        <v>2.0619064886440732</v>
      </c>
      <c r="H32" s="151">
        <f t="shared" si="3"/>
        <v>-2.4220689641209958</v>
      </c>
      <c r="I32" s="141">
        <f t="shared" si="4"/>
        <v>-18.577437408656415</v>
      </c>
      <c r="K32" s="207">
        <f t="shared" si="2"/>
        <v>0.34413340073301385</v>
      </c>
      <c r="L32" s="141">
        <f t="shared" si="5"/>
        <v>2.6395271179513236</v>
      </c>
      <c r="N32" s="151">
        <f>H32-(K32+Q32)</f>
        <v>-2.8224198016141244</v>
      </c>
      <c r="O32" s="141">
        <f t="shared" si="7"/>
        <v>-21.648156176456219</v>
      </c>
      <c r="Q32" s="151">
        <v>5.6217436760114634E-2</v>
      </c>
      <c r="R32" s="141">
        <f t="shared" si="8"/>
        <v>0.43119164984847952</v>
      </c>
      <c r="T32" s="11"/>
    </row>
    <row r="33" spans="1:20" x14ac:dyDescent="0.2">
      <c r="A33" s="10" t="str">
        <f>name!$D29</f>
        <v>92 Elementary administration and service occupations</v>
      </c>
      <c r="B33" s="151">
        <v>51.512230007842916</v>
      </c>
      <c r="C33" s="141">
        <f t="shared" si="0"/>
        <v>10.26948096766238</v>
      </c>
      <c r="E33" s="151">
        <v>46.242366957986754</v>
      </c>
      <c r="F33" s="141">
        <f t="shared" si="1"/>
        <v>8.9818036414817541</v>
      </c>
      <c r="H33" s="151">
        <f t="shared" ref="H33" si="9">E33-B33</f>
        <v>-5.2698630498561627</v>
      </c>
      <c r="I33" s="141">
        <f>IF(B33&lt;&gt;0,((E33/B33)-1)*100,0)</f>
        <v>-10.230314333224955</v>
      </c>
      <c r="K33" s="207">
        <f t="shared" si="2"/>
        <v>1.3596792801184729</v>
      </c>
      <c r="L33" s="141">
        <f t="shared" ref="L33" si="10">IF(B33&lt;&gt;0,K33/B33*100,0)</f>
        <v>2.6395271179513236</v>
      </c>
      <c r="N33" s="151">
        <f>H33-(K33+Q33)</f>
        <v>-6.5848532494786598</v>
      </c>
      <c r="O33" s="141">
        <f t="shared" ref="O33" si="11">IF(B33&lt;&gt;0,N33/B33*100,0)</f>
        <v>-12.783087139648378</v>
      </c>
      <c r="Q33" s="151">
        <v>-4.4689080495976058E-2</v>
      </c>
      <c r="R33" s="141">
        <f t="shared" ref="R33" si="12">IF(B33&lt;&gt;0,Q33/B33*100,0)</f>
        <v>-8.6754311527907038E-2</v>
      </c>
      <c r="T33" s="11"/>
    </row>
    <row r="34" spans="1:20" x14ac:dyDescent="0.2">
      <c r="A34" s="10"/>
      <c r="B34" s="151"/>
      <c r="C34" s="141"/>
      <c r="E34" s="151"/>
      <c r="F34" s="141"/>
      <c r="H34" s="151"/>
      <c r="I34" s="141"/>
      <c r="K34" s="207"/>
      <c r="L34" s="141"/>
      <c r="N34" s="151"/>
      <c r="O34" s="141"/>
      <c r="Q34" s="151"/>
      <c r="R34" s="141"/>
      <c r="T34" s="11"/>
    </row>
    <row r="35" spans="1:20" x14ac:dyDescent="0.2">
      <c r="A35" s="149" t="str">
        <f>name!$D$3</f>
        <v>All occupations</v>
      </c>
      <c r="B35" s="152">
        <f>SUM(B8:B33)</f>
        <v>501.60500000000036</v>
      </c>
      <c r="C35" s="147">
        <f>B35/B$35*100</f>
        <v>100</v>
      </c>
      <c r="D35" s="145"/>
      <c r="E35" s="152">
        <f>SUM(E8:E33)</f>
        <v>514.84500000000014</v>
      </c>
      <c r="F35" s="147">
        <f t="shared" ref="F35" si="13">E35/E$35*100</f>
        <v>100</v>
      </c>
      <c r="G35" s="145"/>
      <c r="H35" s="152">
        <f>E35-B35</f>
        <v>13.239999999999782</v>
      </c>
      <c r="I35" s="147">
        <f>IF(B35&lt;&gt;0,((E35/B35)-1)*100,0)</f>
        <v>2.6395271179513236</v>
      </c>
      <c r="J35" s="145"/>
      <c r="K35" s="152"/>
      <c r="L35" s="147"/>
      <c r="M35" s="145"/>
      <c r="N35" s="148"/>
      <c r="O35" s="147"/>
      <c r="P35" s="145"/>
      <c r="Q35" s="148"/>
      <c r="R35" s="147"/>
    </row>
    <row r="37" spans="1:20" ht="15.75" x14ac:dyDescent="0.25">
      <c r="A37" s="276" t="str">
        <f>CONCATENATE("ShiftShare Table 1.1  Shift-share by occupation, ",I40,", ",Info!B5)</f>
        <v>ShiftShare Table 1.1  Shift-share by occupation, 2020-2035, Greater Lincolnshire</v>
      </c>
    </row>
    <row r="38" spans="1:20" ht="15.75" x14ac:dyDescent="0.25">
      <c r="A38" s="276"/>
    </row>
    <row r="39" spans="1:20" x14ac:dyDescent="0.2">
      <c r="A39" s="146"/>
      <c r="B39" s="275"/>
      <c r="C39" s="275"/>
      <c r="D39" s="275"/>
      <c r="E39" s="275"/>
      <c r="F39" s="275"/>
      <c r="G39" s="275"/>
      <c r="H39" s="275"/>
      <c r="I39" s="275"/>
      <c r="J39" s="275"/>
      <c r="K39" s="380" t="str">
        <f>K3</f>
        <v>Components of change</v>
      </c>
      <c r="L39" s="380"/>
      <c r="M39" s="380"/>
      <c r="N39" s="380"/>
      <c r="O39" s="380"/>
      <c r="P39" s="380"/>
      <c r="Q39" s="380"/>
      <c r="R39" s="380"/>
    </row>
    <row r="40" spans="1:20" x14ac:dyDescent="0.2">
      <c r="B40" s="270" t="str">
        <f>B4</f>
        <v>Base year</v>
      </c>
      <c r="C40" s="271">
        <v>2020</v>
      </c>
      <c r="D40" s="136"/>
      <c r="E40" s="270" t="str">
        <f>E4</f>
        <v>Target year</v>
      </c>
      <c r="F40" s="271">
        <v>2035</v>
      </c>
      <c r="G40" s="136"/>
      <c r="H40" s="270" t="str">
        <f>H4</f>
        <v>Change</v>
      </c>
      <c r="I40" s="270" t="str">
        <f>CONCATENATE(C40,"-",F40)</f>
        <v>2020-2035</v>
      </c>
      <c r="J40" s="136"/>
      <c r="K40" s="379" t="str">
        <f>K4</f>
        <v>Scale effect</v>
      </c>
      <c r="L40" s="379"/>
      <c r="M40" s="136"/>
      <c r="N40" s="379" t="str">
        <f>N4</f>
        <v>Occupation effect</v>
      </c>
      <c r="O40" s="379"/>
      <c r="P40" s="136"/>
      <c r="Q40" s="379" t="str">
        <f>Q4</f>
        <v>Industry mix effect</v>
      </c>
      <c r="R40" s="379"/>
    </row>
    <row r="41" spans="1:20" x14ac:dyDescent="0.2">
      <c r="A41" s="143" t="str">
        <f>A5</f>
        <v>SOC2020 Sub-Major Groups</v>
      </c>
      <c r="B41" s="272" t="str">
        <f>B5</f>
        <v>000s</v>
      </c>
      <c r="C41" s="272" t="str">
        <f>C5</f>
        <v>% share</v>
      </c>
      <c r="D41" s="136"/>
      <c r="E41" s="272" t="str">
        <f>E5</f>
        <v>000s</v>
      </c>
      <c r="F41" s="272" t="str">
        <f>F5</f>
        <v>% share</v>
      </c>
      <c r="G41" s="136"/>
      <c r="H41" s="272" t="str">
        <f>H5</f>
        <v>000s</v>
      </c>
      <c r="I41" s="272" t="str">
        <f>I5</f>
        <v xml:space="preserve">%   </v>
      </c>
      <c r="J41" s="136"/>
      <c r="K41" s="272" t="str">
        <f>H41</f>
        <v>000s</v>
      </c>
      <c r="L41" s="272" t="str">
        <f>I41</f>
        <v xml:space="preserve">%   </v>
      </c>
      <c r="M41" s="136"/>
      <c r="N41" s="272" t="str">
        <f>K41</f>
        <v>000s</v>
      </c>
      <c r="O41" s="272" t="str">
        <f>L41</f>
        <v xml:space="preserve">%   </v>
      </c>
      <c r="P41" s="136"/>
      <c r="Q41" s="272" t="str">
        <f>Q5</f>
        <v>000s</v>
      </c>
      <c r="R41" s="272" t="str">
        <f>O41</f>
        <v xml:space="preserve">%   </v>
      </c>
    </row>
    <row r="42" spans="1:20" x14ac:dyDescent="0.2">
      <c r="A42" s="273"/>
      <c r="B42" s="272"/>
      <c r="C42" s="272"/>
      <c r="D42" s="274"/>
      <c r="E42" s="272"/>
      <c r="F42" s="272"/>
      <c r="G42" s="274"/>
      <c r="H42" s="272"/>
      <c r="I42" s="272"/>
      <c r="J42" s="274"/>
      <c r="K42" s="272"/>
      <c r="L42" s="272"/>
      <c r="M42" s="274"/>
      <c r="N42" s="272"/>
      <c r="O42" s="272"/>
      <c r="P42" s="274"/>
      <c r="Q42" s="272"/>
      <c r="R42" s="272"/>
    </row>
    <row r="43" spans="1:20" x14ac:dyDescent="0.2">
      <c r="A43" s="143"/>
      <c r="B43" s="270"/>
      <c r="C43" s="270"/>
      <c r="D43" s="275"/>
      <c r="E43" s="270"/>
      <c r="F43" s="270"/>
      <c r="G43" s="275"/>
      <c r="H43" s="270"/>
      <c r="I43" s="270"/>
      <c r="J43" s="275"/>
      <c r="K43" s="270"/>
      <c r="L43" s="270"/>
      <c r="M43" s="275"/>
      <c r="N43" s="270"/>
      <c r="O43" s="270"/>
      <c r="P43" s="275"/>
      <c r="Q43" s="270"/>
      <c r="R43" s="144"/>
    </row>
    <row r="44" spans="1:20" x14ac:dyDescent="0.2">
      <c r="A44" s="135" t="str">
        <f t="shared" ref="A44:A68" si="14">A8</f>
        <v>11 Corporate managers and directors</v>
      </c>
      <c r="B44" s="151">
        <v>37.285129342999952</v>
      </c>
      <c r="C44" s="141">
        <f t="shared" ref="C44:C68" si="15">B44/B$71*100</f>
        <v>7.2420105746389574</v>
      </c>
      <c r="E44" s="151">
        <v>35.772891868365278</v>
      </c>
      <c r="F44" s="141">
        <f t="shared" ref="F44:F68" si="16">E44/E$71*100</f>
        <v>6.7127202743352168</v>
      </c>
      <c r="H44" s="151">
        <f>E44-B44</f>
        <v>-1.5122374746346736</v>
      </c>
      <c r="I44" s="141">
        <f>IF(B44&gt;0,((E44/B44)-1)*100,0)</f>
        <v>-4.0558729479601148</v>
      </c>
      <c r="K44" s="151">
        <f>(($E$71/$B$71)-1)*B44</f>
        <v>1.3084140505199997</v>
      </c>
      <c r="L44" s="141">
        <f>IF(B44&gt;0,K44/B44*100,0)</f>
        <v>3.5092115102603127</v>
      </c>
      <c r="N44" s="151">
        <f>H44-(K44+Q44)</f>
        <v>-2.576980252371718</v>
      </c>
      <c r="O44" s="141">
        <f>IF(B44&gt;0,N44/B44*100,0)</f>
        <v>-6.9115497190987476</v>
      </c>
      <c r="Q44" s="151">
        <v>-0.24367127278295528</v>
      </c>
      <c r="R44" s="141">
        <f>IF(B44&gt;0,Q44/B44*100,0)</f>
        <v>-0.65353473912167881</v>
      </c>
      <c r="T44" s="151"/>
    </row>
    <row r="45" spans="1:20" x14ac:dyDescent="0.2">
      <c r="A45" s="135" t="str">
        <f t="shared" si="14"/>
        <v>12 Other managers and proprietors</v>
      </c>
      <c r="B45" s="151">
        <v>17.623157595105926</v>
      </c>
      <c r="C45" s="141">
        <f t="shared" si="15"/>
        <v>3.423002572639517</v>
      </c>
      <c r="E45" s="151">
        <v>20.170615731640076</v>
      </c>
      <c r="F45" s="141">
        <f t="shared" si="16"/>
        <v>3.7849805843441477</v>
      </c>
      <c r="H45" s="151">
        <f t="shared" ref="H45:H71" si="17">E45-B45</f>
        <v>2.54745813653415</v>
      </c>
      <c r="I45" s="141">
        <f t="shared" ref="I45:I71" si="18">IF(B45&gt;0,((E45/B45)-1)*100,0)</f>
        <v>14.455174237570212</v>
      </c>
      <c r="K45" s="151">
        <f t="shared" ref="K45:K68" si="19">(($E$71/$B$71)-1)*B45</f>
        <v>0.61843387479877165</v>
      </c>
      <c r="L45" s="141">
        <f t="shared" ref="L45:L68" si="20">IF(B45&gt;0,K45/B45*100,0)</f>
        <v>3.5092115102603127</v>
      </c>
      <c r="N45" s="151">
        <f t="shared" ref="N45:N68" si="21">H45-(K45+Q45)</f>
        <v>1.7936353872648283</v>
      </c>
      <c r="O45" s="141">
        <f t="shared" ref="O45:O68" si="22">IF(B45&gt;0,N45/B45*100,0)</f>
        <v>10.177718593193159</v>
      </c>
      <c r="Q45" s="151">
        <v>0.13538887447055006</v>
      </c>
      <c r="R45" s="141">
        <f>IF(B45&gt;0,Q45/B45*100,0)</f>
        <v>0.7682441341167402</v>
      </c>
      <c r="T45" s="151"/>
    </row>
    <row r="46" spans="1:20" x14ac:dyDescent="0.2">
      <c r="A46" s="135" t="str">
        <f t="shared" si="14"/>
        <v>21 Science, research, engineering and technology professionals</v>
      </c>
      <c r="B46" s="151">
        <v>28.087523686209455</v>
      </c>
      <c r="C46" s="141">
        <f t="shared" si="15"/>
        <v>5.4555300500557351</v>
      </c>
      <c r="E46" s="151">
        <v>39.592228833866301</v>
      </c>
      <c r="F46" s="141">
        <f t="shared" si="16"/>
        <v>7.429412141942068</v>
      </c>
      <c r="H46" s="151">
        <f t="shared" si="17"/>
        <v>11.504705147656846</v>
      </c>
      <c r="I46" s="141">
        <f t="shared" si="18"/>
        <v>40.960197403609058</v>
      </c>
      <c r="K46" s="151">
        <f t="shared" si="19"/>
        <v>0.98565061414355382</v>
      </c>
      <c r="L46" s="141">
        <f t="shared" si="20"/>
        <v>3.5092115102603127</v>
      </c>
      <c r="N46" s="151">
        <f t="shared" si="21"/>
        <v>10.799190307822361</v>
      </c>
      <c r="O46" s="141">
        <f t="shared" si="22"/>
        <v>38.448353185099755</v>
      </c>
      <c r="Q46" s="151">
        <v>-0.280135774309068</v>
      </c>
      <c r="R46" s="141">
        <f t="shared" ref="R46:R68" si="23">IF(B46&gt;0,Q46/B46*100,0)</f>
        <v>-0.99736729175100047</v>
      </c>
      <c r="T46" s="151"/>
    </row>
    <row r="47" spans="1:20" x14ac:dyDescent="0.2">
      <c r="A47" s="135" t="str">
        <f t="shared" si="14"/>
        <v>22 Health professionals</v>
      </c>
      <c r="B47" s="151">
        <v>22.204702058713004</v>
      </c>
      <c r="C47" s="141">
        <f t="shared" si="15"/>
        <v>4.3128906872384887</v>
      </c>
      <c r="E47" s="151">
        <v>23.203332606461984</v>
      </c>
      <c r="F47" s="141">
        <f t="shared" si="16"/>
        <v>4.3540645747256574</v>
      </c>
      <c r="H47" s="151">
        <f t="shared" si="17"/>
        <v>0.99863054774898075</v>
      </c>
      <c r="I47" s="141">
        <f t="shared" si="18"/>
        <v>4.4973832349041842</v>
      </c>
      <c r="K47" s="151">
        <f t="shared" si="19"/>
        <v>0.77920996046336533</v>
      </c>
      <c r="L47" s="141">
        <f t="shared" si="20"/>
        <v>3.5092115102603127</v>
      </c>
      <c r="N47" s="151">
        <f t="shared" si="21"/>
        <v>-0.95318031332537134</v>
      </c>
      <c r="O47" s="141">
        <f t="shared" si="22"/>
        <v>-4.2926958029204831</v>
      </c>
      <c r="Q47" s="151">
        <v>1.1726009006109868</v>
      </c>
      <c r="R47" s="141">
        <f t="shared" si="23"/>
        <v>5.2808675275643457</v>
      </c>
      <c r="T47" s="151"/>
    </row>
    <row r="48" spans="1:20" x14ac:dyDescent="0.2">
      <c r="A48" s="135" t="str">
        <f t="shared" si="14"/>
        <v>23 Teaching and other educational professionals</v>
      </c>
      <c r="B48" s="151">
        <v>19.425860904777554</v>
      </c>
      <c r="C48" s="141">
        <f t="shared" si="15"/>
        <v>3.7731474336504283</v>
      </c>
      <c r="E48" s="151">
        <v>18.557734407530312</v>
      </c>
      <c r="F48" s="141">
        <f t="shared" si="16"/>
        <v>3.482326239140856</v>
      </c>
      <c r="H48" s="151">
        <f t="shared" si="17"/>
        <v>-0.86812649724724267</v>
      </c>
      <c r="I48" s="141">
        <f t="shared" si="18"/>
        <v>-4.4689216169242592</v>
      </c>
      <c r="K48" s="151">
        <f t="shared" si="19"/>
        <v>0.6816945468376121</v>
      </c>
      <c r="L48" s="141">
        <f t="shared" si="20"/>
        <v>3.5092115102603127</v>
      </c>
      <c r="N48" s="151">
        <f t="shared" si="21"/>
        <v>-0.83485915198254912</v>
      </c>
      <c r="O48" s="141">
        <f t="shared" si="22"/>
        <v>-4.2976687420696278</v>
      </c>
      <c r="Q48" s="151">
        <v>-0.71496189210230565</v>
      </c>
      <c r="R48" s="141">
        <f t="shared" si="23"/>
        <v>-3.6804643851149446</v>
      </c>
      <c r="T48" s="151"/>
    </row>
    <row r="49" spans="1:20" x14ac:dyDescent="0.2">
      <c r="A49" s="135" t="str">
        <f t="shared" si="14"/>
        <v>24 Business, media and public service professionals</v>
      </c>
      <c r="B49" s="151">
        <v>31.03514186240707</v>
      </c>
      <c r="C49" s="141">
        <f t="shared" si="15"/>
        <v>6.0280554074346764</v>
      </c>
      <c r="E49" s="151">
        <v>35.917423254407737</v>
      </c>
      <c r="F49" s="141">
        <f t="shared" si="16"/>
        <v>6.7398413348559894</v>
      </c>
      <c r="H49" s="151">
        <f t="shared" si="17"/>
        <v>4.8822813920006674</v>
      </c>
      <c r="I49" s="141">
        <f t="shared" si="18"/>
        <v>15.73146149499185</v>
      </c>
      <c r="K49" s="151">
        <f t="shared" si="19"/>
        <v>1.0890887704612058</v>
      </c>
      <c r="L49" s="141">
        <f t="shared" si="20"/>
        <v>3.5092115102603127</v>
      </c>
      <c r="N49" s="151">
        <f t="shared" si="21"/>
        <v>3.587006435816352</v>
      </c>
      <c r="O49" s="141">
        <f t="shared" si="22"/>
        <v>11.557886384793042</v>
      </c>
      <c r="Q49" s="151">
        <v>0.20618618572310962</v>
      </c>
      <c r="R49" s="141">
        <f t="shared" si="23"/>
        <v>0.66436359993850502</v>
      </c>
      <c r="T49" s="151"/>
    </row>
    <row r="50" spans="1:20" x14ac:dyDescent="0.2">
      <c r="A50" s="135" t="str">
        <f t="shared" si="14"/>
        <v>31 Science, engineering and technology associate professionals</v>
      </c>
      <c r="B50" s="151">
        <v>10.211041430849397</v>
      </c>
      <c r="C50" s="141">
        <f t="shared" si="15"/>
        <v>1.9833234140079818</v>
      </c>
      <c r="E50" s="151">
        <v>10.158891214200377</v>
      </c>
      <c r="F50" s="141">
        <f t="shared" si="16"/>
        <v>1.9062980781443053</v>
      </c>
      <c r="H50" s="151">
        <f t="shared" si="17"/>
        <v>-5.2150216649019754E-2</v>
      </c>
      <c r="I50" s="141">
        <f t="shared" si="18"/>
        <v>-0.51072377878581543</v>
      </c>
      <c r="K50" s="151">
        <f t="shared" si="19"/>
        <v>0.35832704120881637</v>
      </c>
      <c r="L50" s="141">
        <f t="shared" si="20"/>
        <v>3.5092115102603127</v>
      </c>
      <c r="N50" s="151">
        <f t="shared" si="21"/>
        <v>-0.27638471785627206</v>
      </c>
      <c r="O50" s="141">
        <f t="shared" si="22"/>
        <v>-2.7067240861570103</v>
      </c>
      <c r="Q50" s="151">
        <v>-0.13409254000156404</v>
      </c>
      <c r="R50" s="141">
        <f t="shared" si="23"/>
        <v>-1.3132112028891225</v>
      </c>
      <c r="T50" s="151"/>
    </row>
    <row r="51" spans="1:20" x14ac:dyDescent="0.2">
      <c r="A51" s="135" t="str">
        <f t="shared" si="14"/>
        <v>32 Health and social care associate professionals</v>
      </c>
      <c r="B51" s="151">
        <v>9.8334636122958532</v>
      </c>
      <c r="C51" s="141">
        <f t="shared" si="15"/>
        <v>1.9099852600871818</v>
      </c>
      <c r="E51" s="151">
        <v>18.168057244041023</v>
      </c>
      <c r="F51" s="141">
        <f t="shared" si="16"/>
        <v>3.409204004421186</v>
      </c>
      <c r="H51" s="151">
        <f t="shared" si="17"/>
        <v>8.3345936317451699</v>
      </c>
      <c r="I51" s="141">
        <f t="shared" si="18"/>
        <v>84.757456379088197</v>
      </c>
      <c r="K51" s="151">
        <f t="shared" si="19"/>
        <v>0.34507703693994562</v>
      </c>
      <c r="L51" s="141">
        <f t="shared" si="20"/>
        <v>3.5092115102603127</v>
      </c>
      <c r="N51" s="151">
        <f t="shared" si="21"/>
        <v>7.5241526958262313</v>
      </c>
      <c r="O51" s="141">
        <f t="shared" si="22"/>
        <v>76.515793340791561</v>
      </c>
      <c r="Q51" s="151">
        <v>0.46536389897899255</v>
      </c>
      <c r="R51" s="141">
        <f t="shared" si="23"/>
        <v>4.7324515280363393</v>
      </c>
      <c r="T51" s="151"/>
    </row>
    <row r="52" spans="1:20" x14ac:dyDescent="0.2">
      <c r="A52" s="135" t="str">
        <f t="shared" si="14"/>
        <v>33 Protective service occupations</v>
      </c>
      <c r="B52" s="151">
        <v>5.7259729012338703</v>
      </c>
      <c r="C52" s="141">
        <f t="shared" si="15"/>
        <v>1.1121741303176429</v>
      </c>
      <c r="E52" s="151">
        <v>5.2269699614146221</v>
      </c>
      <c r="F52" s="141">
        <f t="shared" si="16"/>
        <v>0.98083172482785597</v>
      </c>
      <c r="H52" s="151">
        <f t="shared" si="17"/>
        <v>-0.49900293981924815</v>
      </c>
      <c r="I52" s="141">
        <f t="shared" si="18"/>
        <v>-8.7147275830054998</v>
      </c>
      <c r="K52" s="151">
        <f t="shared" si="19"/>
        <v>0.20093650012448536</v>
      </c>
      <c r="L52" s="141">
        <f t="shared" si="20"/>
        <v>3.5092115102603127</v>
      </c>
      <c r="N52" s="151">
        <f t="shared" si="21"/>
        <v>-0.81393455811822013</v>
      </c>
      <c r="O52" s="141">
        <f t="shared" si="22"/>
        <v>-14.214781874759277</v>
      </c>
      <c r="Q52" s="151">
        <v>0.11399511817448663</v>
      </c>
      <c r="R52" s="141">
        <f t="shared" si="23"/>
        <v>1.9908427814934682</v>
      </c>
      <c r="T52" s="151"/>
    </row>
    <row r="53" spans="1:20" x14ac:dyDescent="0.2">
      <c r="A53" s="135" t="str">
        <f t="shared" si="14"/>
        <v>34 Culture, media and sports occupations</v>
      </c>
      <c r="B53" s="151">
        <v>6.6380728933527591</v>
      </c>
      <c r="C53" s="141">
        <f t="shared" si="15"/>
        <v>1.2893342449383325</v>
      </c>
      <c r="E53" s="151">
        <v>5.9511053070607982</v>
      </c>
      <c r="F53" s="141">
        <f t="shared" si="16"/>
        <v>1.1167144494889965</v>
      </c>
      <c r="H53" s="151">
        <f t="shared" si="17"/>
        <v>-0.68696758629196086</v>
      </c>
      <c r="I53" s="141">
        <f t="shared" si="18"/>
        <v>-10.348900913394266</v>
      </c>
      <c r="K53" s="151">
        <f t="shared" si="19"/>
        <v>0.2329440180330048</v>
      </c>
      <c r="L53" s="141">
        <f t="shared" si="20"/>
        <v>3.5092115102603127</v>
      </c>
      <c r="N53" s="151">
        <f t="shared" si="21"/>
        <v>-0.78140053085405636</v>
      </c>
      <c r="O53" s="141">
        <f t="shared" si="22"/>
        <v>-11.771496688994423</v>
      </c>
      <c r="Q53" s="151">
        <v>-0.1385110734709093</v>
      </c>
      <c r="R53" s="141">
        <f t="shared" si="23"/>
        <v>-2.0866157346601555</v>
      </c>
      <c r="T53" s="151"/>
    </row>
    <row r="54" spans="1:20" x14ac:dyDescent="0.2">
      <c r="A54" s="135" t="str">
        <f t="shared" si="14"/>
        <v>35 Business and public service associate professionals</v>
      </c>
      <c r="B54" s="151">
        <v>29.028822308415432</v>
      </c>
      <c r="C54" s="141">
        <f t="shared" si="15"/>
        <v>5.6383615084958434</v>
      </c>
      <c r="E54" s="151">
        <v>30.293882438366261</v>
      </c>
      <c r="F54" s="141">
        <f t="shared" si="16"/>
        <v>5.6845937862848412</v>
      </c>
      <c r="H54" s="151">
        <f t="shared" si="17"/>
        <v>1.2650601299508288</v>
      </c>
      <c r="I54" s="141">
        <f t="shared" si="18"/>
        <v>4.3579450675272025</v>
      </c>
      <c r="K54" s="151">
        <f t="shared" si="19"/>
        <v>1.0186827737399278</v>
      </c>
      <c r="L54" s="141">
        <f t="shared" si="20"/>
        <v>3.5092115102603127</v>
      </c>
      <c r="N54" s="151">
        <f t="shared" si="21"/>
        <v>0.25946723125460491</v>
      </c>
      <c r="O54" s="141">
        <f t="shared" si="22"/>
        <v>0.89382624103005925</v>
      </c>
      <c r="Q54" s="151">
        <v>-1.3089875043703791E-2</v>
      </c>
      <c r="R54" s="141">
        <f t="shared" si="23"/>
        <v>-4.5092683763161306E-2</v>
      </c>
      <c r="T54" s="151"/>
    </row>
    <row r="55" spans="1:20" x14ac:dyDescent="0.2">
      <c r="A55" s="135" t="str">
        <f t="shared" si="14"/>
        <v>41 Administrative occupations</v>
      </c>
      <c r="B55" s="151">
        <v>42.015488739913941</v>
      </c>
      <c r="C55" s="141">
        <f t="shared" si="15"/>
        <v>8.1608034922965036</v>
      </c>
      <c r="E55" s="151">
        <v>41.789015266300716</v>
      </c>
      <c r="F55" s="141">
        <f t="shared" si="16"/>
        <v>7.84163525428227</v>
      </c>
      <c r="H55" s="151">
        <f t="shared" si="17"/>
        <v>-0.22647347361322545</v>
      </c>
      <c r="I55" s="141">
        <f t="shared" si="18"/>
        <v>-0.53902377529189138</v>
      </c>
      <c r="K55" s="151">
        <f t="shared" si="19"/>
        <v>1.4744123669531857</v>
      </c>
      <c r="L55" s="141">
        <f t="shared" si="20"/>
        <v>3.5092115102603127</v>
      </c>
      <c r="N55" s="151">
        <f t="shared" si="21"/>
        <v>-1.6954910211168879</v>
      </c>
      <c r="O55" s="141">
        <f t="shared" si="22"/>
        <v>-4.0353952124950592</v>
      </c>
      <c r="Q55" s="151">
        <v>-5.3948194495232679E-3</v>
      </c>
      <c r="R55" s="141">
        <f t="shared" si="23"/>
        <v>-1.2840073057149253E-2</v>
      </c>
      <c r="T55" s="151"/>
    </row>
    <row r="56" spans="1:20" x14ac:dyDescent="0.2">
      <c r="A56" s="135" t="str">
        <f t="shared" si="14"/>
        <v>42 Secretarial and related occupations</v>
      </c>
      <c r="B56" s="151">
        <v>9.1366516721423405</v>
      </c>
      <c r="C56" s="141">
        <f t="shared" si="15"/>
        <v>1.7746412361278323</v>
      </c>
      <c r="E56" s="151">
        <v>6.3876110230235232</v>
      </c>
      <c r="F56" s="141">
        <f t="shared" si="16"/>
        <v>1.1986239797609222</v>
      </c>
      <c r="H56" s="151">
        <f t="shared" si="17"/>
        <v>-2.7490406491188173</v>
      </c>
      <c r="I56" s="141">
        <f t="shared" si="18"/>
        <v>-30.088053564531137</v>
      </c>
      <c r="K56" s="151">
        <f t="shared" si="19"/>
        <v>0.32062443213121034</v>
      </c>
      <c r="L56" s="141">
        <f t="shared" si="20"/>
        <v>3.5092115102603127</v>
      </c>
      <c r="N56" s="151">
        <f t="shared" si="21"/>
        <v>-3.2144709711353121</v>
      </c>
      <c r="O56" s="141">
        <f t="shared" si="22"/>
        <v>-35.182155197360068</v>
      </c>
      <c r="Q56" s="151">
        <v>0.14480588988528428</v>
      </c>
      <c r="R56" s="141">
        <f t="shared" si="23"/>
        <v>1.5848901225686163</v>
      </c>
      <c r="T56" s="151"/>
    </row>
    <row r="57" spans="1:20" x14ac:dyDescent="0.2">
      <c r="A57" s="135" t="str">
        <f t="shared" si="14"/>
        <v>51 Skilled agricultural and related trades</v>
      </c>
      <c r="B57" s="151">
        <v>10.053463363622607</v>
      </c>
      <c r="C57" s="141">
        <f t="shared" si="15"/>
        <v>1.9527165192674696</v>
      </c>
      <c r="E57" s="151">
        <v>9.2499649150386745</v>
      </c>
      <c r="F57" s="141">
        <f t="shared" si="16"/>
        <v>1.7357396558979115</v>
      </c>
      <c r="H57" s="151">
        <f t="shared" si="17"/>
        <v>-0.80349844858393205</v>
      </c>
      <c r="I57" s="141">
        <f t="shared" si="18"/>
        <v>-7.9922552012404608</v>
      </c>
      <c r="K57" s="151">
        <f t="shared" si="19"/>
        <v>0.35279729353604811</v>
      </c>
      <c r="L57" s="141">
        <f t="shared" si="20"/>
        <v>3.5092115102603127</v>
      </c>
      <c r="N57" s="151">
        <f t="shared" si="21"/>
        <v>-0.55435570021538694</v>
      </c>
      <c r="O57" s="141">
        <f t="shared" si="22"/>
        <v>-5.5140768923599444</v>
      </c>
      <c r="Q57" s="151">
        <v>-0.60194004190459327</v>
      </c>
      <c r="R57" s="141">
        <f t="shared" si="23"/>
        <v>-5.987389819140831</v>
      </c>
      <c r="T57" s="151"/>
    </row>
    <row r="58" spans="1:20" x14ac:dyDescent="0.2">
      <c r="A58" s="135" t="str">
        <f t="shared" si="14"/>
        <v>52 Skilled metal, electrical and electronic trades</v>
      </c>
      <c r="B58" s="151">
        <v>18.255539317999588</v>
      </c>
      <c r="C58" s="141">
        <f t="shared" si="15"/>
        <v>3.54583210830436</v>
      </c>
      <c r="E58" s="151">
        <v>16.386563901960127</v>
      </c>
      <c r="F58" s="141">
        <f t="shared" si="16"/>
        <v>3.0749099104467779</v>
      </c>
      <c r="H58" s="151">
        <f t="shared" si="17"/>
        <v>-1.8689754160394614</v>
      </c>
      <c r="I58" s="141">
        <f t="shared" si="18"/>
        <v>-10.237853746652615</v>
      </c>
      <c r="K58" s="151">
        <f t="shared" si="19"/>
        <v>0.64062548700733857</v>
      </c>
      <c r="L58" s="141">
        <f t="shared" si="20"/>
        <v>3.5092115102603127</v>
      </c>
      <c r="N58" s="151">
        <f t="shared" si="21"/>
        <v>-1.5236959325176769</v>
      </c>
      <c r="O58" s="141">
        <f t="shared" si="22"/>
        <v>-8.3464854473805872</v>
      </c>
      <c r="Q58" s="151">
        <v>-0.98590497052912318</v>
      </c>
      <c r="R58" s="141">
        <f t="shared" si="23"/>
        <v>-5.4005798095323376</v>
      </c>
      <c r="T58" s="151"/>
    </row>
    <row r="59" spans="1:20" x14ac:dyDescent="0.2">
      <c r="A59" s="135" t="str">
        <f t="shared" si="14"/>
        <v>53 Skilled construction and building trades</v>
      </c>
      <c r="B59" s="151">
        <v>11.165279435266021</v>
      </c>
      <c r="C59" s="141">
        <f t="shared" si="15"/>
        <v>2.1686681302656172</v>
      </c>
      <c r="E59" s="151">
        <v>9.210750202713653</v>
      </c>
      <c r="F59" s="141">
        <f t="shared" si="16"/>
        <v>1.7283810840652221</v>
      </c>
      <c r="H59" s="151">
        <f t="shared" si="17"/>
        <v>-1.9545292325523675</v>
      </c>
      <c r="I59" s="141">
        <f t="shared" si="18"/>
        <v>-17.505421551554747</v>
      </c>
      <c r="K59" s="151">
        <f t="shared" si="19"/>
        <v>0.39181327109508285</v>
      </c>
      <c r="L59" s="141">
        <f t="shared" si="20"/>
        <v>3.5092115102603127</v>
      </c>
      <c r="N59" s="151">
        <f t="shared" si="21"/>
        <v>-2.2096607301716191</v>
      </c>
      <c r="O59" s="141">
        <f t="shared" si="22"/>
        <v>-19.790465101950872</v>
      </c>
      <c r="Q59" s="151">
        <v>-0.13668177347583116</v>
      </c>
      <c r="R59" s="141">
        <f t="shared" si="23"/>
        <v>-1.2241679598641826</v>
      </c>
      <c r="T59" s="151"/>
    </row>
    <row r="60" spans="1:20" x14ac:dyDescent="0.2">
      <c r="A60" s="135" t="str">
        <f t="shared" si="14"/>
        <v>54 Textiles, printing and other skilled trades</v>
      </c>
      <c r="B60" s="151">
        <v>9.0586588304949736</v>
      </c>
      <c r="C60" s="141">
        <f t="shared" si="15"/>
        <v>1.7594924356835497</v>
      </c>
      <c r="E60" s="151">
        <v>8.3876114016791306</v>
      </c>
      <c r="F60" s="141">
        <f t="shared" si="16"/>
        <v>1.5739205350375172</v>
      </c>
      <c r="H60" s="151">
        <f t="shared" si="17"/>
        <v>-0.67104742881584301</v>
      </c>
      <c r="I60" s="141">
        <f t="shared" si="18"/>
        <v>-7.4078011035898168</v>
      </c>
      <c r="K60" s="151">
        <f t="shared" si="19"/>
        <v>0.31788749835494184</v>
      </c>
      <c r="L60" s="141">
        <f t="shared" si="20"/>
        <v>3.5092115102603127</v>
      </c>
      <c r="N60" s="151">
        <f t="shared" si="21"/>
        <v>-0.92099124273606425</v>
      </c>
      <c r="O60" s="141">
        <f t="shared" si="22"/>
        <v>-10.166971291993567</v>
      </c>
      <c r="Q60" s="151">
        <v>-6.7943684434720611E-2</v>
      </c>
      <c r="R60" s="141">
        <f t="shared" si="23"/>
        <v>-0.75004132185656125</v>
      </c>
      <c r="T60" s="151"/>
    </row>
    <row r="61" spans="1:20" x14ac:dyDescent="0.2">
      <c r="A61" s="135" t="str">
        <f t="shared" si="14"/>
        <v>61 Caring personal service occupations</v>
      </c>
      <c r="B61" s="151">
        <v>43.296978489565802</v>
      </c>
      <c r="C61" s="141">
        <f t="shared" si="15"/>
        <v>8.4097113674146193</v>
      </c>
      <c r="E61" s="151">
        <v>47.910340026917289</v>
      </c>
      <c r="F61" s="141">
        <f t="shared" si="16"/>
        <v>8.9902910850041486</v>
      </c>
      <c r="H61" s="151">
        <f t="shared" si="17"/>
        <v>4.6133615373514871</v>
      </c>
      <c r="I61" s="141">
        <f t="shared" si="18"/>
        <v>10.655158161817834</v>
      </c>
      <c r="K61" s="151">
        <f t="shared" si="19"/>
        <v>1.5193825527507749</v>
      </c>
      <c r="L61" s="141">
        <f t="shared" si="20"/>
        <v>3.5092115102603127</v>
      </c>
      <c r="N61" s="151">
        <f t="shared" si="21"/>
        <v>1.5072620553086491</v>
      </c>
      <c r="O61" s="141">
        <f t="shared" si="22"/>
        <v>3.4812176458731097</v>
      </c>
      <c r="Q61" s="151">
        <v>1.5867169292920631</v>
      </c>
      <c r="R61" s="141">
        <f t="shared" si="23"/>
        <v>3.6647290056844222</v>
      </c>
      <c r="T61" s="151"/>
    </row>
    <row r="62" spans="1:20" x14ac:dyDescent="0.2">
      <c r="A62" s="135" t="str">
        <f t="shared" si="14"/>
        <v>62 Leisure, travel and related personal service occupations</v>
      </c>
      <c r="B62" s="151">
        <v>12.994951688815915</v>
      </c>
      <c r="C62" s="141">
        <f t="shared" si="15"/>
        <v>2.5240512559733341</v>
      </c>
      <c r="E62" s="151">
        <v>12.043011311322823</v>
      </c>
      <c r="F62" s="141">
        <f t="shared" si="16"/>
        <v>2.2598499022958438</v>
      </c>
      <c r="H62" s="151">
        <f t="shared" si="17"/>
        <v>-0.95194037749309146</v>
      </c>
      <c r="I62" s="141">
        <f t="shared" si="18"/>
        <v>-7.325462997391341</v>
      </c>
      <c r="K62" s="151">
        <f t="shared" si="19"/>
        <v>0.45602034041669498</v>
      </c>
      <c r="L62" s="141">
        <f t="shared" si="20"/>
        <v>3.5092115102603127</v>
      </c>
      <c r="N62" s="151">
        <f t="shared" si="21"/>
        <v>-0.73835022460289013</v>
      </c>
      <c r="O62" s="141">
        <f t="shared" si="22"/>
        <v>-5.6818235441256011</v>
      </c>
      <c r="Q62" s="151">
        <v>-0.66961049330689626</v>
      </c>
      <c r="R62" s="141">
        <f t="shared" si="23"/>
        <v>-5.1528509635260553</v>
      </c>
      <c r="T62" s="151"/>
    </row>
    <row r="63" spans="1:20" x14ac:dyDescent="0.2">
      <c r="A63" s="135" t="str">
        <f t="shared" si="14"/>
        <v>63 Community and civil enforcement occupations</v>
      </c>
      <c r="B63" s="151">
        <v>0.55456784230697775</v>
      </c>
      <c r="C63" s="141">
        <f t="shared" si="15"/>
        <v>0.10771549540288389</v>
      </c>
      <c r="E63" s="151">
        <v>0.47429487873987586</v>
      </c>
      <c r="F63" s="141">
        <f t="shared" si="16"/>
        <v>8.9000600237914701E-2</v>
      </c>
      <c r="H63" s="151">
        <f t="shared" si="17"/>
        <v>-8.0272963567101896E-2</v>
      </c>
      <c r="I63" s="141">
        <f t="shared" si="18"/>
        <v>-14.47486807622489</v>
      </c>
      <c r="K63" s="151">
        <f t="shared" si="19"/>
        <v>1.9460958554438725E-2</v>
      </c>
      <c r="L63" s="141">
        <f t="shared" si="20"/>
        <v>3.5092115102603127</v>
      </c>
      <c r="N63" s="151">
        <f t="shared" si="21"/>
        <v>-0.11525043542984172</v>
      </c>
      <c r="O63" s="141">
        <f t="shared" si="22"/>
        <v>-20.782026406436586</v>
      </c>
      <c r="Q63" s="151">
        <v>1.5516513308301096E-2</v>
      </c>
      <c r="R63" s="141">
        <f t="shared" si="23"/>
        <v>2.7979468199513851</v>
      </c>
      <c r="T63" s="151"/>
    </row>
    <row r="64" spans="1:20" x14ac:dyDescent="0.2">
      <c r="A64" s="135" t="str">
        <f t="shared" si="14"/>
        <v>71 Sales occupations</v>
      </c>
      <c r="B64" s="151">
        <v>34.754105944221891</v>
      </c>
      <c r="C64" s="141">
        <f t="shared" si="15"/>
        <v>6.7504017605729647</v>
      </c>
      <c r="E64" s="151">
        <v>32.736083057927345</v>
      </c>
      <c r="F64" s="141">
        <f t="shared" si="16"/>
        <v>6.1428684394285282</v>
      </c>
      <c r="H64" s="151">
        <f t="shared" si="17"/>
        <v>-2.0180228862945455</v>
      </c>
      <c r="I64" s="141">
        <f t="shared" si="18"/>
        <v>-5.8065740190046728</v>
      </c>
      <c r="K64" s="151">
        <f t="shared" si="19"/>
        <v>1.2195950860826981</v>
      </c>
      <c r="L64" s="141">
        <f t="shared" si="20"/>
        <v>3.5092115102603127</v>
      </c>
      <c r="N64" s="151">
        <f t="shared" si="21"/>
        <v>-3.1952432936854192</v>
      </c>
      <c r="O64" s="141">
        <f t="shared" si="22"/>
        <v>-9.1938584143513271</v>
      </c>
      <c r="Q64" s="151">
        <v>-4.2374678691824451E-2</v>
      </c>
      <c r="R64" s="141">
        <f t="shared" si="23"/>
        <v>-0.12192711491365391</v>
      </c>
      <c r="T64" s="151"/>
    </row>
    <row r="65" spans="1:20" x14ac:dyDescent="0.2">
      <c r="A65" s="135" t="str">
        <f t="shared" si="14"/>
        <v>72 Customer service occupations</v>
      </c>
      <c r="B65" s="151">
        <v>8.0733678965830684</v>
      </c>
      <c r="C65" s="141">
        <f t="shared" si="15"/>
        <v>1.5681162090693443</v>
      </c>
      <c r="E65" s="151">
        <v>9.7854150814605507</v>
      </c>
      <c r="F65" s="141">
        <f t="shared" si="16"/>
        <v>1.8362159383651624</v>
      </c>
      <c r="H65" s="151">
        <f t="shared" si="17"/>
        <v>1.7120471848774823</v>
      </c>
      <c r="I65" s="141">
        <f t="shared" si="18"/>
        <v>21.206108860740525</v>
      </c>
      <c r="K65" s="151">
        <f t="shared" si="19"/>
        <v>0.28331155549255393</v>
      </c>
      <c r="L65" s="141">
        <f t="shared" si="20"/>
        <v>3.5092115102603127</v>
      </c>
      <c r="N65" s="151">
        <f t="shared" si="21"/>
        <v>1.3507765894076231</v>
      </c>
      <c r="O65" s="141">
        <f t="shared" si="22"/>
        <v>16.731265151180821</v>
      </c>
      <c r="Q65" s="151">
        <v>7.7959039977305286E-2</v>
      </c>
      <c r="R65" s="141">
        <f t="shared" si="23"/>
        <v>0.96563219929938127</v>
      </c>
      <c r="T65" s="151"/>
    </row>
    <row r="66" spans="1:20" x14ac:dyDescent="0.2">
      <c r="A66" s="135" t="str">
        <f t="shared" si="14"/>
        <v>81 Process, plant and machine operatives</v>
      </c>
      <c r="B66" s="151">
        <v>20.118734262019561</v>
      </c>
      <c r="C66" s="141">
        <f t="shared" si="15"/>
        <v>3.9077264539850933</v>
      </c>
      <c r="E66" s="151">
        <v>18.988078793912329</v>
      </c>
      <c r="F66" s="141">
        <f t="shared" si="16"/>
        <v>3.5630796067478938</v>
      </c>
      <c r="H66" s="151">
        <f t="shared" si="17"/>
        <v>-1.1306554681072321</v>
      </c>
      <c r="I66" s="141">
        <f t="shared" si="18"/>
        <v>-5.6199135262783422</v>
      </c>
      <c r="K66" s="151">
        <f t="shared" si="19"/>
        <v>0.70600893844147561</v>
      </c>
      <c r="L66" s="141">
        <f t="shared" si="20"/>
        <v>3.5092115102603127</v>
      </c>
      <c r="N66" s="151">
        <f t="shared" si="21"/>
        <v>-0.66753065236143305</v>
      </c>
      <c r="O66" s="141">
        <f t="shared" si="22"/>
        <v>-3.3179555118514941</v>
      </c>
      <c r="Q66" s="151">
        <v>-1.1691337541872746</v>
      </c>
      <c r="R66" s="141">
        <f t="shared" si="23"/>
        <v>-5.8111695246871582</v>
      </c>
      <c r="T66" s="151"/>
    </row>
    <row r="67" spans="1:20" x14ac:dyDescent="0.2">
      <c r="A67" s="135" t="str">
        <f t="shared" si="14"/>
        <v>82 Transport and mobile machine drivers and operatives</v>
      </c>
      <c r="B67" s="151">
        <v>21.410334501240857</v>
      </c>
      <c r="C67" s="141">
        <f t="shared" si="15"/>
        <v>4.1585981220058175</v>
      </c>
      <c r="E67" s="151">
        <v>20.272443314691611</v>
      </c>
      <c r="F67" s="141">
        <f t="shared" si="16"/>
        <v>3.8040883513022075</v>
      </c>
      <c r="H67" s="151">
        <f t="shared" si="17"/>
        <v>-1.1378911865492469</v>
      </c>
      <c r="I67" s="141">
        <f t="shared" si="18"/>
        <v>-5.3146819657735822</v>
      </c>
      <c r="K67" s="151">
        <f t="shared" si="19"/>
        <v>0.7513339227027791</v>
      </c>
      <c r="L67" s="141">
        <f t="shared" si="20"/>
        <v>3.5092115102603127</v>
      </c>
      <c r="N67" s="151">
        <f t="shared" si="21"/>
        <v>-1.9555513170398873</v>
      </c>
      <c r="O67" s="141">
        <f t="shared" si="22"/>
        <v>-9.1336794244225903</v>
      </c>
      <c r="Q67" s="151">
        <v>6.632620778786126E-2</v>
      </c>
      <c r="R67" s="141">
        <f t="shared" si="23"/>
        <v>0.30978594838869639</v>
      </c>
      <c r="T67" s="151"/>
    </row>
    <row r="68" spans="1:20" x14ac:dyDescent="0.2">
      <c r="A68" s="135" t="str">
        <f t="shared" si="14"/>
        <v>91 Elementary trades and related occupations</v>
      </c>
      <c r="B68" s="151">
        <v>10.615622461459582</v>
      </c>
      <c r="C68" s="141">
        <f t="shared" si="15"/>
        <v>2.0619064886440732</v>
      </c>
      <c r="E68" s="151">
        <v>19.321313381155679</v>
      </c>
      <c r="F68" s="141">
        <f t="shared" si="16"/>
        <v>3.6256104912547826</v>
      </c>
      <c r="H68" s="151">
        <f t="shared" si="17"/>
        <v>8.7056909196960977</v>
      </c>
      <c r="I68" s="141">
        <f t="shared" si="18"/>
        <v>82.008294391614214</v>
      </c>
      <c r="K68" s="151">
        <f t="shared" si="19"/>
        <v>0.3725246453033188</v>
      </c>
      <c r="L68" s="141">
        <f t="shared" si="20"/>
        <v>3.5092115102603127</v>
      </c>
      <c r="N68" s="151">
        <f t="shared" si="21"/>
        <v>8.6348641410587472</v>
      </c>
      <c r="O68" s="141">
        <f t="shared" si="22"/>
        <v>81.341100556354064</v>
      </c>
      <c r="Q68" s="151">
        <v>-0.30169786666596793</v>
      </c>
      <c r="R68" s="141">
        <f t="shared" si="23"/>
        <v>-2.842017675000156</v>
      </c>
      <c r="T68" s="151"/>
    </row>
    <row r="69" spans="1:20" x14ac:dyDescent="0.2">
      <c r="A69" s="135" t="str">
        <f t="shared" ref="A69" si="24">A33</f>
        <v>92 Elementary administration and service occupations</v>
      </c>
      <c r="B69" s="151">
        <v>46.242366957986754</v>
      </c>
      <c r="C69" s="141">
        <f t="shared" ref="C69" si="25">B69/B$71*100</f>
        <v>8.9818036414817541</v>
      </c>
      <c r="E69" s="151">
        <v>36.956370575801763</v>
      </c>
      <c r="F69" s="141">
        <f t="shared" ref="F69" si="26">E69/E$71*100</f>
        <v>6.934797973361789</v>
      </c>
      <c r="H69" s="151">
        <f t="shared" ref="H69" si="27">E69-B69</f>
        <v>-9.2859963821849902</v>
      </c>
      <c r="I69" s="141">
        <f t="shared" ref="I69" si="28">IF(B69&gt;0,((E69/B69)-1)*100,0)</f>
        <v>-20.081144182393885</v>
      </c>
      <c r="K69" s="151">
        <f t="shared" ref="K69" si="29">(($E$71/$B$71)-1)*B69</f>
        <v>1.6227424639064827</v>
      </c>
      <c r="L69" s="141">
        <f t="shared" ref="L69" si="30">IF(B69&gt;0,K69/B69*100,0)</f>
        <v>3.5092115102603127</v>
      </c>
      <c r="N69" s="151">
        <f t="shared" ref="N69" si="31">H69-(K69+Q69)</f>
        <v>-12.42902379823331</v>
      </c>
      <c r="O69" s="141">
        <f t="shared" ref="O69" si="32">IF(B69&gt;0,N69/B69*100,0)</f>
        <v>-26.878000880719689</v>
      </c>
      <c r="Q69" s="151">
        <v>1.5202849521418376</v>
      </c>
      <c r="R69" s="141">
        <f t="shared" ref="R69" si="33">IF(B69&gt;0,Q69/B69*100,0)</f>
        <v>3.2876451880654898</v>
      </c>
      <c r="T69" s="151"/>
    </row>
    <row r="70" spans="1:20" x14ac:dyDescent="0.2">
      <c r="A70" s="135"/>
      <c r="B70" s="151"/>
      <c r="C70" s="141"/>
      <c r="E70" s="151"/>
      <c r="F70" s="141"/>
      <c r="H70" s="151"/>
      <c r="I70" s="141"/>
      <c r="K70" s="151"/>
      <c r="L70" s="141"/>
      <c r="N70" s="151"/>
      <c r="O70" s="141"/>
      <c r="Q70" s="151"/>
      <c r="R70" s="141"/>
    </row>
    <row r="71" spans="1:20" x14ac:dyDescent="0.2">
      <c r="A71" s="149" t="str">
        <f>name!$D$3</f>
        <v>All occupations</v>
      </c>
      <c r="B71" s="152">
        <f>SUM(B44:B69)</f>
        <v>514.84500000000014</v>
      </c>
      <c r="C71" s="147">
        <f>B71/B$71*100</f>
        <v>100</v>
      </c>
      <c r="D71" s="145"/>
      <c r="E71" s="152">
        <f>SUM(E44:E69)</f>
        <v>532.91199999999981</v>
      </c>
      <c r="F71" s="147">
        <f>E71/E$71*100</f>
        <v>100</v>
      </c>
      <c r="G71" s="145"/>
      <c r="H71" s="152">
        <f t="shared" si="17"/>
        <v>18.066999999999666</v>
      </c>
      <c r="I71" s="147">
        <f t="shared" si="18"/>
        <v>3.5092115102603127</v>
      </c>
      <c r="J71" s="145"/>
      <c r="K71" s="145"/>
      <c r="L71" s="145"/>
      <c r="M71" s="145"/>
      <c r="N71" s="145"/>
      <c r="O71" s="145"/>
      <c r="P71" s="145"/>
      <c r="Q71" s="145"/>
      <c r="R71" s="145"/>
    </row>
    <row r="77" spans="1:20" x14ac:dyDescent="0.2">
      <c r="T77" s="151"/>
    </row>
    <row r="78" spans="1:20" x14ac:dyDescent="0.2">
      <c r="T78" s="151"/>
    </row>
    <row r="79" spans="1:20" x14ac:dyDescent="0.2">
      <c r="T79" s="151"/>
    </row>
    <row r="80" spans="1:20" x14ac:dyDescent="0.2">
      <c r="T80" s="151"/>
    </row>
    <row r="81" spans="20:20" x14ac:dyDescent="0.2">
      <c r="T81" s="151"/>
    </row>
    <row r="82" spans="20:20" x14ac:dyDescent="0.2">
      <c r="T82" s="151"/>
    </row>
    <row r="83" spans="20:20" x14ac:dyDescent="0.2">
      <c r="T83" s="151"/>
    </row>
    <row r="84" spans="20:20" x14ac:dyDescent="0.2">
      <c r="T84" s="151"/>
    </row>
    <row r="85" spans="20:20" x14ac:dyDescent="0.2">
      <c r="T85" s="151"/>
    </row>
    <row r="86" spans="20:20" x14ac:dyDescent="0.2">
      <c r="T86" s="151"/>
    </row>
    <row r="87" spans="20:20" x14ac:dyDescent="0.2">
      <c r="T87" s="151"/>
    </row>
    <row r="88" spans="20:20" x14ac:dyDescent="0.2">
      <c r="T88" s="151"/>
    </row>
    <row r="89" spans="20:20" x14ac:dyDescent="0.2">
      <c r="T89" s="151"/>
    </row>
    <row r="90" spans="20:20" x14ac:dyDescent="0.2">
      <c r="T90" s="151"/>
    </row>
    <row r="91" spans="20:20" x14ac:dyDescent="0.2">
      <c r="T91" s="151"/>
    </row>
    <row r="92" spans="20:20" x14ac:dyDescent="0.2">
      <c r="T92" s="151"/>
    </row>
    <row r="93" spans="20:20" x14ac:dyDescent="0.2">
      <c r="T93" s="151"/>
    </row>
    <row r="94" spans="20:20" x14ac:dyDescent="0.2">
      <c r="T94" s="151"/>
    </row>
    <row r="95" spans="20:20" x14ac:dyDescent="0.2">
      <c r="T95" s="151"/>
    </row>
    <row r="96" spans="20:20" x14ac:dyDescent="0.2">
      <c r="T96" s="151"/>
    </row>
    <row r="97" spans="20:20" x14ac:dyDescent="0.2">
      <c r="T97" s="151"/>
    </row>
    <row r="98" spans="20:20" x14ac:dyDescent="0.2">
      <c r="T98" s="151"/>
    </row>
    <row r="99" spans="20:20" x14ac:dyDescent="0.2">
      <c r="T99" s="151"/>
    </row>
    <row r="100" spans="20:20" x14ac:dyDescent="0.2">
      <c r="T100" s="151"/>
    </row>
    <row r="101" spans="20:20" x14ac:dyDescent="0.2">
      <c r="T101" s="151"/>
    </row>
  </sheetData>
  <mergeCells count="8">
    <mergeCell ref="K40:L40"/>
    <mergeCell ref="N40:O40"/>
    <mergeCell ref="Q40:R40"/>
    <mergeCell ref="K3:R3"/>
    <mergeCell ref="K4:L4"/>
    <mergeCell ref="N4:O4"/>
    <mergeCell ref="Q4:R4"/>
    <mergeCell ref="K39:R39"/>
  </mergeCells>
  <pageMargins left="0.39370078740157483" right="0.39370078740157483" top="0.51181102362204722" bottom="0.51181102362204722" header="0.31496062992125984" footer="0.31496062992125984"/>
  <pageSetup paperSize="9" scale="57" fitToHeight="0" orientation="landscape" r:id="rId1"/>
  <rowBreaks count="1" manualBreakCount="1">
    <brk id="143" max="16383" man="1"/>
  </rowBreaks>
  <colBreaks count="1" manualBreakCount="1">
    <brk id="18" max="1048575" man="1"/>
  </colBreaks>
  <drawing r:id="rId2"/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C00-000000000000}">
  <sheetPr codeName="Sheet18"/>
  <dimension ref="A1:AD294"/>
  <sheetViews>
    <sheetView showGridLines="0" zoomScale="85" zoomScaleNormal="85" workbookViewId="0">
      <selection sqref="A1:G2"/>
    </sheetView>
  </sheetViews>
  <sheetFormatPr defaultColWidth="9.140625" defaultRowHeight="12.75" x14ac:dyDescent="0.2"/>
  <cols>
    <col min="1" max="1" width="40.85546875" customWidth="1"/>
    <col min="2" max="3" width="9.7109375" customWidth="1"/>
    <col min="4" max="7" width="11.7109375" customWidth="1"/>
    <col min="8" max="8" width="7.5703125" customWidth="1"/>
    <col min="9" max="9" width="44.140625" customWidth="1"/>
    <col min="10" max="14" width="11.7109375" customWidth="1"/>
    <col min="15" max="15" width="8.85546875" customWidth="1"/>
    <col min="16" max="16" width="54.140625" customWidth="1"/>
    <col min="17" max="18" width="11.7109375" customWidth="1"/>
    <col min="19" max="22" width="11.85546875" style="90" customWidth="1"/>
    <col min="23" max="23" width="7.85546875" customWidth="1"/>
    <col min="24" max="24" width="25.85546875" customWidth="1"/>
    <col min="25" max="29" width="11.7109375" customWidth="1"/>
    <col min="30" max="30" width="11.85546875" customWidth="1"/>
  </cols>
  <sheetData>
    <row r="1" spans="1:30" ht="24" customHeight="1" x14ac:dyDescent="0.2">
      <c r="A1" s="381" t="str">
        <f>CONCATENATE("Replacement Demand Table 1  Replacement Demand by Occupation and Qualification, ",$B$6,"-",$C$6,", ",Info!B5)</f>
        <v>Replacement Demand Table 1  Replacement Demand by Occupation and Qualification, 2020-2035, Greater Lincolnshire</v>
      </c>
      <c r="B1" s="381"/>
      <c r="C1" s="381"/>
      <c r="D1" s="381"/>
      <c r="E1" s="381"/>
      <c r="F1" s="381"/>
      <c r="G1" s="381"/>
      <c r="I1" s="381" t="str">
        <f>CONCATENATE("Replacement Demand Table 1.1  Replacement Demand by Occupation Group and Qualification, ",$B$6,"-",$C$6,", ",Info!B5)</f>
        <v>Replacement Demand Table 1.1  Replacement Demand by Occupation Group and Qualification, 2020-2035, Greater Lincolnshire</v>
      </c>
      <c r="J1" s="381"/>
      <c r="K1" s="381"/>
      <c r="L1" s="381"/>
      <c r="M1" s="381"/>
      <c r="N1" s="381"/>
      <c r="P1" s="381" t="str">
        <f>CONCATENATE("Replacement Demand Table 1.2  Replacement Demand by Occupation and Gender, ",$B$6,"-",$C$6,", ",Info!B5)</f>
        <v>Replacement Demand Table 1.2  Replacement Demand by Occupation and Gender, 2020-2035, Greater Lincolnshire</v>
      </c>
      <c r="Q1" s="381"/>
      <c r="R1" s="381"/>
      <c r="S1" s="381"/>
      <c r="T1" s="381"/>
      <c r="U1" s="381"/>
      <c r="V1" s="381"/>
      <c r="X1" s="381" t="str">
        <f>CONCATENATE("Replacement Demand Table 1.3  Replacement Demand by Industry, ",$B$6,"-",$C$6,", ",Info!B5)</f>
        <v>Replacement Demand Table 1.3  Replacement Demand by Industry, 2020-2035, Greater Lincolnshire</v>
      </c>
      <c r="Y1" s="381"/>
      <c r="Z1" s="381"/>
      <c r="AA1" s="381"/>
      <c r="AB1" s="381"/>
      <c r="AC1" s="381"/>
      <c r="AD1" s="381"/>
    </row>
    <row r="2" spans="1:30" ht="19.5" customHeight="1" x14ac:dyDescent="0.2">
      <c r="A2" s="381"/>
      <c r="B2" s="381"/>
      <c r="C2" s="381"/>
      <c r="D2" s="381"/>
      <c r="E2" s="381"/>
      <c r="F2" s="381"/>
      <c r="G2" s="381"/>
      <c r="I2" s="381"/>
      <c r="J2" s="381"/>
      <c r="K2" s="381"/>
      <c r="L2" s="381"/>
      <c r="M2" s="381"/>
      <c r="N2" s="381"/>
      <c r="P2" s="381"/>
      <c r="Q2" s="381"/>
      <c r="R2" s="381"/>
      <c r="S2" s="381"/>
      <c r="T2" s="381"/>
      <c r="U2" s="381"/>
      <c r="V2" s="381"/>
      <c r="X2" s="381"/>
      <c r="Y2" s="381"/>
      <c r="Z2" s="381"/>
      <c r="AA2" s="381"/>
      <c r="AB2" s="381"/>
      <c r="AC2" s="381"/>
      <c r="AD2" s="381"/>
    </row>
    <row r="3" spans="1:30" ht="15.75" x14ac:dyDescent="0.25">
      <c r="A3" s="1" t="s">
        <v>521</v>
      </c>
      <c r="B3" s="19"/>
      <c r="C3" s="19"/>
      <c r="D3" s="19"/>
      <c r="E3" s="19"/>
      <c r="F3" s="19"/>
      <c r="G3" s="19"/>
      <c r="I3" s="1" t="s">
        <v>522</v>
      </c>
      <c r="P3" s="182" t="s">
        <v>518</v>
      </c>
      <c r="X3" s="1" t="s">
        <v>514</v>
      </c>
    </row>
    <row r="4" spans="1:30" ht="12.75" customHeight="1" x14ac:dyDescent="0.25">
      <c r="A4" s="19"/>
      <c r="B4" s="19"/>
      <c r="C4" s="19"/>
      <c r="D4" s="19"/>
      <c r="E4" s="19"/>
      <c r="F4" s="19"/>
      <c r="G4" s="19"/>
      <c r="I4" s="1"/>
      <c r="P4" s="1"/>
    </row>
    <row r="5" spans="1:30" s="71" customFormat="1" x14ac:dyDescent="0.2">
      <c r="B5" s="16"/>
      <c r="F5" s="16" t="s">
        <v>36</v>
      </c>
      <c r="N5" s="16" t="s">
        <v>36</v>
      </c>
      <c r="Q5" s="16"/>
      <c r="S5" s="343"/>
      <c r="T5" s="343"/>
      <c r="U5" s="84" t="s">
        <v>36</v>
      </c>
      <c r="V5" s="343"/>
      <c r="Y5" s="16"/>
      <c r="AA5" s="343"/>
      <c r="AB5" s="343"/>
      <c r="AC5" s="84" t="s">
        <v>36</v>
      </c>
      <c r="AD5" s="343"/>
    </row>
    <row r="6" spans="1:30" ht="24.95" customHeight="1" x14ac:dyDescent="0.2">
      <c r="A6" s="201" t="str">
        <f>CONCATENATE(name!F3," (Constrained)")</f>
        <v>All qualifications (Constrained)</v>
      </c>
      <c r="B6" s="75">
        <v>2020</v>
      </c>
      <c r="C6" s="75">
        <v>2035</v>
      </c>
      <c r="D6" s="88" t="s">
        <v>43</v>
      </c>
      <c r="E6" s="88" t="s">
        <v>145</v>
      </c>
      <c r="F6" s="88" t="s">
        <v>42</v>
      </c>
      <c r="G6" s="88" t="s">
        <v>144</v>
      </c>
      <c r="I6" s="202"/>
      <c r="J6" s="75">
        <f>B6</f>
        <v>2020</v>
      </c>
      <c r="K6" s="75">
        <f>C6</f>
        <v>2035</v>
      </c>
      <c r="L6" s="88" t="str">
        <f>D6</f>
        <v>Net Change</v>
      </c>
      <c r="M6" s="88" t="str">
        <f>E6</f>
        <v>Replacement Demand level</v>
      </c>
      <c r="N6" s="88" t="str">
        <f>F6</f>
        <v>Total Requirement</v>
      </c>
      <c r="P6" s="201" t="s">
        <v>104</v>
      </c>
      <c r="Q6" s="75">
        <f>B6</f>
        <v>2020</v>
      </c>
      <c r="R6" s="75">
        <f>C6</f>
        <v>2035</v>
      </c>
      <c r="S6" s="344" t="str">
        <f t="shared" ref="S6:V6" si="0">D6</f>
        <v>Net Change</v>
      </c>
      <c r="T6" s="344" t="str">
        <f t="shared" si="0"/>
        <v>Replacement Demand level</v>
      </c>
      <c r="U6" s="344" t="str">
        <f t="shared" si="0"/>
        <v>Total Requirement</v>
      </c>
      <c r="V6" s="344" t="str">
        <f t="shared" si="0"/>
        <v>Replacement Demand rate</v>
      </c>
      <c r="X6" s="201"/>
      <c r="Y6" s="75">
        <f>J6</f>
        <v>2020</v>
      </c>
      <c r="Z6" s="75">
        <f>K6</f>
        <v>2035</v>
      </c>
      <c r="AA6" s="344" t="str">
        <f t="shared" ref="AA6:AC6" si="1">L6</f>
        <v>Net Change</v>
      </c>
      <c r="AB6" s="344" t="str">
        <f t="shared" si="1"/>
        <v>Replacement Demand level</v>
      </c>
      <c r="AC6" s="344" t="str">
        <f t="shared" si="1"/>
        <v>Total Requirement</v>
      </c>
      <c r="AD6" s="344" t="str">
        <f>G6</f>
        <v>Replacement Demand rate</v>
      </c>
    </row>
    <row r="7" spans="1:30" x14ac:dyDescent="0.2">
      <c r="A7" s="10" t="str">
        <f>name!D4</f>
        <v>11 Corporate managers and directors</v>
      </c>
      <c r="B7" s="11">
        <f t="shared" ref="B7:F16" si="2">SUM(B36,B65,B94,B123,B152,B181,B210,B239,B268)</f>
        <v>37.285129342999909</v>
      </c>
      <c r="C7" s="11">
        <f t="shared" si="2"/>
        <v>35.772891868365342</v>
      </c>
      <c r="D7" s="11">
        <f t="shared" si="2"/>
        <v>-1.5122374746345755</v>
      </c>
      <c r="E7" s="11">
        <f t="shared" si="2"/>
        <v>17.386367113855137</v>
      </c>
      <c r="F7" s="11">
        <f t="shared" si="2"/>
        <v>15.874129639220561</v>
      </c>
      <c r="G7" s="200">
        <f>IF(B7&gt;0,(1+(E7/B7))^(1/($C$6-$B$6))-1,0)</f>
        <v>2.5844860955560378E-2</v>
      </c>
      <c r="H7" s="11"/>
      <c r="I7" s="233" t="str">
        <f>name!F3</f>
        <v>All qualifications</v>
      </c>
      <c r="J7" s="36"/>
      <c r="K7" s="36"/>
      <c r="L7" s="36"/>
      <c r="M7" s="36"/>
      <c r="N7" s="36"/>
      <c r="O7" s="11"/>
      <c r="P7" s="10" t="str">
        <f>name!D4</f>
        <v>11 Corporate managers and directors</v>
      </c>
      <c r="Q7" s="11">
        <v>25.749390778181418</v>
      </c>
      <c r="R7" s="11">
        <v>22.799905434162348</v>
      </c>
      <c r="S7" s="345">
        <f>R7-Q7</f>
        <v>-2.9494853440190703</v>
      </c>
      <c r="T7" s="345">
        <v>10.468605410751636</v>
      </c>
      <c r="U7" s="345">
        <f>SUM(S7:T7)</f>
        <v>7.5191200667325653</v>
      </c>
      <c r="V7" s="346">
        <f>IF(Q7&gt;0,(1+(T7/Q7))^(1/($C$6-$B$6))-1,0)</f>
        <v>2.3003604739237682E-2</v>
      </c>
      <c r="X7" s="10" t="str">
        <f>name!B4</f>
        <v>Agriculture</v>
      </c>
      <c r="Y7" s="11">
        <v>14.335000000000026</v>
      </c>
      <c r="Z7" s="11">
        <v>13.884000000000032</v>
      </c>
      <c r="AA7" s="345">
        <f>Z7-Y7</f>
        <v>-0.45099999999999341</v>
      </c>
      <c r="AB7" s="11">
        <v>6.9522859770199092</v>
      </c>
      <c r="AC7" s="345">
        <f>SUM(AA7:AB7)</f>
        <v>6.5012859770199158</v>
      </c>
      <c r="AD7" s="348">
        <f>IF(Y7&gt;0,(1+(AB7/Y7))^(1/($C$6-$B$6))-1,0)</f>
        <v>2.6710901067966919E-2</v>
      </c>
    </row>
    <row r="8" spans="1:30" x14ac:dyDescent="0.2">
      <c r="A8" s="10" t="str">
        <f>name!D5</f>
        <v>12 Other managers and proprietors</v>
      </c>
      <c r="B8" s="11">
        <f t="shared" si="2"/>
        <v>17.623157595105933</v>
      </c>
      <c r="C8" s="11">
        <f t="shared" si="2"/>
        <v>20.170615731640087</v>
      </c>
      <c r="D8" s="11">
        <f t="shared" si="2"/>
        <v>2.5474581365341535</v>
      </c>
      <c r="E8" s="11">
        <f t="shared" si="2"/>
        <v>9.8958511135566134</v>
      </c>
      <c r="F8" s="11">
        <f t="shared" si="2"/>
        <v>12.443309250090763</v>
      </c>
      <c r="G8" s="200">
        <f t="shared" ref="G8:G33" si="3">IF(B8&gt;0,(1+(E8/B8))^(1/($C$6-$B$6))-1,0)</f>
        <v>3.0156650768578208E-2</v>
      </c>
      <c r="H8" s="11"/>
      <c r="I8" s="10" t="str">
        <f>name!E4</f>
        <v>Managers, directors and senior officials</v>
      </c>
      <c r="J8" s="11">
        <f t="array" ref="J8:J16">MMULT(aggregation!$B$13:$AA$21,B7:B32)</f>
        <v>54.908286938105846</v>
      </c>
      <c r="K8" s="11">
        <f t="array" ref="K8:K16">MMULT(aggregation!$B$13:$AA$21,C7:C32)</f>
        <v>55.943507600005432</v>
      </c>
      <c r="L8" s="11">
        <f t="array" ref="L8:L16">MMULT(aggregation!$B$13:$AA$21,D7:D32)</f>
        <v>1.0352206618995781</v>
      </c>
      <c r="M8" s="11">
        <f t="array" ref="M8:M16">MMULT(aggregation!$B$13:$AA$21,E7:E32)</f>
        <v>27.28221822741175</v>
      </c>
      <c r="N8" s="11">
        <f t="array" ref="N8:N16">MMULT(aggregation!$B$13:$AA$21,F7:F32)</f>
        <v>28.317438889311326</v>
      </c>
      <c r="O8" s="11"/>
      <c r="P8" s="10" t="str">
        <f>name!D5</f>
        <v>12 Other managers and proprietors</v>
      </c>
      <c r="Q8" s="11">
        <v>11.231457098192198</v>
      </c>
      <c r="R8" s="11">
        <v>13.975884682062709</v>
      </c>
      <c r="S8" s="345">
        <f t="shared" ref="S8:S31" si="4">R8-Q8</f>
        <v>2.744427583870511</v>
      </c>
      <c r="T8" s="345">
        <v>6.2271432509114515</v>
      </c>
      <c r="U8" s="345">
        <f t="shared" ref="U8:U31" si="5">SUM(S8:T8)</f>
        <v>8.9715708347819625</v>
      </c>
      <c r="V8" s="346">
        <f t="shared" ref="V8:V33" si="6">IF(Q8&gt;0,(1+(T8/Q8))^(1/($C$6-$B$6))-1,0)</f>
        <v>2.9844264750495064E-2</v>
      </c>
      <c r="X8" s="10" t="str">
        <f>name!B5</f>
        <v>Mining and quarrying</v>
      </c>
      <c r="Y8" s="11">
        <v>0.92199999999999949</v>
      </c>
      <c r="Z8" s="11">
        <v>0.54099999999999993</v>
      </c>
      <c r="AA8" s="345">
        <f t="shared" ref="AA8:AA29" si="7">Z8-Y8</f>
        <v>-0.38099999999999956</v>
      </c>
      <c r="AB8" s="11">
        <v>0.2824160263378877</v>
      </c>
      <c r="AC8" s="345">
        <f t="shared" ref="AC8:AC29" si="8">SUM(AA8:AB8)</f>
        <v>-9.8583973662111857E-2</v>
      </c>
      <c r="AD8" s="348">
        <f t="shared" ref="AD8:AD29" si="9">IF(Y8&gt;0,(1+(AB8/Y8))^(1/($C$6-$B$6))-1,0)</f>
        <v>1.797326818192424E-2</v>
      </c>
    </row>
    <row r="9" spans="1:30" x14ac:dyDescent="0.2">
      <c r="A9" s="10" t="str">
        <f>name!D6</f>
        <v>21 Science, research, engineering and technology professionals</v>
      </c>
      <c r="B9" s="11">
        <f t="shared" si="2"/>
        <v>28.087523686209501</v>
      </c>
      <c r="C9" s="11">
        <f t="shared" si="2"/>
        <v>39.592228833866422</v>
      </c>
      <c r="D9" s="11">
        <f t="shared" si="2"/>
        <v>11.504705147656923</v>
      </c>
      <c r="E9" s="11">
        <f t="shared" si="2"/>
        <v>12.956316317608358</v>
      </c>
      <c r="F9" s="11">
        <f t="shared" si="2"/>
        <v>24.461021465265276</v>
      </c>
      <c r="G9" s="200">
        <f t="shared" si="3"/>
        <v>2.5610131286073257E-2</v>
      </c>
      <c r="H9" s="11"/>
      <c r="I9" s="10" t="str">
        <f>name!E5</f>
        <v>Professional occupations</v>
      </c>
      <c r="J9" s="11">
        <v>100.75322851210717</v>
      </c>
      <c r="K9" s="11">
        <v>117.27071910226647</v>
      </c>
      <c r="L9" s="11">
        <v>16.517490590159316</v>
      </c>
      <c r="M9" s="11">
        <v>49.2430671217232</v>
      </c>
      <c r="N9" s="11">
        <v>65.760557711882512</v>
      </c>
      <c r="O9" s="11"/>
      <c r="P9" s="10" t="str">
        <f>name!D6</f>
        <v>21 Science, research, engineering and technology professionals</v>
      </c>
      <c r="Q9" s="11">
        <v>22.494756193737008</v>
      </c>
      <c r="R9" s="11">
        <v>30.331916482259494</v>
      </c>
      <c r="S9" s="345">
        <f t="shared" si="4"/>
        <v>7.8371602885224867</v>
      </c>
      <c r="T9" s="345">
        <v>8.958141808225168</v>
      </c>
      <c r="U9" s="345">
        <f t="shared" si="5"/>
        <v>16.795302096747655</v>
      </c>
      <c r="V9" s="346">
        <f t="shared" si="6"/>
        <v>2.2598830574337203E-2</v>
      </c>
      <c r="X9" s="10" t="str">
        <f>name!B6</f>
        <v>Food drink and tobacco</v>
      </c>
      <c r="Y9" s="11">
        <v>24.152000000000037</v>
      </c>
      <c r="Z9" s="11">
        <v>25.192000000000025</v>
      </c>
      <c r="AA9" s="345">
        <f t="shared" si="7"/>
        <v>1.0399999999999885</v>
      </c>
      <c r="AB9" s="11">
        <v>10.853031502894064</v>
      </c>
      <c r="AC9" s="345">
        <f t="shared" si="8"/>
        <v>11.893031502894052</v>
      </c>
      <c r="AD9" s="348">
        <f t="shared" si="9"/>
        <v>2.5050255418685774E-2</v>
      </c>
    </row>
    <row r="10" spans="1:30" x14ac:dyDescent="0.2">
      <c r="A10" s="10" t="str">
        <f>name!D7</f>
        <v>22 Health professionals</v>
      </c>
      <c r="B10" s="11">
        <f t="shared" si="2"/>
        <v>22.204702058713007</v>
      </c>
      <c r="C10" s="11">
        <f t="shared" si="2"/>
        <v>23.203332606461988</v>
      </c>
      <c r="D10" s="11">
        <f t="shared" si="2"/>
        <v>0.9986305477489803</v>
      </c>
      <c r="E10" s="11">
        <f t="shared" si="2"/>
        <v>11.593391390262255</v>
      </c>
      <c r="F10" s="11">
        <f t="shared" si="2"/>
        <v>12.59202193801123</v>
      </c>
      <c r="G10" s="200">
        <f t="shared" si="3"/>
        <v>2.8402562571798073E-2</v>
      </c>
      <c r="H10" s="11"/>
      <c r="I10" s="10" t="str">
        <f>name!E6</f>
        <v>Associate professional occupations</v>
      </c>
      <c r="J10" s="11">
        <v>61.437373146147316</v>
      </c>
      <c r="K10" s="11">
        <v>69.798906165083025</v>
      </c>
      <c r="L10" s="11">
        <v>8.3615330189357095</v>
      </c>
      <c r="M10" s="11">
        <v>30.537552896564677</v>
      </c>
      <c r="N10" s="11">
        <v>38.899085915500386</v>
      </c>
      <c r="O10" s="11"/>
      <c r="P10" s="10" t="str">
        <f>name!D7</f>
        <v>22 Health professionals</v>
      </c>
      <c r="Q10" s="11">
        <v>6.0086292592352475</v>
      </c>
      <c r="R10" s="11">
        <v>6.2038013045558529</v>
      </c>
      <c r="S10" s="345">
        <f t="shared" si="4"/>
        <v>0.19517204532060539</v>
      </c>
      <c r="T10" s="345">
        <v>2.2657499166661772</v>
      </c>
      <c r="U10" s="345">
        <f t="shared" si="5"/>
        <v>2.4609219619867826</v>
      </c>
      <c r="V10" s="346">
        <f t="shared" si="6"/>
        <v>2.1560285219160535E-2</v>
      </c>
      <c r="X10" s="10" t="str">
        <f>name!B7</f>
        <v>Engineering</v>
      </c>
      <c r="Y10" s="11">
        <v>5.2779999999999863</v>
      </c>
      <c r="Z10" s="11">
        <v>4.7119999999999918</v>
      </c>
      <c r="AA10" s="345">
        <f t="shared" si="7"/>
        <v>-0.56599999999999451</v>
      </c>
      <c r="AB10" s="11">
        <v>2.067098954186295</v>
      </c>
      <c r="AC10" s="345">
        <f t="shared" si="8"/>
        <v>1.5010989541863005</v>
      </c>
      <c r="AD10" s="348">
        <f t="shared" si="9"/>
        <v>2.2276908688851904E-2</v>
      </c>
    </row>
    <row r="11" spans="1:30" x14ac:dyDescent="0.2">
      <c r="A11" s="10" t="str">
        <f>name!D8</f>
        <v>23 Teaching and other educational professionals</v>
      </c>
      <c r="B11" s="11">
        <f t="shared" si="2"/>
        <v>19.425860904777579</v>
      </c>
      <c r="C11" s="11">
        <f t="shared" si="2"/>
        <v>18.557734407530301</v>
      </c>
      <c r="D11" s="11">
        <f t="shared" si="2"/>
        <v>-0.86812649724727098</v>
      </c>
      <c r="E11" s="11">
        <f t="shared" si="2"/>
        <v>8.8569804859771804</v>
      </c>
      <c r="F11" s="11">
        <f t="shared" si="2"/>
        <v>7.9888539887299101</v>
      </c>
      <c r="G11" s="200">
        <f t="shared" si="3"/>
        <v>2.5359558288818862E-2</v>
      </c>
      <c r="H11" s="11"/>
      <c r="I11" s="10" t="str">
        <f>name!E7</f>
        <v>Administrative and secretarial occupations</v>
      </c>
      <c r="J11" s="11">
        <v>51.152140412056312</v>
      </c>
      <c r="K11" s="11">
        <v>48.17662628932429</v>
      </c>
      <c r="L11" s="11">
        <v>-2.9755141227320272</v>
      </c>
      <c r="M11" s="11">
        <v>25.40184027210924</v>
      </c>
      <c r="N11" s="11">
        <v>22.426326149377214</v>
      </c>
      <c r="O11" s="11"/>
      <c r="P11" s="10" t="str">
        <f>name!D8</f>
        <v>23 Teaching and other educational professionals</v>
      </c>
      <c r="Q11" s="11">
        <v>7.1800698037739972</v>
      </c>
      <c r="R11" s="11">
        <v>7.2126794451526228</v>
      </c>
      <c r="S11" s="345">
        <f t="shared" si="4"/>
        <v>3.2609641378625653E-2</v>
      </c>
      <c r="T11" s="345">
        <v>2.9693959192053536</v>
      </c>
      <c r="U11" s="345">
        <f t="shared" si="5"/>
        <v>3.0020055605839793</v>
      </c>
      <c r="V11" s="346">
        <f t="shared" si="6"/>
        <v>2.3342397856866537E-2</v>
      </c>
      <c r="X11" s="10" t="str">
        <f>name!B8</f>
        <v>Rest of manufacturing</v>
      </c>
      <c r="Y11" s="11">
        <v>38.603999999999992</v>
      </c>
      <c r="Z11" s="11">
        <v>32.256999999999962</v>
      </c>
      <c r="AA11" s="345">
        <f t="shared" si="7"/>
        <v>-6.3470000000000297</v>
      </c>
      <c r="AB11" s="11">
        <v>14.606587606284952</v>
      </c>
      <c r="AC11" s="345">
        <f t="shared" si="8"/>
        <v>8.2595876062849225</v>
      </c>
      <c r="AD11" s="348">
        <f t="shared" si="9"/>
        <v>2.1623913049143573E-2</v>
      </c>
    </row>
    <row r="12" spans="1:30" x14ac:dyDescent="0.2">
      <c r="A12" s="10" t="str">
        <f>name!D9</f>
        <v>24 Business, media and public service professionals</v>
      </c>
      <c r="B12" s="11">
        <f t="shared" si="2"/>
        <v>31.035141862407084</v>
      </c>
      <c r="C12" s="11">
        <f t="shared" si="2"/>
        <v>35.917423254407758</v>
      </c>
      <c r="D12" s="11">
        <f t="shared" si="2"/>
        <v>4.8822813920006833</v>
      </c>
      <c r="E12" s="11">
        <f t="shared" si="2"/>
        <v>15.83637892787541</v>
      </c>
      <c r="F12" s="11">
        <f t="shared" si="2"/>
        <v>20.718660319876097</v>
      </c>
      <c r="G12" s="200">
        <f t="shared" si="3"/>
        <v>2.7867230860872727E-2</v>
      </c>
      <c r="H12" s="11"/>
      <c r="I12" s="10" t="str">
        <f>name!E8</f>
        <v>Skilled trades occupations</v>
      </c>
      <c r="J12" s="11">
        <v>48.53294094738316</v>
      </c>
      <c r="K12" s="11">
        <v>43.234890421391576</v>
      </c>
      <c r="L12" s="11">
        <v>-5.298050525991588</v>
      </c>
      <c r="M12" s="11">
        <v>19.545102272774439</v>
      </c>
      <c r="N12" s="11">
        <v>14.247051746782853</v>
      </c>
      <c r="O12" s="11"/>
      <c r="P12" s="10" t="str">
        <f>name!D9</f>
        <v>24 Business, media and public service professionals</v>
      </c>
      <c r="Q12" s="11">
        <v>16.573522522886321</v>
      </c>
      <c r="R12" s="11">
        <v>18.80873440448287</v>
      </c>
      <c r="S12" s="345">
        <f t="shared" si="4"/>
        <v>2.2352118815965483</v>
      </c>
      <c r="T12" s="345">
        <v>7.4016650350920328</v>
      </c>
      <c r="U12" s="345">
        <f t="shared" si="5"/>
        <v>9.6368769166885819</v>
      </c>
      <c r="V12" s="346">
        <f t="shared" si="6"/>
        <v>2.4919633703005095E-2</v>
      </c>
      <c r="X12" s="10" t="str">
        <f>name!B9</f>
        <v>Electricity and gas</v>
      </c>
      <c r="Y12" s="11">
        <v>1.3190000000000015</v>
      </c>
      <c r="Z12" s="11">
        <v>1.2660000000000007</v>
      </c>
      <c r="AA12" s="345">
        <f t="shared" si="7"/>
        <v>-5.3000000000000824E-2</v>
      </c>
      <c r="AB12" s="11">
        <v>0.54395023787068708</v>
      </c>
      <c r="AC12" s="345">
        <f t="shared" si="8"/>
        <v>0.49095023787068626</v>
      </c>
      <c r="AD12" s="348">
        <f t="shared" si="9"/>
        <v>2.3286152806129223E-2</v>
      </c>
    </row>
    <row r="13" spans="1:30" x14ac:dyDescent="0.2">
      <c r="A13" s="10" t="str">
        <f>name!D10</f>
        <v>31 Science, engineering and technology associate professionals</v>
      </c>
      <c r="B13" s="11">
        <f t="shared" si="2"/>
        <v>10.211041430849409</v>
      </c>
      <c r="C13" s="11">
        <f t="shared" si="2"/>
        <v>10.158891214200359</v>
      </c>
      <c r="D13" s="11">
        <f t="shared" si="2"/>
        <v>-5.2150216649050868E-2</v>
      </c>
      <c r="E13" s="11">
        <f t="shared" si="2"/>
        <v>3.876307692451598</v>
      </c>
      <c r="F13" s="11">
        <f t="shared" si="2"/>
        <v>3.8241574758025472</v>
      </c>
      <c r="G13" s="200">
        <f t="shared" si="3"/>
        <v>2.1685624242184343E-2</v>
      </c>
      <c r="H13" s="11"/>
      <c r="I13" s="10" t="str">
        <f>name!E9</f>
        <v>Caring, leisure and other service occupations</v>
      </c>
      <c r="J13" s="11">
        <v>56.846498020688671</v>
      </c>
      <c r="K13" s="11">
        <v>60.427646216980058</v>
      </c>
      <c r="L13" s="11">
        <v>3.5811481962913856</v>
      </c>
      <c r="M13" s="11">
        <v>31.59002618337378</v>
      </c>
      <c r="N13" s="11">
        <v>35.171174379665167</v>
      </c>
      <c r="O13" s="11"/>
      <c r="P13" s="10" t="str">
        <f>name!D10</f>
        <v>31 Science, engineering and technology associate professionals</v>
      </c>
      <c r="Q13" s="11">
        <v>7.6074752986755341</v>
      </c>
      <c r="R13" s="11">
        <v>6.9353826530017209</v>
      </c>
      <c r="S13" s="345">
        <f t="shared" si="4"/>
        <v>-0.67209264567381322</v>
      </c>
      <c r="T13" s="345">
        <v>2.443089241908373</v>
      </c>
      <c r="U13" s="345">
        <f t="shared" si="5"/>
        <v>1.7709965962345597</v>
      </c>
      <c r="V13" s="346">
        <f t="shared" si="6"/>
        <v>1.8739925747344177E-2</v>
      </c>
      <c r="X13" s="10" t="str">
        <f>name!B10</f>
        <v>Water and sewerage</v>
      </c>
      <c r="Y13" s="11">
        <v>4.7860000000000129</v>
      </c>
      <c r="Z13" s="11">
        <v>5.3039999999999985</v>
      </c>
      <c r="AA13" s="345">
        <f t="shared" si="7"/>
        <v>0.51799999999998558</v>
      </c>
      <c r="AB13" s="11">
        <v>2.2086441726043371</v>
      </c>
      <c r="AC13" s="345">
        <f t="shared" si="8"/>
        <v>2.7266441726043227</v>
      </c>
      <c r="AD13" s="348">
        <f t="shared" si="9"/>
        <v>2.5619325272515869E-2</v>
      </c>
    </row>
    <row r="14" spans="1:30" x14ac:dyDescent="0.2">
      <c r="A14" s="10" t="str">
        <f>name!D11</f>
        <v>32 Health and social care associate professionals</v>
      </c>
      <c r="B14" s="11">
        <f t="shared" si="2"/>
        <v>9.8334636122958621</v>
      </c>
      <c r="C14" s="11">
        <f t="shared" si="2"/>
        <v>18.168057244040991</v>
      </c>
      <c r="D14" s="11">
        <f t="shared" si="2"/>
        <v>8.3345936317451326</v>
      </c>
      <c r="E14" s="11">
        <f t="shared" si="2"/>
        <v>9.1046550932262207</v>
      </c>
      <c r="F14" s="11">
        <f t="shared" si="2"/>
        <v>17.439248724971353</v>
      </c>
      <c r="G14" s="200">
        <f t="shared" si="3"/>
        <v>4.4660935040082173E-2</v>
      </c>
      <c r="H14" s="11"/>
      <c r="I14" s="10" t="str">
        <f>name!E10</f>
        <v>Sales and customer service occupations</v>
      </c>
      <c r="J14" s="11">
        <v>42.827473840804906</v>
      </c>
      <c r="K14" s="11">
        <v>42.521498139387944</v>
      </c>
      <c r="L14" s="11">
        <v>-0.30597570141695818</v>
      </c>
      <c r="M14" s="11">
        <v>19.965012253077241</v>
      </c>
      <c r="N14" s="11">
        <v>19.659036551660282</v>
      </c>
      <c r="O14" s="11"/>
      <c r="P14" s="10" t="str">
        <f>name!D11</f>
        <v>32 Health and social care associate professionals</v>
      </c>
      <c r="Q14" s="11">
        <v>2.0675951928708374</v>
      </c>
      <c r="R14" s="11">
        <v>3.1028202344824516</v>
      </c>
      <c r="S14" s="345">
        <f t="shared" si="4"/>
        <v>1.0352250416116142</v>
      </c>
      <c r="T14" s="345">
        <v>1.3240154383228446</v>
      </c>
      <c r="U14" s="345">
        <f t="shared" si="5"/>
        <v>2.3592404799344591</v>
      </c>
      <c r="V14" s="346">
        <f t="shared" si="6"/>
        <v>3.3544939593474155E-2</v>
      </c>
      <c r="X14" s="10" t="str">
        <f>name!B11</f>
        <v>Construction</v>
      </c>
      <c r="Y14" s="11">
        <v>34.021000000000058</v>
      </c>
      <c r="Z14" s="11">
        <v>35.626999999999988</v>
      </c>
      <c r="AA14" s="345">
        <f t="shared" si="7"/>
        <v>1.6059999999999306</v>
      </c>
      <c r="AB14" s="11">
        <v>14.034947843786039</v>
      </c>
      <c r="AC14" s="345">
        <f t="shared" si="8"/>
        <v>15.64094784378597</v>
      </c>
      <c r="AD14" s="348">
        <f t="shared" si="9"/>
        <v>2.3293003691633229E-2</v>
      </c>
    </row>
    <row r="15" spans="1:30" x14ac:dyDescent="0.2">
      <c r="A15" s="10" t="str">
        <f>name!D12</f>
        <v>33 Protective service occupations</v>
      </c>
      <c r="B15" s="11">
        <f t="shared" si="2"/>
        <v>5.7259729012338711</v>
      </c>
      <c r="C15" s="11">
        <f t="shared" si="2"/>
        <v>5.2269699614146159</v>
      </c>
      <c r="D15" s="11">
        <f t="shared" si="2"/>
        <v>-0.49900293981925581</v>
      </c>
      <c r="E15" s="11">
        <f t="shared" si="2"/>
        <v>1.64779927932808</v>
      </c>
      <c r="F15" s="11">
        <f t="shared" si="2"/>
        <v>1.1487963395088243</v>
      </c>
      <c r="G15" s="200">
        <f t="shared" si="3"/>
        <v>1.7004079825418073E-2</v>
      </c>
      <c r="H15" s="11"/>
      <c r="I15" s="10" t="str">
        <f>name!E11</f>
        <v>Process, plant and machine operatives</v>
      </c>
      <c r="J15" s="11">
        <v>41.529068763260483</v>
      </c>
      <c r="K15" s="11">
        <v>39.260522108603936</v>
      </c>
      <c r="L15" s="11">
        <v>-2.2685466546565456</v>
      </c>
      <c r="M15" s="11">
        <v>18.944208242675344</v>
      </c>
      <c r="N15" s="11">
        <v>16.675661588018798</v>
      </c>
      <c r="O15" s="11"/>
      <c r="P15" s="10" t="str">
        <f>name!D12</f>
        <v>33 Protective service occupations</v>
      </c>
      <c r="Q15" s="11">
        <v>4.5058957895939704</v>
      </c>
      <c r="R15" s="11">
        <v>3.7963133034326324</v>
      </c>
      <c r="S15" s="345">
        <f t="shared" si="4"/>
        <v>-0.70958248616133801</v>
      </c>
      <c r="T15" s="345">
        <v>1.0755292201511697</v>
      </c>
      <c r="U15" s="345">
        <f t="shared" si="5"/>
        <v>0.36594673398983169</v>
      </c>
      <c r="V15" s="346">
        <f t="shared" si="6"/>
        <v>1.4372803398261302E-2</v>
      </c>
      <c r="X15" s="10" t="str">
        <f>name!B12</f>
        <v>Wholesale and retail trade</v>
      </c>
      <c r="Y15" s="11">
        <v>81.490000000000094</v>
      </c>
      <c r="Z15" s="11">
        <v>84.032000000000039</v>
      </c>
      <c r="AA15" s="345">
        <f t="shared" si="7"/>
        <v>2.5419999999999447</v>
      </c>
      <c r="AB15" s="11">
        <v>38.400835442009736</v>
      </c>
      <c r="AC15" s="345">
        <f t="shared" si="8"/>
        <v>40.942835442009681</v>
      </c>
      <c r="AD15" s="348">
        <f t="shared" si="9"/>
        <v>2.6074224177143224E-2</v>
      </c>
    </row>
    <row r="16" spans="1:30" x14ac:dyDescent="0.2">
      <c r="A16" s="10" t="str">
        <f>name!D13</f>
        <v>34 Culture, media and sports occupations</v>
      </c>
      <c r="B16" s="11">
        <f t="shared" si="2"/>
        <v>6.6380728933527644</v>
      </c>
      <c r="C16" s="11">
        <f t="shared" si="2"/>
        <v>5.9511053070608035</v>
      </c>
      <c r="D16" s="11">
        <f t="shared" si="2"/>
        <v>-0.68696758629196175</v>
      </c>
      <c r="E16" s="11">
        <f t="shared" si="2"/>
        <v>2.6351829386301877</v>
      </c>
      <c r="F16" s="11">
        <f t="shared" si="2"/>
        <v>1.948215352338226</v>
      </c>
      <c r="G16" s="200">
        <f t="shared" si="3"/>
        <v>2.2537745388985009E-2</v>
      </c>
      <c r="H16" s="11"/>
      <c r="I16" s="10" t="str">
        <f>name!E12</f>
        <v>Elementary occupations</v>
      </c>
      <c r="J16" s="11">
        <v>56.857989419446369</v>
      </c>
      <c r="K16" s="11">
        <v>56.277683956957461</v>
      </c>
      <c r="L16" s="11">
        <v>-0.58030546248890857</v>
      </c>
      <c r="M16" s="11">
        <v>27.028323555241371</v>
      </c>
      <c r="N16" s="11">
        <v>26.448018092752459</v>
      </c>
      <c r="O16" s="11"/>
      <c r="P16" s="10" t="str">
        <f>name!D13</f>
        <v>34 Culture, media and sports occupations</v>
      </c>
      <c r="Q16" s="11">
        <v>3.3645372644902891</v>
      </c>
      <c r="R16" s="11">
        <v>2.9567957750108254</v>
      </c>
      <c r="S16" s="345">
        <f t="shared" si="4"/>
        <v>-0.40774148947946376</v>
      </c>
      <c r="T16" s="345">
        <v>1.139858935704241</v>
      </c>
      <c r="U16" s="345">
        <f t="shared" si="5"/>
        <v>0.73211744622477726</v>
      </c>
      <c r="V16" s="346">
        <f t="shared" si="6"/>
        <v>1.9641295390288471E-2</v>
      </c>
      <c r="X16" s="10" t="str">
        <f>name!B13</f>
        <v>Transport and storage</v>
      </c>
      <c r="Y16" s="11">
        <v>28.585000000000058</v>
      </c>
      <c r="Z16" s="11">
        <v>29.983999999999959</v>
      </c>
      <c r="AA16" s="345">
        <f t="shared" si="7"/>
        <v>1.3989999999999014</v>
      </c>
      <c r="AB16" s="11">
        <v>13.769538110936429</v>
      </c>
      <c r="AC16" s="345">
        <f t="shared" si="8"/>
        <v>15.16853811093633</v>
      </c>
      <c r="AD16" s="348">
        <f t="shared" si="9"/>
        <v>2.6559477528019126E-2</v>
      </c>
    </row>
    <row r="17" spans="1:30" x14ac:dyDescent="0.2">
      <c r="A17" s="10" t="str">
        <f>name!D14</f>
        <v>35 Business and public service associate professionals</v>
      </c>
      <c r="B17" s="11">
        <f t="shared" ref="B17:F26" si="10">SUM(B46,B75,B104,B133,B162,B191,B220,B249,B278)</f>
        <v>29.028822308415407</v>
      </c>
      <c r="C17" s="11">
        <f t="shared" si="10"/>
        <v>30.293882438366253</v>
      </c>
      <c r="D17" s="11">
        <f t="shared" si="10"/>
        <v>1.2650601299508464</v>
      </c>
      <c r="E17" s="11">
        <f t="shared" si="10"/>
        <v>13.27360789292859</v>
      </c>
      <c r="F17" s="11">
        <f t="shared" si="10"/>
        <v>14.538668022879436</v>
      </c>
      <c r="G17" s="200">
        <f t="shared" si="3"/>
        <v>2.5421439378413346E-2</v>
      </c>
      <c r="H17" s="11"/>
      <c r="O17" s="11"/>
      <c r="P17" s="10" t="str">
        <f>name!D14</f>
        <v>35 Business and public service associate professionals</v>
      </c>
      <c r="Q17" s="11">
        <v>15.898382271662374</v>
      </c>
      <c r="R17" s="11">
        <v>15.829077590677349</v>
      </c>
      <c r="S17" s="345">
        <f t="shared" si="4"/>
        <v>-6.9304680985025513E-2</v>
      </c>
      <c r="T17" s="345">
        <v>5.9897955124856574</v>
      </c>
      <c r="U17" s="345">
        <f t="shared" si="5"/>
        <v>5.9204908315006319</v>
      </c>
      <c r="V17" s="346">
        <f t="shared" si="6"/>
        <v>2.1544080350847761E-2</v>
      </c>
      <c r="X17" s="10" t="str">
        <f>name!B14</f>
        <v>Accommodation and food</v>
      </c>
      <c r="Y17" s="11">
        <v>34.063000000000066</v>
      </c>
      <c r="Z17" s="11">
        <v>37.443999999999896</v>
      </c>
      <c r="AA17" s="345">
        <f t="shared" si="7"/>
        <v>3.3809999999998297</v>
      </c>
      <c r="AB17" s="11">
        <v>17.532309754685695</v>
      </c>
      <c r="AC17" s="345">
        <f t="shared" si="8"/>
        <v>20.913309754685525</v>
      </c>
      <c r="AD17" s="348">
        <f t="shared" si="9"/>
        <v>2.8067954102661608E-2</v>
      </c>
    </row>
    <row r="18" spans="1:30" x14ac:dyDescent="0.2">
      <c r="A18" s="10" t="str">
        <f>name!D15</f>
        <v>41 Administrative occupations</v>
      </c>
      <c r="B18" s="11">
        <f t="shared" si="10"/>
        <v>42.01548873991397</v>
      </c>
      <c r="C18" s="11">
        <f t="shared" si="10"/>
        <v>41.789015266300765</v>
      </c>
      <c r="D18" s="11">
        <f t="shared" si="10"/>
        <v>-0.22647347361320957</v>
      </c>
      <c r="E18" s="11">
        <f t="shared" si="10"/>
        <v>21.315467479717192</v>
      </c>
      <c r="F18" s="11">
        <f t="shared" si="10"/>
        <v>21.088994006103984</v>
      </c>
      <c r="G18" s="200">
        <f t="shared" si="3"/>
        <v>2.7733331239719439E-2</v>
      </c>
      <c r="H18" s="11"/>
      <c r="I18" s="87" t="str">
        <f>name!F4</f>
        <v>RQF8 Doctorate</v>
      </c>
      <c r="J18" s="11"/>
      <c r="K18" s="11"/>
      <c r="L18" s="11"/>
      <c r="M18" s="11"/>
      <c r="N18" s="11"/>
      <c r="O18" s="11"/>
      <c r="P18" s="10" t="str">
        <f>name!D15</f>
        <v>41 Administrative occupations</v>
      </c>
      <c r="Q18" s="11">
        <v>11.168851712276034</v>
      </c>
      <c r="R18" s="11">
        <v>12.803122774366457</v>
      </c>
      <c r="S18" s="345">
        <f t="shared" si="4"/>
        <v>1.6342710620904235</v>
      </c>
      <c r="T18" s="345">
        <v>4.3879754803221074</v>
      </c>
      <c r="U18" s="345">
        <f t="shared" si="5"/>
        <v>6.0222465424125309</v>
      </c>
      <c r="V18" s="346">
        <f t="shared" si="6"/>
        <v>2.2337207051657204E-2</v>
      </c>
      <c r="X18" s="10" t="str">
        <f>name!B15</f>
        <v>Media</v>
      </c>
      <c r="Y18" s="11">
        <v>2.2020000000000048</v>
      </c>
      <c r="Z18" s="11">
        <v>2.2050000000000014</v>
      </c>
      <c r="AA18" s="345">
        <f t="shared" si="7"/>
        <v>2.999999999996561E-3</v>
      </c>
      <c r="AB18" s="11">
        <v>1.038839567053331</v>
      </c>
      <c r="AC18" s="345">
        <f t="shared" si="8"/>
        <v>1.0418395670533276</v>
      </c>
      <c r="AD18" s="348">
        <f t="shared" si="9"/>
        <v>2.6099197267224206E-2</v>
      </c>
    </row>
    <row r="19" spans="1:30" x14ac:dyDescent="0.2">
      <c r="A19" s="10" t="str">
        <f>name!D16</f>
        <v>42 Secretarial and related occupations</v>
      </c>
      <c r="B19" s="11">
        <f t="shared" si="10"/>
        <v>9.1366516721423388</v>
      </c>
      <c r="C19" s="11">
        <f t="shared" si="10"/>
        <v>6.3876110230235206</v>
      </c>
      <c r="D19" s="11">
        <f t="shared" si="10"/>
        <v>-2.7490406491188177</v>
      </c>
      <c r="E19" s="11">
        <f t="shared" si="10"/>
        <v>4.0863727923920461</v>
      </c>
      <c r="F19" s="11">
        <f t="shared" si="10"/>
        <v>1.3373321432732281</v>
      </c>
      <c r="G19" s="200">
        <f t="shared" si="3"/>
        <v>2.4950556447125072E-2</v>
      </c>
      <c r="H19" s="11"/>
      <c r="I19" s="11" t="str">
        <f t="shared" ref="I19:I27" si="11">I8</f>
        <v>Managers, directors and senior officials</v>
      </c>
      <c r="J19" s="11">
        <f t="array" ref="J19:J27">MMULT(aggregation!$B$13:$AA$21,B36:B61)</f>
        <v>0.5820938917511107</v>
      </c>
      <c r="K19" s="11">
        <f t="array" ref="K19:K27">MMULT(aggregation!$B$13:$AA$21,C36:C61)</f>
        <v>0.89765389367806936</v>
      </c>
      <c r="L19" s="11">
        <f t="array" ref="L19:L27">MMULT(aggregation!$B$13:$AA$21,D36:D61)</f>
        <v>0.31556000192695877</v>
      </c>
      <c r="M19" s="11">
        <f t="array" ref="M19:M27">MMULT(aggregation!$B$13:$AA$21,E36:E61)</f>
        <v>0.38220374500219256</v>
      </c>
      <c r="N19" s="11">
        <f t="array" ref="N19:N27">MMULT(aggregation!$B$13:$AA$21,F36:F61)</f>
        <v>0.69776374692915133</v>
      </c>
      <c r="O19" s="11"/>
      <c r="P19" s="10" t="str">
        <f>name!D16</f>
        <v>42 Secretarial and related occupations</v>
      </c>
      <c r="Q19" s="11">
        <v>0.67369963151294798</v>
      </c>
      <c r="R19" s="11">
        <v>0.6941218832872218</v>
      </c>
      <c r="S19" s="345">
        <f t="shared" si="4"/>
        <v>2.0422251774273814E-2</v>
      </c>
      <c r="T19" s="345">
        <v>0.20163892980404399</v>
      </c>
      <c r="U19" s="345">
        <f t="shared" si="5"/>
        <v>0.22206118157831781</v>
      </c>
      <c r="V19" s="346">
        <f t="shared" si="6"/>
        <v>1.7608322216337458E-2</v>
      </c>
      <c r="X19" s="10" t="str">
        <f>name!B16</f>
        <v>Information technology</v>
      </c>
      <c r="Y19" s="11">
        <v>5.4690000000000101</v>
      </c>
      <c r="Z19" s="11">
        <v>6.3659999999999899</v>
      </c>
      <c r="AA19" s="345">
        <f t="shared" si="7"/>
        <v>0.89699999999997981</v>
      </c>
      <c r="AB19" s="11">
        <v>2.5388028124946134</v>
      </c>
      <c r="AC19" s="345">
        <f t="shared" si="8"/>
        <v>3.4358028124945932</v>
      </c>
      <c r="AD19" s="348">
        <f t="shared" si="9"/>
        <v>2.5747254305368728E-2</v>
      </c>
    </row>
    <row r="20" spans="1:30" x14ac:dyDescent="0.2">
      <c r="A20" s="10" t="str">
        <f>name!D17</f>
        <v>51 Skilled agricultural and related trades</v>
      </c>
      <c r="B20" s="11">
        <f t="shared" si="10"/>
        <v>10.053463363622598</v>
      </c>
      <c r="C20" s="11">
        <f t="shared" si="10"/>
        <v>9.2499649150386674</v>
      </c>
      <c r="D20" s="11">
        <f t="shared" si="10"/>
        <v>-0.80349844858393016</v>
      </c>
      <c r="E20" s="11">
        <f t="shared" si="10"/>
        <v>5.1577048994620514</v>
      </c>
      <c r="F20" s="11">
        <f t="shared" si="10"/>
        <v>4.3542064508781229</v>
      </c>
      <c r="G20" s="200">
        <f t="shared" si="3"/>
        <v>2.7992133655734053E-2</v>
      </c>
      <c r="H20" s="11"/>
      <c r="I20" s="11" t="str">
        <f t="shared" si="11"/>
        <v>Professional occupations</v>
      </c>
      <c r="J20" s="11">
        <v>4.58433371917973</v>
      </c>
      <c r="K20" s="11">
        <v>6.9461055490970045</v>
      </c>
      <c r="L20" s="11">
        <v>2.3617718299172736</v>
      </c>
      <c r="M20" s="11">
        <v>2.562682753170991</v>
      </c>
      <c r="N20" s="11">
        <v>4.9244545830882647</v>
      </c>
      <c r="O20" s="11"/>
      <c r="P20" s="10" t="str">
        <f>name!D17</f>
        <v>51 Skilled agricultural and related trades</v>
      </c>
      <c r="Q20" s="11">
        <v>7.7343373777314817</v>
      </c>
      <c r="R20" s="11">
        <v>6.7501298976182813</v>
      </c>
      <c r="S20" s="345">
        <f t="shared" si="4"/>
        <v>-0.98420748011320036</v>
      </c>
      <c r="T20" s="345">
        <v>3.4946922326906606</v>
      </c>
      <c r="U20" s="345">
        <f t="shared" si="5"/>
        <v>2.5104847525774603</v>
      </c>
      <c r="V20" s="346">
        <f t="shared" si="6"/>
        <v>2.5166975902787492E-2</v>
      </c>
      <c r="X20" s="10" t="str">
        <f>name!B17</f>
        <v>Finance and insurance</v>
      </c>
      <c r="Y20" s="11">
        <v>4.9529999999999879</v>
      </c>
      <c r="Z20" s="11">
        <v>4.6359999999999904</v>
      </c>
      <c r="AA20" s="345">
        <f t="shared" si="7"/>
        <v>-0.31699999999999751</v>
      </c>
      <c r="AB20" s="11">
        <v>2.339411052053991</v>
      </c>
      <c r="AC20" s="345">
        <f t="shared" si="8"/>
        <v>2.0224110520539935</v>
      </c>
      <c r="AD20" s="348">
        <f t="shared" si="9"/>
        <v>2.6124808224326612E-2</v>
      </c>
    </row>
    <row r="21" spans="1:30" x14ac:dyDescent="0.2">
      <c r="A21" s="10" t="str">
        <f>name!D18</f>
        <v>52 Skilled metal, electrical and electronic trades</v>
      </c>
      <c r="B21" s="11">
        <f t="shared" si="10"/>
        <v>18.255539317999567</v>
      </c>
      <c r="C21" s="11">
        <f t="shared" si="10"/>
        <v>16.386563901960123</v>
      </c>
      <c r="D21" s="11">
        <f t="shared" si="10"/>
        <v>-1.8689754160394454</v>
      </c>
      <c r="E21" s="11">
        <f t="shared" si="10"/>
        <v>6.4958521926915171</v>
      </c>
      <c r="F21" s="11">
        <f t="shared" si="10"/>
        <v>4.6268767766520718</v>
      </c>
      <c r="G21" s="200">
        <f t="shared" si="3"/>
        <v>2.050153774660024E-2</v>
      </c>
      <c r="H21" s="11"/>
      <c r="I21" s="11" t="str">
        <f t="shared" si="11"/>
        <v>Associate professional occupations</v>
      </c>
      <c r="J21" s="11">
        <v>0.58852818800027107</v>
      </c>
      <c r="K21" s="11">
        <v>1.016528657486423</v>
      </c>
      <c r="L21" s="11">
        <v>0.428000469486152</v>
      </c>
      <c r="M21" s="11">
        <v>0.36789837014128934</v>
      </c>
      <c r="N21" s="11">
        <v>0.79589883962744135</v>
      </c>
      <c r="O21" s="11"/>
      <c r="P21" s="10" t="str">
        <f>name!D18</f>
        <v>52 Skilled metal, electrical and electronic trades</v>
      </c>
      <c r="Q21" s="11">
        <v>17.899283658448081</v>
      </c>
      <c r="R21" s="11">
        <v>15.630963519621453</v>
      </c>
      <c r="S21" s="345">
        <f t="shared" si="4"/>
        <v>-2.2683201388266276</v>
      </c>
      <c r="T21" s="345">
        <v>6.1517262922574902</v>
      </c>
      <c r="U21" s="345">
        <f t="shared" si="5"/>
        <v>3.8834061534308626</v>
      </c>
      <c r="V21" s="346">
        <f t="shared" si="6"/>
        <v>1.9889634291039959E-2</v>
      </c>
      <c r="X21" s="10" t="str">
        <f>name!B18</f>
        <v>Real estate</v>
      </c>
      <c r="Y21" s="11">
        <v>7.6729999999999938</v>
      </c>
      <c r="Z21" s="11">
        <v>7.7679999999999945</v>
      </c>
      <c r="AA21" s="345">
        <f t="shared" si="7"/>
        <v>9.5000000000000639E-2</v>
      </c>
      <c r="AB21" s="11">
        <v>3.577356479003154</v>
      </c>
      <c r="AC21" s="345">
        <f t="shared" si="8"/>
        <v>3.6723564790031547</v>
      </c>
      <c r="AD21" s="348">
        <f t="shared" si="9"/>
        <v>2.5841046661292388E-2</v>
      </c>
    </row>
    <row r="22" spans="1:30" x14ac:dyDescent="0.2">
      <c r="A22" s="10" t="str">
        <f>name!D19</f>
        <v>53 Skilled construction and building trades</v>
      </c>
      <c r="B22" s="11">
        <f t="shared" si="10"/>
        <v>11.165279435266031</v>
      </c>
      <c r="C22" s="11">
        <f t="shared" si="10"/>
        <v>9.210750202713653</v>
      </c>
      <c r="D22" s="11">
        <f t="shared" si="10"/>
        <v>-1.9545292325523791</v>
      </c>
      <c r="E22" s="11">
        <f t="shared" si="10"/>
        <v>4.2029598996207529</v>
      </c>
      <c r="F22" s="11">
        <f t="shared" si="10"/>
        <v>2.2484306670683738</v>
      </c>
      <c r="G22" s="200">
        <f t="shared" si="3"/>
        <v>2.1528061469234139E-2</v>
      </c>
      <c r="H22" s="11"/>
      <c r="I22" s="11" t="str">
        <f t="shared" si="11"/>
        <v>Administrative and secretarial occupations</v>
      </c>
      <c r="J22" s="11">
        <v>0.21163482250843027</v>
      </c>
      <c r="K22" s="11">
        <v>0.39903539298716445</v>
      </c>
      <c r="L22" s="11">
        <v>0.18740057047873418</v>
      </c>
      <c r="M22" s="11">
        <v>0.1513653525567579</v>
      </c>
      <c r="N22" s="11">
        <v>0.33876592303549202</v>
      </c>
      <c r="O22" s="11"/>
      <c r="P22" s="10" t="str">
        <f>name!D19</f>
        <v>53 Skilled construction and building trades</v>
      </c>
      <c r="Q22" s="11">
        <v>11.01054239993393</v>
      </c>
      <c r="R22" s="11">
        <v>9.1334671228561053</v>
      </c>
      <c r="S22" s="345">
        <f t="shared" si="4"/>
        <v>-1.8770752770778252</v>
      </c>
      <c r="T22" s="345">
        <v>4.1600258716973828</v>
      </c>
      <c r="U22" s="345">
        <f t="shared" si="5"/>
        <v>2.2829505946195576</v>
      </c>
      <c r="V22" s="346">
        <f t="shared" si="6"/>
        <v>2.1596843466681781E-2</v>
      </c>
      <c r="X22" s="10" t="str">
        <f>name!B19</f>
        <v>Professional services</v>
      </c>
      <c r="Y22" s="11">
        <v>31.242000000000051</v>
      </c>
      <c r="Z22" s="11">
        <v>34.318999999999946</v>
      </c>
      <c r="AA22" s="345">
        <f t="shared" si="7"/>
        <v>3.0769999999998952</v>
      </c>
      <c r="AB22" s="11">
        <v>16.087918470977542</v>
      </c>
      <c r="AC22" s="345">
        <f t="shared" si="8"/>
        <v>19.164918470977437</v>
      </c>
      <c r="AD22" s="348">
        <f t="shared" si="9"/>
        <v>2.8078937835665396E-2</v>
      </c>
    </row>
    <row r="23" spans="1:30" x14ac:dyDescent="0.2">
      <c r="A23" s="10" t="str">
        <f>name!D20</f>
        <v>54 Textiles, printing and other skilled trades</v>
      </c>
      <c r="B23" s="11">
        <f t="shared" si="10"/>
        <v>9.0586588304949647</v>
      </c>
      <c r="C23" s="11">
        <f t="shared" si="10"/>
        <v>8.3876114016791306</v>
      </c>
      <c r="D23" s="11">
        <f t="shared" si="10"/>
        <v>-0.67104742881583312</v>
      </c>
      <c r="E23" s="11">
        <f t="shared" si="10"/>
        <v>3.6885852810001172</v>
      </c>
      <c r="F23" s="11">
        <f t="shared" si="10"/>
        <v>3.0175378521842844</v>
      </c>
      <c r="G23" s="200">
        <f t="shared" si="3"/>
        <v>2.3034217769711818E-2</v>
      </c>
      <c r="H23" s="11"/>
      <c r="I23" s="11" t="str">
        <f t="shared" si="11"/>
        <v>Skilled trades occupations</v>
      </c>
      <c r="J23" s="11">
        <v>6.7685694103444688E-2</v>
      </c>
      <c r="K23" s="11">
        <v>0.12025079341395808</v>
      </c>
      <c r="L23" s="11">
        <v>5.2565099310513397E-2</v>
      </c>
      <c r="M23" s="11">
        <v>4.8341482400269239E-2</v>
      </c>
      <c r="N23" s="11">
        <v>0.10090658171078264</v>
      </c>
      <c r="O23" s="11"/>
      <c r="P23" s="10" t="str">
        <f>name!D20</f>
        <v>54 Textiles, printing and other skilled trades</v>
      </c>
      <c r="Q23" s="11">
        <v>4.9088433628884482</v>
      </c>
      <c r="R23" s="11">
        <v>4.7281138291469116</v>
      </c>
      <c r="S23" s="345">
        <f t="shared" si="4"/>
        <v>-0.18072953374153666</v>
      </c>
      <c r="T23" s="345">
        <v>1.5465766816939925</v>
      </c>
      <c r="U23" s="345">
        <f t="shared" si="5"/>
        <v>1.3658471479524559</v>
      </c>
      <c r="V23" s="346">
        <f t="shared" si="6"/>
        <v>1.8426493993221715E-2</v>
      </c>
      <c r="X23" s="10" t="str">
        <f>name!B20</f>
        <v>Support services</v>
      </c>
      <c r="Y23" s="11">
        <v>41.575000000000088</v>
      </c>
      <c r="Z23" s="11">
        <v>47.441999999999965</v>
      </c>
      <c r="AA23" s="345">
        <f t="shared" si="7"/>
        <v>5.8669999999998765</v>
      </c>
      <c r="AB23" s="11">
        <v>20.85853148883967</v>
      </c>
      <c r="AC23" s="345">
        <f t="shared" si="8"/>
        <v>26.725531488839547</v>
      </c>
      <c r="AD23" s="348">
        <f t="shared" si="9"/>
        <v>2.7477632167684396E-2</v>
      </c>
    </row>
    <row r="24" spans="1:30" x14ac:dyDescent="0.2">
      <c r="A24" s="10" t="str">
        <f>name!D21</f>
        <v>61 Caring personal service occupations</v>
      </c>
      <c r="B24" s="11">
        <f t="shared" si="10"/>
        <v>43.296978489565781</v>
      </c>
      <c r="C24" s="11">
        <f t="shared" si="10"/>
        <v>47.910340026917353</v>
      </c>
      <c r="D24" s="11">
        <f t="shared" si="10"/>
        <v>4.6133615373515688</v>
      </c>
      <c r="E24" s="11">
        <f t="shared" si="10"/>
        <v>25.306618669954389</v>
      </c>
      <c r="F24" s="11">
        <f t="shared" si="10"/>
        <v>29.919980207305958</v>
      </c>
      <c r="G24" s="200">
        <f t="shared" si="3"/>
        <v>3.1159751585862372E-2</v>
      </c>
      <c r="H24" s="11"/>
      <c r="I24" s="11" t="str">
        <f t="shared" si="11"/>
        <v>Caring, leisure and other service occupations</v>
      </c>
      <c r="J24" s="11">
        <v>3.9716857891510388E-2</v>
      </c>
      <c r="K24" s="11">
        <v>8.2955237114848757E-2</v>
      </c>
      <c r="L24" s="11">
        <v>4.3238379223338369E-2</v>
      </c>
      <c r="M24" s="11">
        <v>3.1454170743536569E-2</v>
      </c>
      <c r="N24" s="11">
        <v>7.4692549966874938E-2</v>
      </c>
      <c r="O24" s="11"/>
      <c r="P24" s="10" t="str">
        <f>name!D21</f>
        <v>61 Caring personal service occupations</v>
      </c>
      <c r="Q24" s="11">
        <v>6.6870266980287862</v>
      </c>
      <c r="R24" s="11">
        <v>9.2649180234048014</v>
      </c>
      <c r="S24" s="345">
        <f t="shared" si="4"/>
        <v>2.5778913253760152</v>
      </c>
      <c r="T24" s="345">
        <v>3.595070545192784</v>
      </c>
      <c r="U24" s="345">
        <f t="shared" si="5"/>
        <v>6.1729618705687992</v>
      </c>
      <c r="V24" s="346">
        <f t="shared" si="6"/>
        <v>2.9097626741461102E-2</v>
      </c>
      <c r="X24" s="10" t="str">
        <f>name!B21</f>
        <v>Public admin. and defence</v>
      </c>
      <c r="Y24" s="11">
        <v>18.051000000000062</v>
      </c>
      <c r="Z24" s="11">
        <v>19.091000000000012</v>
      </c>
      <c r="AA24" s="345">
        <f t="shared" si="7"/>
        <v>1.0399999999999494</v>
      </c>
      <c r="AB24" s="11">
        <v>8.9098636143475787</v>
      </c>
      <c r="AC24" s="345">
        <f t="shared" si="8"/>
        <v>9.9498636143475281</v>
      </c>
      <c r="AD24" s="348">
        <f t="shared" si="9"/>
        <v>2.710655811972873E-2</v>
      </c>
    </row>
    <row r="25" spans="1:30" x14ac:dyDescent="0.2">
      <c r="A25" s="10" t="str">
        <f>name!D22</f>
        <v>62 Leisure, travel and related personal service occupations</v>
      </c>
      <c r="B25" s="11">
        <f t="shared" si="10"/>
        <v>12.99495168881591</v>
      </c>
      <c r="C25" s="11">
        <f t="shared" si="10"/>
        <v>12.043011311322829</v>
      </c>
      <c r="D25" s="11">
        <f t="shared" si="10"/>
        <v>-0.95194037749308236</v>
      </c>
      <c r="E25" s="11">
        <f t="shared" si="10"/>
        <v>6.0791402132550028</v>
      </c>
      <c r="F25" s="11">
        <f t="shared" si="10"/>
        <v>5.1271998357619211</v>
      </c>
      <c r="G25" s="200">
        <f t="shared" si="3"/>
        <v>2.5914764670686985E-2</v>
      </c>
      <c r="H25" s="11"/>
      <c r="I25" s="11" t="str">
        <f t="shared" si="11"/>
        <v>Sales and customer service occupations</v>
      </c>
      <c r="J25" s="11">
        <v>8.1196473107556122E-2</v>
      </c>
      <c r="K25" s="11">
        <v>0.14086856932927222</v>
      </c>
      <c r="L25" s="11">
        <v>5.9672096221716091E-2</v>
      </c>
      <c r="M25" s="11">
        <v>4.7736926761498578E-2</v>
      </c>
      <c r="N25" s="11">
        <v>0.10740902298321467</v>
      </c>
      <c r="O25" s="11"/>
      <c r="P25" s="10" t="str">
        <f>name!D22</f>
        <v>62 Leisure, travel and related personal service occupations</v>
      </c>
      <c r="Q25" s="11">
        <v>3.655094171303936</v>
      </c>
      <c r="R25" s="11">
        <v>3.6815035279549813</v>
      </c>
      <c r="S25" s="345">
        <f t="shared" si="4"/>
        <v>2.6409356651045268E-2</v>
      </c>
      <c r="T25" s="345">
        <v>1.5082497133370645</v>
      </c>
      <c r="U25" s="345">
        <f t="shared" si="5"/>
        <v>1.5346590699881097</v>
      </c>
      <c r="V25" s="346">
        <f t="shared" si="6"/>
        <v>2.3298094253868751E-2</v>
      </c>
      <c r="X25" s="10" t="str">
        <f>name!B22</f>
        <v>Education</v>
      </c>
      <c r="Y25" s="11">
        <v>43.085000000000015</v>
      </c>
      <c r="Z25" s="11">
        <v>42.527000000000065</v>
      </c>
      <c r="AA25" s="345">
        <f t="shared" si="7"/>
        <v>-0.55799999999995009</v>
      </c>
      <c r="AB25" s="11">
        <v>22.001408675421096</v>
      </c>
      <c r="AC25" s="345">
        <f t="shared" si="8"/>
        <v>21.443408675421146</v>
      </c>
      <c r="AD25" s="348">
        <f t="shared" si="9"/>
        <v>2.7884413869529778E-2</v>
      </c>
    </row>
    <row r="26" spans="1:30" x14ac:dyDescent="0.2">
      <c r="A26" s="10" t="str">
        <f>name!D23</f>
        <v>63 Community and civil enforcement occupations</v>
      </c>
      <c r="B26" s="11">
        <f t="shared" si="10"/>
        <v>0.55456784230697687</v>
      </c>
      <c r="C26" s="11">
        <f t="shared" si="10"/>
        <v>0.47429487873987591</v>
      </c>
      <c r="D26" s="11">
        <f t="shared" si="10"/>
        <v>-8.0272963567100855E-2</v>
      </c>
      <c r="E26" s="11">
        <f t="shared" si="10"/>
        <v>0.20426730016438877</v>
      </c>
      <c r="F26" s="11">
        <f t="shared" si="10"/>
        <v>0.12399433659728791</v>
      </c>
      <c r="G26" s="200">
        <f t="shared" si="3"/>
        <v>2.1126429037435557E-2</v>
      </c>
      <c r="H26" s="11"/>
      <c r="I26" s="11" t="str">
        <f t="shared" si="11"/>
        <v>Process, plant and machine operatives</v>
      </c>
      <c r="J26" s="11">
        <v>6.5303832701549658E-2</v>
      </c>
      <c r="K26" s="11">
        <v>0.15963821852097695</v>
      </c>
      <c r="L26" s="11">
        <v>9.4334385819427297E-2</v>
      </c>
      <c r="M26" s="11">
        <v>6.2718723073538929E-2</v>
      </c>
      <c r="N26" s="11">
        <v>0.15705310889296623</v>
      </c>
      <c r="O26" s="11"/>
      <c r="P26" s="10" t="str">
        <f>name!D23</f>
        <v>63 Community and civil enforcement occupations</v>
      </c>
      <c r="Q26" s="11">
        <v>0.44936692571558245</v>
      </c>
      <c r="R26" s="11">
        <v>0.33729274031012874</v>
      </c>
      <c r="S26" s="345">
        <f t="shared" si="4"/>
        <v>-0.11207418540545372</v>
      </c>
      <c r="T26" s="345">
        <v>0.12482425449332375</v>
      </c>
      <c r="U26" s="345">
        <f t="shared" si="5"/>
        <v>1.2750069087870033E-2</v>
      </c>
      <c r="V26" s="346">
        <f t="shared" si="6"/>
        <v>1.6475762567022878E-2</v>
      </c>
      <c r="X26" s="10" t="str">
        <f>name!B23</f>
        <v>Health and social work</v>
      </c>
      <c r="Y26" s="11">
        <v>65.410000000000139</v>
      </c>
      <c r="Z26" s="11">
        <v>73.017000000000039</v>
      </c>
      <c r="AA26" s="345">
        <f t="shared" si="7"/>
        <v>7.6069999999998998</v>
      </c>
      <c r="AB26" s="11">
        <v>38.349700542999344</v>
      </c>
      <c r="AC26" s="345">
        <f t="shared" si="8"/>
        <v>45.956700542999243</v>
      </c>
      <c r="AD26" s="348">
        <f t="shared" si="9"/>
        <v>3.1238149078891997E-2</v>
      </c>
    </row>
    <row r="27" spans="1:30" x14ac:dyDescent="0.2">
      <c r="A27" s="10" t="str">
        <f>name!D24</f>
        <v>71 Sales occupations</v>
      </c>
      <c r="B27" s="11">
        <f t="shared" ref="B27:F33" si="12">SUM(B56,B85,B114,B143,B172,B201,B230,B259,B288)</f>
        <v>34.754105944221834</v>
      </c>
      <c r="C27" s="11">
        <f t="shared" si="12"/>
        <v>32.736083057927395</v>
      </c>
      <c r="D27" s="11">
        <f t="shared" si="12"/>
        <v>-2.0180228862944398</v>
      </c>
      <c r="E27" s="11">
        <f t="shared" si="12"/>
        <v>15.731435028281455</v>
      </c>
      <c r="F27" s="11">
        <f t="shared" si="12"/>
        <v>13.713412141987016</v>
      </c>
      <c r="G27" s="200">
        <f t="shared" si="3"/>
        <v>2.5205025104798162E-2</v>
      </c>
      <c r="H27" s="11"/>
      <c r="I27" s="11" t="str">
        <f t="shared" si="11"/>
        <v>Elementary occupations</v>
      </c>
      <c r="J27" s="11">
        <v>3.0691656786916426E-2</v>
      </c>
      <c r="K27" s="11">
        <v>5.4969678852545507E-2</v>
      </c>
      <c r="L27" s="11">
        <v>2.4278022065629085E-2</v>
      </c>
      <c r="M27" s="11">
        <v>2.1910218719789758E-2</v>
      </c>
      <c r="N27" s="11">
        <v>4.618824078541884E-2</v>
      </c>
      <c r="O27" s="11"/>
      <c r="P27" s="10" t="str">
        <f>name!D24</f>
        <v>71 Sales occupations</v>
      </c>
      <c r="Q27" s="11">
        <v>13.252018050824308</v>
      </c>
      <c r="R27" s="11">
        <v>12.752165595877164</v>
      </c>
      <c r="S27" s="345">
        <f t="shared" si="4"/>
        <v>-0.4998524549471437</v>
      </c>
      <c r="T27" s="345">
        <v>4.2456480985415856</v>
      </c>
      <c r="U27" s="345">
        <f t="shared" si="5"/>
        <v>3.7457956435944419</v>
      </c>
      <c r="V27" s="346">
        <f t="shared" si="6"/>
        <v>1.8700549648340115E-2</v>
      </c>
      <c r="X27" s="10" t="str">
        <f>name!B24</f>
        <v>Arts and entertainment</v>
      </c>
      <c r="Y27" s="11">
        <v>11.482000000000003</v>
      </c>
      <c r="Z27" s="11">
        <v>10.762999999999987</v>
      </c>
      <c r="AA27" s="345">
        <f t="shared" si="7"/>
        <v>-0.7190000000000154</v>
      </c>
      <c r="AB27" s="11">
        <v>5.242074562866101</v>
      </c>
      <c r="AC27" s="345">
        <f t="shared" si="8"/>
        <v>4.5230745628660856</v>
      </c>
      <c r="AD27" s="348">
        <f t="shared" si="9"/>
        <v>2.5388172056107994E-2</v>
      </c>
    </row>
    <row r="28" spans="1:30" x14ac:dyDescent="0.2">
      <c r="A28" s="10" t="str">
        <f>name!D25</f>
        <v>72 Customer service occupations</v>
      </c>
      <c r="B28" s="11">
        <f t="shared" si="12"/>
        <v>8.073367896583072</v>
      </c>
      <c r="C28" s="11">
        <f t="shared" si="12"/>
        <v>9.7854150814605525</v>
      </c>
      <c r="D28" s="11">
        <f t="shared" si="12"/>
        <v>1.7120471848774816</v>
      </c>
      <c r="E28" s="11">
        <f t="shared" si="12"/>
        <v>4.2335772247957841</v>
      </c>
      <c r="F28" s="11">
        <f t="shared" si="12"/>
        <v>5.9456244096732656</v>
      </c>
      <c r="G28" s="200">
        <f t="shared" si="3"/>
        <v>2.850490696932817E-2</v>
      </c>
      <c r="H28" s="11"/>
      <c r="O28" s="11"/>
      <c r="P28" s="10" t="str">
        <f>name!D25</f>
        <v>72 Customer service occupations</v>
      </c>
      <c r="Q28" s="11">
        <v>2.6838839080978922</v>
      </c>
      <c r="R28" s="11">
        <v>3.765836186236633</v>
      </c>
      <c r="S28" s="345">
        <f t="shared" si="4"/>
        <v>1.0819522781387407</v>
      </c>
      <c r="T28" s="345">
        <v>1.1392105520118565</v>
      </c>
      <c r="U28" s="345">
        <f t="shared" si="5"/>
        <v>2.2211628301505972</v>
      </c>
      <c r="V28" s="346">
        <f t="shared" si="6"/>
        <v>2.3866704265275818E-2</v>
      </c>
      <c r="X28" s="10" t="str">
        <f>name!B25</f>
        <v>Other services</v>
      </c>
      <c r="Y28" s="11">
        <v>16.147999999999978</v>
      </c>
      <c r="Z28" s="11">
        <v>14.535000000000004</v>
      </c>
      <c r="AA28" s="345">
        <f t="shared" si="7"/>
        <v>-1.6129999999999747</v>
      </c>
      <c r="AB28" s="11">
        <v>7.3417981302785682</v>
      </c>
      <c r="AC28" s="345">
        <f t="shared" si="8"/>
        <v>5.7287981302785935</v>
      </c>
      <c r="AD28" s="348">
        <f t="shared" si="9"/>
        <v>2.5299399268478018E-2</v>
      </c>
    </row>
    <row r="29" spans="1:30" x14ac:dyDescent="0.2">
      <c r="A29" s="10" t="str">
        <f>name!D26</f>
        <v>81 Process, plant and machine operatives</v>
      </c>
      <c r="B29" s="11">
        <f t="shared" si="12"/>
        <v>20.118734262019583</v>
      </c>
      <c r="C29" s="11">
        <f t="shared" si="12"/>
        <v>18.988078793912347</v>
      </c>
      <c r="D29" s="11">
        <f t="shared" si="12"/>
        <v>-1.1306554681072376</v>
      </c>
      <c r="E29" s="11">
        <f t="shared" si="12"/>
        <v>7.9565083779560712</v>
      </c>
      <c r="F29" s="11">
        <f t="shared" si="12"/>
        <v>6.8258529098488347</v>
      </c>
      <c r="G29" s="200">
        <f t="shared" si="3"/>
        <v>2.246438867100653E-2</v>
      </c>
      <c r="H29" s="11"/>
      <c r="I29" s="87" t="str">
        <f>name!F5</f>
        <v>RQF7 Other higher degree</v>
      </c>
      <c r="J29" s="11"/>
      <c r="K29" s="11"/>
      <c r="L29" s="11"/>
      <c r="M29" s="11"/>
      <c r="N29" s="11"/>
      <c r="O29" s="11"/>
      <c r="P29" s="10" t="str">
        <f>name!D26</f>
        <v>81 Process, plant and machine operatives</v>
      </c>
      <c r="Q29" s="11">
        <v>15.042263098101182</v>
      </c>
      <c r="R29" s="11">
        <v>12.983534455494516</v>
      </c>
      <c r="S29" s="345">
        <f t="shared" si="4"/>
        <v>-2.0587286426066669</v>
      </c>
      <c r="T29" s="345">
        <v>5.1800592347652632</v>
      </c>
      <c r="U29" s="345">
        <f t="shared" si="5"/>
        <v>3.1213305921585963</v>
      </c>
      <c r="V29" s="346">
        <f t="shared" si="6"/>
        <v>1.9924106096618432E-2</v>
      </c>
      <c r="X29" s="231" t="str">
        <f>name!B3</f>
        <v>All industries</v>
      </c>
      <c r="Y29" s="34">
        <f>SUM(Y7:Y28)</f>
        <v>514.84500000000071</v>
      </c>
      <c r="Z29" s="34">
        <f>SUM(Z7:Z28)</f>
        <v>532.91199999999981</v>
      </c>
      <c r="AA29" s="349">
        <f t="shared" si="7"/>
        <v>18.066999999999098</v>
      </c>
      <c r="AB29" s="34">
        <f>SUM(AB7:AB28)</f>
        <v>249.53735102495102</v>
      </c>
      <c r="AC29" s="349">
        <f t="shared" si="8"/>
        <v>267.60435102495012</v>
      </c>
      <c r="AD29" s="350">
        <f t="shared" si="9"/>
        <v>2.6696961595657376E-2</v>
      </c>
    </row>
    <row r="30" spans="1:30" x14ac:dyDescent="0.2">
      <c r="A30" s="10" t="str">
        <f>name!D27</f>
        <v>82 Transport and mobile machine drivers and operatives</v>
      </c>
      <c r="B30" s="11">
        <f t="shared" si="12"/>
        <v>21.4103345012409</v>
      </c>
      <c r="C30" s="11">
        <f t="shared" si="12"/>
        <v>20.272443314691589</v>
      </c>
      <c r="D30" s="11">
        <f t="shared" si="12"/>
        <v>-1.1378911865493082</v>
      </c>
      <c r="E30" s="11">
        <f t="shared" si="12"/>
        <v>10.987699864719271</v>
      </c>
      <c r="F30" s="11">
        <f t="shared" si="12"/>
        <v>9.8498086781699623</v>
      </c>
      <c r="G30" s="200">
        <f t="shared" si="3"/>
        <v>2.7999761618350716E-2</v>
      </c>
      <c r="H30" s="11"/>
      <c r="I30" s="11" t="str">
        <f>I19</f>
        <v>Managers, directors and senior officials</v>
      </c>
      <c r="J30" s="11">
        <f t="array" ref="J30:J38">MMULT(aggregation!$B$13:$AA$21,B65:B90)</f>
        <v>5.1730742563160774</v>
      </c>
      <c r="K30" s="11">
        <f t="array" ref="K30:K38">MMULT(aggregation!$B$13:$AA$21,C65:C90)</f>
        <v>7.6590339326623447</v>
      </c>
      <c r="L30" s="11">
        <f t="array" ref="L30:L38">MMULT(aggregation!$B$13:$AA$21,D65:D90)</f>
        <v>2.4859596763462681</v>
      </c>
      <c r="M30" s="11">
        <f t="array" ref="M30:M38">MMULT(aggregation!$B$13:$AA$21,E65:E90)</f>
        <v>3.2529087372141099</v>
      </c>
      <c r="N30" s="11">
        <f t="array" ref="N30:N38">MMULT(aggregation!$B$13:$AA$21,F65:F90)</f>
        <v>5.7388684135603771</v>
      </c>
      <c r="O30" s="11"/>
      <c r="P30" s="10" t="str">
        <f>name!D27</f>
        <v>82 Transport and mobile machine drivers and operatives</v>
      </c>
      <c r="Q30" s="11">
        <v>20.36301015732084</v>
      </c>
      <c r="R30" s="11">
        <v>18.868271768730629</v>
      </c>
      <c r="S30" s="345">
        <f t="shared" si="4"/>
        <v>-1.4947383885902106</v>
      </c>
      <c r="T30" s="345">
        <v>10.185211407278395</v>
      </c>
      <c r="U30" s="345">
        <f t="shared" si="5"/>
        <v>8.6904730186881842</v>
      </c>
      <c r="V30" s="346">
        <f t="shared" si="6"/>
        <v>2.7407969699565049E-2</v>
      </c>
      <c r="X30" s="10"/>
      <c r="Y30" s="10"/>
      <c r="Z30" s="10"/>
      <c r="AA30" s="345"/>
      <c r="AB30" s="10"/>
      <c r="AC30" s="345"/>
      <c r="AD30" s="348"/>
    </row>
    <row r="31" spans="1:30" x14ac:dyDescent="0.2">
      <c r="A31" s="10" t="str">
        <f>name!D28</f>
        <v>91 Elementary trades and related occupations</v>
      </c>
      <c r="B31" s="11">
        <f t="shared" si="12"/>
        <v>10.615622461459582</v>
      </c>
      <c r="C31" s="11">
        <f t="shared" si="12"/>
        <v>19.321313381155701</v>
      </c>
      <c r="D31" s="11">
        <f t="shared" si="12"/>
        <v>8.7056909196961207</v>
      </c>
      <c r="E31" s="11">
        <f t="shared" si="12"/>
        <v>8.4273570771854089</v>
      </c>
      <c r="F31" s="11">
        <f t="shared" si="12"/>
        <v>17.13304799688153</v>
      </c>
      <c r="G31" s="200">
        <f t="shared" si="3"/>
        <v>3.9726937051337563E-2</v>
      </c>
      <c r="H31" s="11"/>
      <c r="I31" s="11" t="str">
        <f>I20</f>
        <v>Professional occupations</v>
      </c>
      <c r="J31" s="11">
        <v>23.307520403243537</v>
      </c>
      <c r="K31" s="11">
        <v>33.891190640915667</v>
      </c>
      <c r="L31" s="11">
        <v>10.583670237672134</v>
      </c>
      <c r="M31" s="11">
        <v>13.076434914960753</v>
      </c>
      <c r="N31" s="11">
        <v>23.660105152632887</v>
      </c>
      <c r="O31" s="11"/>
      <c r="P31" s="10" t="str">
        <f>name!D28</f>
        <v>91 Elementary trades and related occupations</v>
      </c>
      <c r="Q31" s="11">
        <v>8.0312358200201466</v>
      </c>
      <c r="R31" s="11">
        <v>11.060397223068998</v>
      </c>
      <c r="S31" s="345">
        <f t="shared" si="4"/>
        <v>3.0291614030488514</v>
      </c>
      <c r="T31" s="345">
        <v>3.5532943217611255</v>
      </c>
      <c r="U31" s="345">
        <f t="shared" si="5"/>
        <v>6.5824557248099769</v>
      </c>
      <c r="V31" s="346">
        <f t="shared" si="6"/>
        <v>2.4722808760927251E-2</v>
      </c>
      <c r="X31" s="10"/>
      <c r="Y31" s="10"/>
      <c r="Z31" s="10"/>
      <c r="AA31" s="345"/>
      <c r="AB31" s="10"/>
      <c r="AC31" s="345"/>
      <c r="AD31" s="348"/>
    </row>
    <row r="32" spans="1:30" x14ac:dyDescent="0.2">
      <c r="A32" s="10" t="str">
        <f>name!D29</f>
        <v>92 Elementary administration and service occupations</v>
      </c>
      <c r="B32" s="11">
        <f t="shared" si="12"/>
        <v>46.242366957986789</v>
      </c>
      <c r="C32" s="11">
        <f t="shared" si="12"/>
        <v>36.956370575801756</v>
      </c>
      <c r="D32" s="11">
        <f t="shared" si="12"/>
        <v>-9.2859963821850293</v>
      </c>
      <c r="E32" s="11">
        <f t="shared" si="12"/>
        <v>18.600966478055962</v>
      </c>
      <c r="F32" s="11">
        <f t="shared" si="12"/>
        <v>9.3149700958709296</v>
      </c>
      <c r="G32" s="200">
        <f t="shared" ref="G32" si="13">IF(B32&gt;0,(1+(E32/B32))^(1/($C$6-$B$6))-1,0)</f>
        <v>2.2794424228522514E-2</v>
      </c>
      <c r="H32" s="11"/>
      <c r="I32" s="11" t="str">
        <f>I21</f>
        <v>Associate professional occupations</v>
      </c>
      <c r="J32" s="11">
        <v>6.4225370568350879</v>
      </c>
      <c r="K32" s="11">
        <v>10.851793937406139</v>
      </c>
      <c r="L32" s="11">
        <v>4.4292568805710504</v>
      </c>
      <c r="M32" s="11">
        <v>4.0143676094160528</v>
      </c>
      <c r="N32" s="11">
        <v>8.4436244899871031</v>
      </c>
      <c r="O32" s="11"/>
      <c r="P32" s="10" t="str">
        <f>name!D29</f>
        <v>92 Elementary administration and service occupations</v>
      </c>
      <c r="Q32" s="11">
        <v>23.239379638015816</v>
      </c>
      <c r="R32" s="11">
        <v>20.469975902688379</v>
      </c>
      <c r="S32" s="345">
        <f t="shared" ref="S32" si="14">R32-Q32</f>
        <v>-2.7694037353274368</v>
      </c>
      <c r="T32" s="345">
        <v>8.5792603703408297</v>
      </c>
      <c r="U32" s="345">
        <f>SUM(S32:T32)</f>
        <v>5.8098566350133929</v>
      </c>
      <c r="V32" s="346">
        <f t="shared" ref="V32" si="15">IF(Q32&gt;0,(1+(T32/Q32))^(1/($C$6-$B$6))-1,0)</f>
        <v>2.1167863216122962E-2</v>
      </c>
      <c r="X32" s="10"/>
      <c r="Y32" s="10"/>
      <c r="Z32" s="10"/>
      <c r="AA32" s="345"/>
      <c r="AB32" s="10"/>
      <c r="AC32" s="345"/>
      <c r="AD32" s="348"/>
    </row>
    <row r="33" spans="1:30" x14ac:dyDescent="0.2">
      <c r="A33" t="str">
        <f>name!D3</f>
        <v>All occupations</v>
      </c>
      <c r="B33" s="11">
        <f t="shared" si="12"/>
        <v>514.84500000000025</v>
      </c>
      <c r="C33" s="11">
        <f>SUM(C62,C91,C120,C149,C178,C207,C236,C265,C294)</f>
        <v>532.91200000000003</v>
      </c>
      <c r="D33" s="11">
        <f t="shared" si="12"/>
        <v>18.066999999999972</v>
      </c>
      <c r="E33" s="11">
        <f t="shared" si="12"/>
        <v>249.53735102495105</v>
      </c>
      <c r="F33" s="11">
        <f t="shared" si="12"/>
        <v>267.60435102495097</v>
      </c>
      <c r="G33" s="200">
        <f t="shared" si="3"/>
        <v>2.6696961595657376E-2</v>
      </c>
      <c r="H33" s="11"/>
      <c r="I33" s="11" t="str">
        <f>I22</f>
        <v>Administrative and secretarial occupations</v>
      </c>
      <c r="J33" s="11">
        <v>2.7185726325887312</v>
      </c>
      <c r="K33" s="11">
        <v>4.9998252396215701</v>
      </c>
      <c r="L33" s="11">
        <v>2.2812526070328385</v>
      </c>
      <c r="M33" s="11">
        <v>1.9512376866600649</v>
      </c>
      <c r="N33" s="11">
        <v>4.2324902936929032</v>
      </c>
      <c r="O33" s="11"/>
      <c r="P33" s="10" t="str">
        <f>name!D3</f>
        <v>All occupations</v>
      </c>
      <c r="Q33" s="11">
        <f>SUM(Q7:Q32)</f>
        <v>269.48054808351867</v>
      </c>
      <c r="R33" s="11">
        <f>SUM(R7:R32)</f>
        <v>274.87712575994351</v>
      </c>
      <c r="S33" s="345">
        <f>R33-Q33</f>
        <v>5.3965776764248403</v>
      </c>
      <c r="T33" s="11">
        <f>SUM(T7:T32)</f>
        <v>108.316453675612</v>
      </c>
      <c r="U33" s="345">
        <f>SUM(S33:T33)</f>
        <v>113.71303135203684</v>
      </c>
      <c r="V33" s="346">
        <f t="shared" si="6"/>
        <v>2.2779635744216709E-2</v>
      </c>
      <c r="X33" s="10"/>
      <c r="Y33" s="10"/>
      <c r="Z33" s="10"/>
      <c r="AA33" s="345"/>
      <c r="AB33" s="10"/>
      <c r="AC33" s="345"/>
      <c r="AD33" s="348"/>
    </row>
    <row r="34" spans="1:30" ht="30" customHeight="1" x14ac:dyDescent="0.2">
      <c r="B34" s="11"/>
      <c r="C34" s="11"/>
      <c r="D34" s="11"/>
      <c r="E34" s="11"/>
      <c r="F34" s="11"/>
      <c r="G34" s="11"/>
      <c r="H34" s="11"/>
      <c r="I34" s="11" t="str">
        <f>I23</f>
        <v>Skilled trades occupations</v>
      </c>
      <c r="J34" s="11">
        <v>0.77581472078518643</v>
      </c>
      <c r="K34" s="11">
        <v>1.404777846742056</v>
      </c>
      <c r="L34" s="11">
        <v>0.62896312595686954</v>
      </c>
      <c r="M34" s="11">
        <v>0.52688612263960199</v>
      </c>
      <c r="N34" s="11">
        <v>1.1558492485964713</v>
      </c>
      <c r="O34" s="11"/>
      <c r="P34" s="24"/>
      <c r="Q34" s="34"/>
      <c r="R34" s="34"/>
      <c r="S34" s="34"/>
      <c r="T34" s="34"/>
      <c r="U34" s="34"/>
      <c r="V34" s="34"/>
      <c r="X34" s="10"/>
      <c r="Y34" s="10"/>
      <c r="Z34" s="10"/>
      <c r="AA34" s="345"/>
      <c r="AB34" s="10"/>
      <c r="AC34" s="345"/>
      <c r="AD34" s="348"/>
    </row>
    <row r="35" spans="1:30" ht="38.25" x14ac:dyDescent="0.2">
      <c r="A35" s="201" t="str">
        <f>CONCATENATE(name!F4," (Constrained)")</f>
        <v>RQF8 Doctorate (Constrained)</v>
      </c>
      <c r="B35" s="88">
        <f t="shared" ref="B35:G35" si="16">B6</f>
        <v>2020</v>
      </c>
      <c r="C35" s="88">
        <f t="shared" si="16"/>
        <v>2035</v>
      </c>
      <c r="D35" s="88" t="str">
        <f t="shared" si="16"/>
        <v>Net Change</v>
      </c>
      <c r="E35" s="88" t="str">
        <f t="shared" si="16"/>
        <v>Replacement Demand level</v>
      </c>
      <c r="F35" s="88" t="str">
        <f t="shared" si="16"/>
        <v>Total Requirement</v>
      </c>
      <c r="G35" s="88" t="str">
        <f t="shared" si="16"/>
        <v>Replacement Demand rate</v>
      </c>
      <c r="H35" s="11"/>
      <c r="I35" s="11" t="str">
        <f t="shared" ref="I35:I38" si="17">I24</f>
        <v>Caring, leisure and other service occupations</v>
      </c>
      <c r="J35" s="11">
        <v>1.8536063478630194</v>
      </c>
      <c r="K35" s="11">
        <v>3.5987196586159831</v>
      </c>
      <c r="L35" s="11">
        <v>1.7451133107529637</v>
      </c>
      <c r="M35" s="11">
        <v>1.4583400240909086</v>
      </c>
      <c r="N35" s="11">
        <v>3.2034533348438718</v>
      </c>
      <c r="O35" s="11"/>
      <c r="P35" s="201" t="s">
        <v>105</v>
      </c>
      <c r="Q35" s="344">
        <f t="shared" ref="Q35" si="18">B35</f>
        <v>2020</v>
      </c>
      <c r="R35" s="344">
        <f t="shared" ref="R35" si="19">C35</f>
        <v>2035</v>
      </c>
      <c r="S35" s="344" t="str">
        <f t="shared" ref="S35" si="20">D35</f>
        <v>Net Change</v>
      </c>
      <c r="T35" s="344" t="str">
        <f t="shared" ref="T35" si="21">E35</f>
        <v>Replacement Demand level</v>
      </c>
      <c r="U35" s="344" t="str">
        <f t="shared" ref="U35" si="22">F35</f>
        <v>Total Requirement</v>
      </c>
      <c r="V35" s="344" t="str">
        <f t="shared" ref="V35" si="23">G35</f>
        <v>Replacement Demand rate</v>
      </c>
      <c r="X35" s="10"/>
      <c r="Y35" s="10"/>
      <c r="Z35" s="10"/>
      <c r="AA35" s="345"/>
      <c r="AB35" s="10"/>
      <c r="AC35" s="345"/>
      <c r="AD35" s="348"/>
    </row>
    <row r="36" spans="1:30" ht="12.75" customHeight="1" x14ac:dyDescent="0.2">
      <c r="A36" t="str">
        <f t="shared" ref="A36:A62" si="24">A7</f>
        <v>11 Corporate managers and directors</v>
      </c>
      <c r="B36" s="11">
        <v>0.41713119198612725</v>
      </c>
      <c r="C36" s="11">
        <v>0.60171183168837472</v>
      </c>
      <c r="D36" s="11">
        <f>C36-B36</f>
        <v>0.18458063970224747</v>
      </c>
      <c r="E36" s="11">
        <v>0.25151287376412074</v>
      </c>
      <c r="F36" s="11">
        <f>SUM(D36:E36)</f>
        <v>0.43609351346636821</v>
      </c>
      <c r="G36" s="200">
        <f>IF(B36&gt;0,(1+(E36/B36))^(1/($C$6-$B$6))-1,0)</f>
        <v>3.1956732037902835E-2</v>
      </c>
      <c r="I36" s="11" t="str">
        <f t="shared" si="17"/>
        <v>Sales and customer service occupations</v>
      </c>
      <c r="J36" s="11">
        <v>1.2241494500284467</v>
      </c>
      <c r="K36" s="11">
        <v>2.4075775011475797</v>
      </c>
      <c r="L36" s="11">
        <v>1.1834280511191331</v>
      </c>
      <c r="M36" s="11">
        <v>0.80871457282217929</v>
      </c>
      <c r="N36" s="11">
        <v>1.9921426239413123</v>
      </c>
      <c r="P36" s="10" t="str">
        <f>name!D4</f>
        <v>11 Corporate managers and directors</v>
      </c>
      <c r="Q36" s="11">
        <v>11.535738564818502</v>
      </c>
      <c r="R36" s="11">
        <v>12.972986434202971</v>
      </c>
      <c r="S36" s="345">
        <f>R36-Q36</f>
        <v>1.4372478693844695</v>
      </c>
      <c r="T36" s="345">
        <v>6.9177617031035039</v>
      </c>
      <c r="U36" s="345">
        <f>SUM(S36:T36)</f>
        <v>8.3550095724879725</v>
      </c>
      <c r="V36" s="346">
        <f>IF(Q36&gt;0,(1+(T36/Q36))^(1/($C$6-$B$6))-1,0)</f>
        <v>3.1815917615369838E-2</v>
      </c>
      <c r="X36" s="10"/>
      <c r="Y36" s="10"/>
      <c r="Z36" s="10"/>
      <c r="AA36" s="345"/>
      <c r="AB36" s="10"/>
      <c r="AC36" s="345"/>
      <c r="AD36" s="348"/>
    </row>
    <row r="37" spans="1:30" x14ac:dyDescent="0.2">
      <c r="A37" t="str">
        <f t="shared" si="24"/>
        <v>12 Other managers and proprietors</v>
      </c>
      <c r="B37" s="11">
        <v>0.16496269976498343</v>
      </c>
      <c r="C37" s="11">
        <v>0.29594206198969469</v>
      </c>
      <c r="D37" s="11">
        <f t="shared" ref="D37:D60" si="25">C37-B37</f>
        <v>0.13097936222471127</v>
      </c>
      <c r="E37" s="11">
        <v>0.13069087123807185</v>
      </c>
      <c r="F37" s="11">
        <f t="shared" ref="F37:F60" si="26">SUM(D37:E37)</f>
        <v>0.26167023346278312</v>
      </c>
      <c r="G37" s="200">
        <f t="shared" ref="G37:G62" si="27">IF(B37&gt;0,(1+(E37/B37))^(1/($C$6-$B$6))-1,0)</f>
        <v>3.9664364153948695E-2</v>
      </c>
      <c r="I37" s="11" t="str">
        <f t="shared" si="17"/>
        <v>Process, plant and machine operatives</v>
      </c>
      <c r="J37" s="11">
        <v>0.52963217013622965</v>
      </c>
      <c r="K37" s="11">
        <v>1.3700587797790194</v>
      </c>
      <c r="L37" s="11">
        <v>0.84042660964278981</v>
      </c>
      <c r="M37" s="11">
        <v>0.50477879084504418</v>
      </c>
      <c r="N37" s="11">
        <v>1.345205400487834</v>
      </c>
      <c r="P37" s="10" t="str">
        <f>name!D5</f>
        <v>12 Other managers and proprietors</v>
      </c>
      <c r="Q37" s="11">
        <v>6.3917004969137432</v>
      </c>
      <c r="R37" s="11">
        <v>6.1947310495773653</v>
      </c>
      <c r="S37" s="345">
        <f t="shared" ref="S37:S60" si="28">R37-Q37</f>
        <v>-0.19696944733637789</v>
      </c>
      <c r="T37" s="345">
        <v>3.6687078626451597</v>
      </c>
      <c r="U37" s="345">
        <f t="shared" ref="U37:U60" si="29">SUM(S37:T37)</f>
        <v>3.4717384153087818</v>
      </c>
      <c r="V37" s="346">
        <f t="shared" ref="V37:V62" si="30">IF(Q37&gt;0,(1+(T37/Q37))^(1/($C$6-$B$6))-1,0)</f>
        <v>3.0702381531369616E-2</v>
      </c>
      <c r="X37" s="10"/>
      <c r="Y37" s="10"/>
      <c r="Z37" s="10"/>
      <c r="AA37" s="345"/>
      <c r="AB37" s="10"/>
      <c r="AC37" s="345"/>
      <c r="AD37" s="348"/>
    </row>
    <row r="38" spans="1:30" x14ac:dyDescent="0.2">
      <c r="A38" t="str">
        <f t="shared" si="24"/>
        <v>21 Science, research, engineering and technology professionals</v>
      </c>
      <c r="B38" s="11">
        <v>1.1795527442345379</v>
      </c>
      <c r="C38" s="11">
        <v>2.183568369191434</v>
      </c>
      <c r="D38" s="11">
        <f t="shared" si="25"/>
        <v>1.0040156249568961</v>
      </c>
      <c r="E38" s="11">
        <v>0.65460031449624601</v>
      </c>
      <c r="F38" s="11">
        <f t="shared" si="26"/>
        <v>1.6586159394531421</v>
      </c>
      <c r="G38" s="200">
        <f t="shared" si="27"/>
        <v>2.9867169921911296E-2</v>
      </c>
      <c r="I38" s="11" t="str">
        <f t="shared" si="17"/>
        <v>Elementary occupations</v>
      </c>
      <c r="J38" s="11">
        <v>0.90943731695742336</v>
      </c>
      <c r="K38" s="11">
        <v>1.8106885886112507</v>
      </c>
      <c r="L38" s="11">
        <v>0.90125127165382724</v>
      </c>
      <c r="M38" s="11">
        <v>0.70974836750949999</v>
      </c>
      <c r="N38" s="11">
        <v>1.6109996391633272</v>
      </c>
      <c r="P38" s="10" t="str">
        <f>name!D6</f>
        <v>21 Science, research, engineering and technology professionals</v>
      </c>
      <c r="Q38" s="11">
        <v>5.5927674924724959</v>
      </c>
      <c r="R38" s="11">
        <v>9.2603123516068688</v>
      </c>
      <c r="S38" s="345">
        <f t="shared" si="28"/>
        <v>3.6675448591343729</v>
      </c>
      <c r="T38" s="345">
        <v>3.9981745093831917</v>
      </c>
      <c r="U38" s="345">
        <f t="shared" si="29"/>
        <v>7.6657193685175642</v>
      </c>
      <c r="V38" s="346">
        <f t="shared" si="30"/>
        <v>3.6610571036220785E-2</v>
      </c>
      <c r="X38" s="10"/>
      <c r="Y38" s="10"/>
      <c r="Z38" s="10"/>
      <c r="AA38" s="345"/>
      <c r="AB38" s="10"/>
      <c r="AC38" s="345"/>
      <c r="AD38" s="348"/>
    </row>
    <row r="39" spans="1:30" x14ac:dyDescent="0.2">
      <c r="A39" t="str">
        <f t="shared" si="24"/>
        <v>22 Health professionals</v>
      </c>
      <c r="B39" s="11">
        <v>1.2963197931675607</v>
      </c>
      <c r="C39" s="11">
        <v>2.0284770163845507</v>
      </c>
      <c r="D39" s="11">
        <f t="shared" si="25"/>
        <v>0.73215722321698995</v>
      </c>
      <c r="E39" s="11">
        <v>0.77889464976487655</v>
      </c>
      <c r="F39" s="11">
        <f t="shared" si="26"/>
        <v>1.5110518729818665</v>
      </c>
      <c r="G39" s="200">
        <f t="shared" si="27"/>
        <v>3.1866204161076217E-2</v>
      </c>
      <c r="J39" s="11"/>
      <c r="K39" s="11"/>
      <c r="L39" s="11"/>
      <c r="M39" s="11"/>
      <c r="N39" s="11"/>
      <c r="P39" s="10" t="str">
        <f>name!D7</f>
        <v>22 Health professionals</v>
      </c>
      <c r="Q39" s="11">
        <v>16.196072799477765</v>
      </c>
      <c r="R39" s="11">
        <v>16.999531301906142</v>
      </c>
      <c r="S39" s="345">
        <f t="shared" si="28"/>
        <v>0.80345850242837713</v>
      </c>
      <c r="T39" s="345">
        <v>9.327641473596076</v>
      </c>
      <c r="U39" s="345">
        <f t="shared" si="29"/>
        <v>10.131099976024453</v>
      </c>
      <c r="V39" s="346">
        <f t="shared" si="30"/>
        <v>3.0787025848469485E-2</v>
      </c>
      <c r="X39" s="10"/>
      <c r="Y39" s="10"/>
      <c r="Z39" s="10"/>
      <c r="AA39" s="345"/>
      <c r="AB39" s="10"/>
      <c r="AC39" s="345"/>
      <c r="AD39" s="348"/>
    </row>
    <row r="40" spans="1:30" x14ac:dyDescent="0.2">
      <c r="A40" t="str">
        <f t="shared" si="24"/>
        <v>23 Teaching and other educational professionals</v>
      </c>
      <c r="B40" s="11">
        <v>1.6567646521892918</v>
      </c>
      <c r="C40" s="11">
        <v>1.9800756478399322</v>
      </c>
      <c r="D40" s="11">
        <f>C40-B40</f>
        <v>0.32331099565064036</v>
      </c>
      <c r="E40" s="11">
        <v>0.83807404558787035</v>
      </c>
      <c r="F40" s="11">
        <f>SUM(D40:E40)</f>
        <v>1.1613850412385107</v>
      </c>
      <c r="G40" s="200">
        <f>IF(B40&gt;0,(1+(E40/B40))^(1/($C$6-$B$6))-1,0)</f>
        <v>2.7666288314359466E-2</v>
      </c>
      <c r="I40" s="87" t="str">
        <f>name!F6</f>
        <v>RQF6 First degree</v>
      </c>
      <c r="J40" s="11"/>
      <c r="K40" s="11"/>
      <c r="L40" s="11"/>
      <c r="M40" s="11"/>
      <c r="N40" s="11"/>
      <c r="P40" s="10" t="str">
        <f>name!D8</f>
        <v>23 Teaching and other educational professionals</v>
      </c>
      <c r="Q40" s="11">
        <v>12.245791101003586</v>
      </c>
      <c r="R40" s="11">
        <v>11.345054962377688</v>
      </c>
      <c r="S40" s="345">
        <f t="shared" si="28"/>
        <v>-0.90073613862589852</v>
      </c>
      <c r="T40" s="345">
        <v>5.8875845667718263</v>
      </c>
      <c r="U40" s="345">
        <f t="shared" si="29"/>
        <v>4.9868484281459278</v>
      </c>
      <c r="V40" s="346">
        <f t="shared" si="30"/>
        <v>2.6516940352769858E-2</v>
      </c>
      <c r="X40" s="10"/>
      <c r="Y40" s="10"/>
      <c r="Z40" s="10"/>
      <c r="AA40" s="345"/>
      <c r="AB40" s="10"/>
      <c r="AC40" s="345"/>
      <c r="AD40" s="348"/>
    </row>
    <row r="41" spans="1:30" x14ac:dyDescent="0.2">
      <c r="A41" t="str">
        <f t="shared" si="24"/>
        <v>24 Business, media and public service professionals</v>
      </c>
      <c r="B41" s="11">
        <v>0.45169652958833956</v>
      </c>
      <c r="C41" s="11">
        <v>0.75398451568108682</v>
      </c>
      <c r="D41" s="11">
        <f t="shared" si="25"/>
        <v>0.30228798609274726</v>
      </c>
      <c r="E41" s="11">
        <v>0.29111374332199785</v>
      </c>
      <c r="F41" s="11">
        <f t="shared" si="26"/>
        <v>0.59340172941474512</v>
      </c>
      <c r="G41" s="200">
        <f t="shared" si="27"/>
        <v>3.3717994864816747E-2</v>
      </c>
      <c r="I41" s="11" t="str">
        <f>I30</f>
        <v>Managers, directors and senior officials</v>
      </c>
      <c r="J41" s="11">
        <f t="array" ref="J41:J49">MMULT(aggregation!$B$13:$AA$21,B94:B119)</f>
        <v>13.804752232694046</v>
      </c>
      <c r="K41" s="11">
        <f t="array" ref="K41:K49">MMULT(aggregation!$B$13:$AA$21,C94:C119)</f>
        <v>16.675784565877301</v>
      </c>
      <c r="L41" s="11">
        <f t="array" ref="L41:L49">MMULT(aggregation!$B$13:$AA$21,D94:D119)</f>
        <v>2.8710323331832566</v>
      </c>
      <c r="M41" s="11">
        <f t="array" ref="M41:M49">MMULT(aggregation!$B$13:$AA$21,E94:E119)</f>
        <v>8.5767449781902059</v>
      </c>
      <c r="N41" s="11">
        <f t="array" ref="N41:N49">MMULT(aggregation!$B$13:$AA$21,F94:F119)</f>
        <v>11.447777311373461</v>
      </c>
      <c r="P41" s="10" t="str">
        <f>name!D9</f>
        <v>24 Business, media and public service professionals</v>
      </c>
      <c r="Q41" s="11">
        <v>14.461619339520748</v>
      </c>
      <c r="R41" s="11">
        <v>17.108688849924906</v>
      </c>
      <c r="S41" s="345">
        <f t="shared" si="28"/>
        <v>2.6470695104041582</v>
      </c>
      <c r="T41" s="345">
        <v>8.4347138927833765</v>
      </c>
      <c r="U41" s="345">
        <f t="shared" si="29"/>
        <v>11.081783403187535</v>
      </c>
      <c r="V41" s="346">
        <f t="shared" si="30"/>
        <v>3.1105889369508644E-2</v>
      </c>
      <c r="X41" s="10"/>
      <c r="Y41" s="10"/>
      <c r="Z41" s="10"/>
      <c r="AA41" s="345"/>
      <c r="AB41" s="10"/>
      <c r="AC41" s="345"/>
      <c r="AD41" s="348"/>
    </row>
    <row r="42" spans="1:30" x14ac:dyDescent="0.2">
      <c r="A42" t="str">
        <f t="shared" si="24"/>
        <v>31 Science, engineering and technology associate professionals</v>
      </c>
      <c r="B42" s="11">
        <v>0.15169734629050111</v>
      </c>
      <c r="C42" s="11">
        <v>0.25993190085150147</v>
      </c>
      <c r="D42" s="11">
        <f t="shared" si="25"/>
        <v>0.10823455456100037</v>
      </c>
      <c r="E42" s="11">
        <v>8.8696381809275887E-2</v>
      </c>
      <c r="F42" s="11">
        <f t="shared" si="26"/>
        <v>0.19693093637027625</v>
      </c>
      <c r="G42" s="200">
        <f t="shared" si="27"/>
        <v>3.1168592201256784E-2</v>
      </c>
      <c r="I42" s="11" t="str">
        <f>I31</f>
        <v>Professional occupations</v>
      </c>
      <c r="J42" s="11">
        <v>33.698443063140019</v>
      </c>
      <c r="K42" s="11">
        <v>38.493508760764847</v>
      </c>
      <c r="L42" s="11">
        <v>4.7950656976248318</v>
      </c>
      <c r="M42" s="11">
        <v>18.234860846796195</v>
      </c>
      <c r="N42" s="11">
        <v>23.029926544421027</v>
      </c>
      <c r="P42" s="10" t="str">
        <f>name!D10</f>
        <v>31 Science, engineering and technology associate professionals</v>
      </c>
      <c r="Q42" s="11">
        <v>2.6035661321738717</v>
      </c>
      <c r="R42" s="11">
        <v>3.2235085611986385</v>
      </c>
      <c r="S42" s="345">
        <f t="shared" si="28"/>
        <v>0.61994242902476682</v>
      </c>
      <c r="T42" s="345">
        <v>1.4332184505432266</v>
      </c>
      <c r="U42" s="345">
        <f t="shared" si="29"/>
        <v>2.0531608795679936</v>
      </c>
      <c r="V42" s="346">
        <f t="shared" si="30"/>
        <v>2.9669378546749225E-2</v>
      </c>
      <c r="X42" s="10"/>
      <c r="Y42" s="10"/>
      <c r="Z42" s="10"/>
      <c r="AA42" s="345"/>
      <c r="AB42" s="10"/>
      <c r="AC42" s="345"/>
      <c r="AD42" s="348"/>
    </row>
    <row r="43" spans="1:30" x14ac:dyDescent="0.2">
      <c r="A43" t="str">
        <f t="shared" si="24"/>
        <v>32 Health and social care associate professionals</v>
      </c>
      <c r="B43" s="11">
        <v>3.9544385488059573E-2</v>
      </c>
      <c r="C43" s="11">
        <v>0.11591058716893121</v>
      </c>
      <c r="D43" s="11">
        <f t="shared" si="25"/>
        <v>7.6366201680871632E-2</v>
      </c>
      <c r="E43" s="11">
        <v>4.5970239859717647E-2</v>
      </c>
      <c r="F43" s="11">
        <f t="shared" si="26"/>
        <v>0.12233644154058929</v>
      </c>
      <c r="G43" s="200">
        <f t="shared" si="27"/>
        <v>5.2762413597636781E-2</v>
      </c>
      <c r="I43" s="11" t="str">
        <f>I32</f>
        <v>Associate professional occupations</v>
      </c>
      <c r="J43" s="11">
        <v>15.988827155930057</v>
      </c>
      <c r="K43" s="11">
        <v>22.052211491295893</v>
      </c>
      <c r="L43" s="11">
        <v>6.0633843353658383</v>
      </c>
      <c r="M43" s="11">
        <v>10.248573925271813</v>
      </c>
      <c r="N43" s="11">
        <v>16.311958260637653</v>
      </c>
      <c r="P43" s="10" t="str">
        <f>name!D11</f>
        <v>32 Health and social care associate professionals</v>
      </c>
      <c r="Q43" s="11">
        <v>7.7658684194250238</v>
      </c>
      <c r="R43" s="11">
        <v>15.065237009558532</v>
      </c>
      <c r="S43" s="345">
        <f t="shared" si="28"/>
        <v>7.2993685901335077</v>
      </c>
      <c r="T43" s="345">
        <v>7.7806396549033776</v>
      </c>
      <c r="U43" s="345">
        <f t="shared" si="29"/>
        <v>15.080008245036886</v>
      </c>
      <c r="V43" s="346">
        <f t="shared" si="30"/>
        <v>4.7360494305463074E-2</v>
      </c>
      <c r="X43" s="10"/>
      <c r="Y43" s="10"/>
      <c r="Z43" s="10"/>
      <c r="AA43" s="345"/>
      <c r="AB43" s="10"/>
      <c r="AC43" s="345"/>
      <c r="AD43" s="348"/>
    </row>
    <row r="44" spans="1:30" x14ac:dyDescent="0.2">
      <c r="A44" t="str">
        <f t="shared" si="24"/>
        <v>33 Protective service occupations</v>
      </c>
      <c r="B44" s="11">
        <v>1.900256954913351E-2</v>
      </c>
      <c r="C44" s="11">
        <v>3.5429418048816011E-2</v>
      </c>
      <c r="D44" s="11">
        <f t="shared" si="25"/>
        <v>1.6426848499682501E-2</v>
      </c>
      <c r="E44" s="11">
        <v>1.0138417065443718E-2</v>
      </c>
      <c r="F44" s="11">
        <f t="shared" si="26"/>
        <v>2.6565265565126221E-2</v>
      </c>
      <c r="G44" s="200">
        <f t="shared" si="27"/>
        <v>2.8914911783597619E-2</v>
      </c>
      <c r="I44" s="11" t="str">
        <f>I33</f>
        <v>Administrative and secretarial occupations</v>
      </c>
      <c r="J44" s="11">
        <v>8.9602546299243127</v>
      </c>
      <c r="K44" s="11">
        <v>13.590068162615049</v>
      </c>
      <c r="L44" s="11">
        <v>4.6298135326907364</v>
      </c>
      <c r="M44" s="11">
        <v>6.727469541744532</v>
      </c>
      <c r="N44" s="11">
        <v>11.357283074435268</v>
      </c>
      <c r="P44" s="10" t="str">
        <f>name!D12</f>
        <v>33 Protective service occupations</v>
      </c>
      <c r="Q44" s="11">
        <v>1.2200771116398967</v>
      </c>
      <c r="R44" s="11">
        <v>1.4306566579819835</v>
      </c>
      <c r="S44" s="345">
        <f t="shared" si="28"/>
        <v>0.21057954634208675</v>
      </c>
      <c r="T44" s="345">
        <v>0.5722700591769101</v>
      </c>
      <c r="U44" s="345">
        <f t="shared" si="29"/>
        <v>0.78284960551899685</v>
      </c>
      <c r="V44" s="346">
        <f t="shared" si="30"/>
        <v>2.597235071668158E-2</v>
      </c>
      <c r="X44" s="10"/>
      <c r="Y44" s="10"/>
      <c r="Z44" s="10"/>
      <c r="AA44" s="345"/>
      <c r="AB44" s="10"/>
      <c r="AC44" s="345"/>
      <c r="AD44" s="348"/>
    </row>
    <row r="45" spans="1:30" x14ac:dyDescent="0.2">
      <c r="A45" t="str">
        <f t="shared" si="24"/>
        <v>34 Culture, media and sports occupations</v>
      </c>
      <c r="B45" s="11">
        <v>8.8767825991790089E-2</v>
      </c>
      <c r="C45" s="11">
        <v>0.1192011310054857</v>
      </c>
      <c r="D45" s="11">
        <f t="shared" ref="D45:D46" si="31">C45-B45</f>
        <v>3.0433305013695608E-2</v>
      </c>
      <c r="E45" s="11">
        <v>4.7204916855821462E-2</v>
      </c>
      <c r="F45" s="11">
        <f t="shared" ref="F45:F46" si="32">SUM(D45:E45)</f>
        <v>7.7638221869517077E-2</v>
      </c>
      <c r="G45" s="200">
        <f t="shared" si="27"/>
        <v>2.8836630284649223E-2</v>
      </c>
      <c r="I45" s="11" t="str">
        <f t="shared" ref="I45:I49" si="33">I34</f>
        <v>Skilled trades occupations</v>
      </c>
      <c r="J45" s="11">
        <v>3.6881509264694117</v>
      </c>
      <c r="K45" s="11">
        <v>5.3958438299909917</v>
      </c>
      <c r="L45" s="11">
        <v>1.70769290352158</v>
      </c>
      <c r="M45" s="11">
        <v>2.5780517758386616</v>
      </c>
      <c r="N45" s="11">
        <v>4.2857446793602421</v>
      </c>
      <c r="P45" s="10" t="str">
        <f>name!D13</f>
        <v>34 Culture, media and sports occupations</v>
      </c>
      <c r="Q45" s="11">
        <v>3.273535628862478</v>
      </c>
      <c r="R45" s="11">
        <v>2.9943095320499782</v>
      </c>
      <c r="S45" s="345">
        <f t="shared" si="28"/>
        <v>-0.27922609681249977</v>
      </c>
      <c r="T45" s="345">
        <v>1.4953240029259465</v>
      </c>
      <c r="U45" s="345">
        <f t="shared" si="29"/>
        <v>1.2160979061134467</v>
      </c>
      <c r="V45" s="346">
        <f t="shared" si="30"/>
        <v>2.5399649110613431E-2</v>
      </c>
      <c r="X45" s="10"/>
      <c r="Y45" s="10"/>
      <c r="Z45" s="10"/>
      <c r="AA45" s="345"/>
      <c r="AB45" s="10"/>
      <c r="AC45" s="345"/>
      <c r="AD45" s="348"/>
    </row>
    <row r="46" spans="1:30" x14ac:dyDescent="0.2">
      <c r="A46" t="str">
        <f t="shared" si="24"/>
        <v>35 Business and public service associate professionals</v>
      </c>
      <c r="B46" s="11">
        <v>0.28951606068078672</v>
      </c>
      <c r="C46" s="11">
        <v>0.48605562041168859</v>
      </c>
      <c r="D46" s="11">
        <f t="shared" si="31"/>
        <v>0.19653955973090187</v>
      </c>
      <c r="E46" s="11">
        <v>0.1758884145510306</v>
      </c>
      <c r="F46" s="11">
        <f t="shared" si="32"/>
        <v>0.37242797428193247</v>
      </c>
      <c r="G46" s="200">
        <f t="shared" si="27"/>
        <v>3.2152478119784611E-2</v>
      </c>
      <c r="I46" s="11" t="str">
        <f t="shared" si="33"/>
        <v>Caring, leisure and other service occupations</v>
      </c>
      <c r="J46" s="11">
        <v>6.6111671168063433</v>
      </c>
      <c r="K46" s="11">
        <v>10.589619415346162</v>
      </c>
      <c r="L46" s="11">
        <v>3.9784522985398185</v>
      </c>
      <c r="M46" s="11">
        <v>5.6579436360869169</v>
      </c>
      <c r="N46" s="11">
        <v>9.6363959346267354</v>
      </c>
      <c r="P46" s="10" t="str">
        <f>name!D14</f>
        <v>35 Business and public service associate professionals</v>
      </c>
      <c r="Q46" s="11">
        <v>13.130440036753035</v>
      </c>
      <c r="R46" s="11">
        <v>14.46480484768891</v>
      </c>
      <c r="S46" s="345">
        <f t="shared" si="28"/>
        <v>1.3343648109358757</v>
      </c>
      <c r="T46" s="345">
        <v>7.2838123804429342</v>
      </c>
      <c r="U46" s="345">
        <f t="shared" si="29"/>
        <v>8.618177191378809</v>
      </c>
      <c r="V46" s="346">
        <f t="shared" si="30"/>
        <v>2.9857050699245713E-2</v>
      </c>
      <c r="X46" s="10"/>
      <c r="Y46" s="10"/>
      <c r="Z46" s="10"/>
      <c r="AA46" s="345"/>
      <c r="AB46" s="10"/>
      <c r="AC46" s="345"/>
      <c r="AD46" s="348"/>
    </row>
    <row r="47" spans="1:30" x14ac:dyDescent="0.2">
      <c r="A47" t="str">
        <f t="shared" si="24"/>
        <v>41 Administrative occupations</v>
      </c>
      <c r="B47" s="11">
        <v>0.19221244002832472</v>
      </c>
      <c r="C47" s="11">
        <v>0.35081493601250252</v>
      </c>
      <c r="D47" s="11">
        <f t="shared" si="25"/>
        <v>0.1586024959841778</v>
      </c>
      <c r="E47" s="11">
        <v>0.132891934646827</v>
      </c>
      <c r="F47" s="11">
        <f t="shared" si="26"/>
        <v>0.29149443063100478</v>
      </c>
      <c r="G47" s="200">
        <f t="shared" si="27"/>
        <v>3.565734147216526E-2</v>
      </c>
      <c r="I47" s="11" t="str">
        <f t="shared" si="33"/>
        <v>Sales and customer service occupations</v>
      </c>
      <c r="J47" s="11">
        <v>5.4488425421868136</v>
      </c>
      <c r="K47" s="11">
        <v>8.7507912375418986</v>
      </c>
      <c r="L47" s="11">
        <v>3.301948695355085</v>
      </c>
      <c r="M47" s="11">
        <v>3.8586241324215669</v>
      </c>
      <c r="N47" s="11">
        <v>7.1605728277766509</v>
      </c>
      <c r="P47" s="10" t="str">
        <f>name!D15</f>
        <v>41 Administrative occupations</v>
      </c>
      <c r="Q47" s="11">
        <v>30.846637027637957</v>
      </c>
      <c r="R47" s="11">
        <v>28.98589249193429</v>
      </c>
      <c r="S47" s="345">
        <f t="shared" si="28"/>
        <v>-1.8607445357036667</v>
      </c>
      <c r="T47" s="345">
        <v>16.927491999395091</v>
      </c>
      <c r="U47" s="345">
        <f t="shared" si="29"/>
        <v>15.066747463691424</v>
      </c>
      <c r="V47" s="346">
        <f t="shared" si="30"/>
        <v>2.9593195449404419E-2</v>
      </c>
      <c r="X47" s="10"/>
      <c r="Y47" s="10"/>
      <c r="Z47" s="10"/>
      <c r="AA47" s="345"/>
      <c r="AB47" s="10"/>
      <c r="AC47" s="345"/>
      <c r="AD47" s="348"/>
    </row>
    <row r="48" spans="1:30" x14ac:dyDescent="0.2">
      <c r="A48" t="str">
        <f t="shared" si="24"/>
        <v>42 Secretarial and related occupations</v>
      </c>
      <c r="B48" s="11">
        <v>1.9422382480105558E-2</v>
      </c>
      <c r="C48" s="11">
        <v>4.8220456974661936E-2</v>
      </c>
      <c r="D48" s="11">
        <f t="shared" si="25"/>
        <v>2.8798074494556378E-2</v>
      </c>
      <c r="E48" s="11">
        <v>1.8473417909930893E-2</v>
      </c>
      <c r="F48" s="11">
        <f t="shared" si="26"/>
        <v>4.7271492404487275E-2</v>
      </c>
      <c r="G48" s="200">
        <f t="shared" si="27"/>
        <v>4.5568695989835595E-2</v>
      </c>
      <c r="I48" s="11" t="str">
        <f t="shared" si="33"/>
        <v>Process, plant and machine operatives</v>
      </c>
      <c r="J48" s="11">
        <v>1.7242701133487217</v>
      </c>
      <c r="K48" s="11">
        <v>3.3099214826266703</v>
      </c>
      <c r="L48" s="11">
        <v>1.585651369277949</v>
      </c>
      <c r="M48" s="11">
        <v>1.4753934416470349</v>
      </c>
      <c r="N48" s="11">
        <v>3.0610448109249839</v>
      </c>
      <c r="P48" s="10" t="str">
        <f>name!D16</f>
        <v>42 Secretarial and related occupations</v>
      </c>
      <c r="Q48" s="11">
        <v>8.462952040629391</v>
      </c>
      <c r="R48" s="11">
        <v>5.6934891397362994</v>
      </c>
      <c r="S48" s="345">
        <f t="shared" si="28"/>
        <v>-2.7694629008930916</v>
      </c>
      <c r="T48" s="345">
        <v>3.8847338625880026</v>
      </c>
      <c r="U48" s="345">
        <f t="shared" si="29"/>
        <v>1.115270961694911</v>
      </c>
      <c r="V48" s="346">
        <f t="shared" si="30"/>
        <v>2.5504521615824061E-2</v>
      </c>
      <c r="X48" s="10"/>
      <c r="Y48" s="10"/>
      <c r="Z48" s="10"/>
      <c r="AA48" s="345"/>
      <c r="AB48" s="10"/>
      <c r="AC48" s="345"/>
      <c r="AD48" s="348"/>
    </row>
    <row r="49" spans="1:30" x14ac:dyDescent="0.2">
      <c r="A49" t="str">
        <f t="shared" si="24"/>
        <v>51 Skilled agricultural and related trades</v>
      </c>
      <c r="B49" s="11">
        <v>1.8945121710926761E-2</v>
      </c>
      <c r="C49" s="11">
        <v>2.7841335331566967E-2</v>
      </c>
      <c r="D49" s="11">
        <f t="shared" si="25"/>
        <v>8.8962136206402059E-3</v>
      </c>
      <c r="E49" s="11">
        <v>1.5752030972573612E-2</v>
      </c>
      <c r="F49" s="11">
        <f t="shared" si="26"/>
        <v>2.4648244593213818E-2</v>
      </c>
      <c r="G49" s="200">
        <f t="shared" si="27"/>
        <v>4.1165484611362713E-2</v>
      </c>
      <c r="I49" s="11" t="str">
        <f t="shared" si="33"/>
        <v>Elementary occupations</v>
      </c>
      <c r="J49" s="11">
        <v>3.9789372439511679</v>
      </c>
      <c r="K49" s="11">
        <v>6.6919363585978235</v>
      </c>
      <c r="L49" s="11">
        <v>2.7129991146466566</v>
      </c>
      <c r="M49" s="11">
        <v>3.4275699837869662</v>
      </c>
      <c r="N49" s="11">
        <v>6.1405690984336232</v>
      </c>
      <c r="P49" s="10" t="str">
        <f>name!D17</f>
        <v>51 Skilled agricultural and related trades</v>
      </c>
      <c r="Q49" s="11">
        <v>2.3191259858911213</v>
      </c>
      <c r="R49" s="11">
        <v>2.4998350174203847</v>
      </c>
      <c r="S49" s="345">
        <f t="shared" si="28"/>
        <v>0.18070903152926343</v>
      </c>
      <c r="T49" s="345">
        <v>1.6630126667713898</v>
      </c>
      <c r="U49" s="345">
        <f t="shared" si="29"/>
        <v>1.8437216983006532</v>
      </c>
      <c r="V49" s="346">
        <f t="shared" si="30"/>
        <v>3.6699292985259868E-2</v>
      </c>
      <c r="X49" s="10"/>
      <c r="Y49" s="10"/>
      <c r="Z49" s="10"/>
      <c r="AA49" s="345"/>
      <c r="AB49" s="10"/>
      <c r="AC49" s="345"/>
      <c r="AD49" s="348"/>
    </row>
    <row r="50" spans="1:30" x14ac:dyDescent="0.2">
      <c r="A50" t="str">
        <f t="shared" si="24"/>
        <v>52 Skilled metal, electrical and electronic trades</v>
      </c>
      <c r="B50" s="11">
        <v>1.5206961044977079E-2</v>
      </c>
      <c r="C50" s="11">
        <v>2.711416492755897E-2</v>
      </c>
      <c r="D50" s="11">
        <f t="shared" si="25"/>
        <v>1.1907203882581891E-2</v>
      </c>
      <c r="E50" s="11">
        <v>9.5185340902249026E-3</v>
      </c>
      <c r="F50" s="11">
        <f t="shared" si="26"/>
        <v>2.1425737972806794E-2</v>
      </c>
      <c r="G50" s="200">
        <f t="shared" si="27"/>
        <v>3.2936215213237308E-2</v>
      </c>
      <c r="O50" s="71"/>
      <c r="P50" s="10" t="str">
        <f>name!D18</f>
        <v>52 Skilled metal, electrical and electronic trades</v>
      </c>
      <c r="Q50" s="11">
        <v>0.35625565955151378</v>
      </c>
      <c r="R50" s="11">
        <v>0.75560038233866911</v>
      </c>
      <c r="S50" s="345">
        <f t="shared" si="28"/>
        <v>0.39934472278715533</v>
      </c>
      <c r="T50" s="345">
        <v>0.34412590043402691</v>
      </c>
      <c r="U50" s="345">
        <f t="shared" si="29"/>
        <v>0.74347062322118229</v>
      </c>
      <c r="V50" s="346">
        <f t="shared" si="30"/>
        <v>4.6095969300851136E-2</v>
      </c>
      <c r="X50" s="10"/>
      <c r="Y50" s="10"/>
      <c r="Z50" s="10"/>
      <c r="AA50" s="345"/>
      <c r="AB50" s="10"/>
      <c r="AC50" s="345"/>
      <c r="AD50" s="348"/>
    </row>
    <row r="51" spans="1:30" x14ac:dyDescent="0.2">
      <c r="A51" t="str">
        <f t="shared" si="24"/>
        <v>53 Skilled construction and building trades</v>
      </c>
      <c r="B51" s="11">
        <v>2.9716582092465162E-3</v>
      </c>
      <c r="C51" s="11">
        <v>4.8820143539467509E-3</v>
      </c>
      <c r="D51" s="11">
        <f t="shared" ref="D51" si="34">C51-B51</f>
        <v>1.9103561447002346E-3</v>
      </c>
      <c r="E51" s="11">
        <v>2.1424617422354103E-3</v>
      </c>
      <c r="F51" s="11">
        <f t="shared" ref="F51" si="35">SUM(D51:E51)</f>
        <v>4.0528178869356449E-3</v>
      </c>
      <c r="G51" s="200">
        <f t="shared" si="27"/>
        <v>3.6855264035501323E-2</v>
      </c>
      <c r="I51" s="87" t="str">
        <f>name!F7</f>
        <v>RQF5 Foundation degree;Nursing;Teaching</v>
      </c>
      <c r="J51" s="11"/>
      <c r="K51" s="11"/>
      <c r="L51" s="11"/>
      <c r="M51" s="11"/>
      <c r="N51" s="11"/>
      <c r="P51" s="10" t="str">
        <f>name!D19</f>
        <v>53 Skilled construction and building trades</v>
      </c>
      <c r="Q51" s="11">
        <v>0.15473703533210023</v>
      </c>
      <c r="R51" s="11">
        <v>7.7283079857544595E-2</v>
      </c>
      <c r="S51" s="345">
        <f t="shared" si="28"/>
        <v>-7.7453955474555636E-2</v>
      </c>
      <c r="T51" s="345">
        <v>4.2934027923370817E-2</v>
      </c>
      <c r="U51" s="345">
        <f t="shared" si="29"/>
        <v>-3.4519927551184819E-2</v>
      </c>
      <c r="V51" s="346">
        <f t="shared" si="30"/>
        <v>1.6459131511836089E-2</v>
      </c>
      <c r="X51" s="10"/>
      <c r="Y51" s="10"/>
      <c r="Z51" s="10"/>
      <c r="AA51" s="345"/>
      <c r="AB51" s="10"/>
      <c r="AC51" s="345"/>
      <c r="AD51" s="348"/>
    </row>
    <row r="52" spans="1:30" x14ac:dyDescent="0.2">
      <c r="A52" t="str">
        <f t="shared" si="24"/>
        <v>54 Textiles, printing and other skilled trades</v>
      </c>
      <c r="B52" s="11">
        <v>3.0561953138294334E-2</v>
      </c>
      <c r="C52" s="11">
        <v>6.04132788008854E-2</v>
      </c>
      <c r="D52" s="11">
        <f t="shared" si="25"/>
        <v>2.9851325662591067E-2</v>
      </c>
      <c r="E52" s="11">
        <v>2.0928455595235311E-2</v>
      </c>
      <c r="F52" s="11">
        <f t="shared" si="26"/>
        <v>5.0779781257826381E-2</v>
      </c>
      <c r="G52" s="200">
        <f t="shared" si="27"/>
        <v>3.5387733758361462E-2</v>
      </c>
      <c r="I52" s="11" t="str">
        <f>I41</f>
        <v>Managers, directors and senior officials</v>
      </c>
      <c r="J52" s="11">
        <f t="array" ref="J52:J60">MMULT(aggregation!$B$13:$AA$21,B123:B148)</f>
        <v>3.1173943613257382</v>
      </c>
      <c r="K52" s="11">
        <f t="array" ref="K52:K60">MMULT(aggregation!$B$13:$AA$21,C123:C148)</f>
        <v>3.4032632839846357</v>
      </c>
      <c r="L52" s="11">
        <f t="array" ref="L52:L60">MMULT(aggregation!$B$13:$AA$21,D123:D148)</f>
        <v>0.2858689226588973</v>
      </c>
      <c r="M52" s="11">
        <f t="array" ref="M52:M60">MMULT(aggregation!$B$13:$AA$21,E123:E148)</f>
        <v>1.7451126793968057</v>
      </c>
      <c r="N52" s="11">
        <f t="array" ref="N52:N60">MMULT(aggregation!$B$13:$AA$21,F123:F148)</f>
        <v>2.0309816020557032</v>
      </c>
      <c r="P52" s="10" t="str">
        <f>name!D20</f>
        <v>54 Textiles, printing and other skilled trades</v>
      </c>
      <c r="Q52" s="11">
        <v>4.1498154676065209</v>
      </c>
      <c r="R52" s="11">
        <v>3.6594975725322216</v>
      </c>
      <c r="S52" s="345">
        <f t="shared" si="28"/>
        <v>-0.49031789507429924</v>
      </c>
      <c r="T52" s="345">
        <v>2.1420085993061253</v>
      </c>
      <c r="U52" s="345">
        <f t="shared" si="29"/>
        <v>1.6516907042318261</v>
      </c>
      <c r="V52" s="346">
        <f t="shared" si="30"/>
        <v>2.8134310140405461E-2</v>
      </c>
      <c r="X52" s="10"/>
      <c r="Y52" s="10"/>
      <c r="Z52" s="10"/>
      <c r="AA52" s="345"/>
      <c r="AB52" s="10"/>
      <c r="AC52" s="345"/>
      <c r="AD52" s="348"/>
    </row>
    <row r="53" spans="1:30" x14ac:dyDescent="0.2">
      <c r="A53" t="str">
        <f t="shared" si="24"/>
        <v>61 Caring personal service occupations</v>
      </c>
      <c r="B53" s="11">
        <v>2.7953604330419924E-2</v>
      </c>
      <c r="C53" s="11">
        <v>5.8395102922470438E-2</v>
      </c>
      <c r="D53" s="11">
        <f t="shared" si="25"/>
        <v>3.0441498592050514E-2</v>
      </c>
      <c r="E53" s="11">
        <v>2.2618629826166217E-2</v>
      </c>
      <c r="F53" s="11">
        <f t="shared" si="26"/>
        <v>5.306012841821673E-2</v>
      </c>
      <c r="G53" s="200">
        <f t="shared" si="27"/>
        <v>4.0315226603052645E-2</v>
      </c>
      <c r="I53" s="11" t="str">
        <f>I42</f>
        <v>Professional occupations</v>
      </c>
      <c r="J53" s="11">
        <v>5.3088962820512773</v>
      </c>
      <c r="K53" s="11">
        <v>3.4927893939705674</v>
      </c>
      <c r="L53" s="11">
        <v>-1.8161068880807099</v>
      </c>
      <c r="M53" s="11">
        <v>1.5183293584439783</v>
      </c>
      <c r="N53" s="11">
        <v>-0.2977775296367316</v>
      </c>
      <c r="P53" s="10" t="str">
        <f>name!D21</f>
        <v>61 Caring personal service occupations</v>
      </c>
      <c r="Q53" s="11">
        <v>36.609951791537007</v>
      </c>
      <c r="R53" s="11">
        <v>38.645422003512493</v>
      </c>
      <c r="S53" s="345">
        <f t="shared" si="28"/>
        <v>2.0354702119754862</v>
      </c>
      <c r="T53" s="345">
        <v>21.711548124761606</v>
      </c>
      <c r="U53" s="345">
        <f t="shared" si="29"/>
        <v>23.747018336737092</v>
      </c>
      <c r="V53" s="346">
        <f t="shared" si="30"/>
        <v>3.1530250407969529E-2</v>
      </c>
      <c r="X53" s="10"/>
      <c r="Y53" s="10"/>
      <c r="Z53" s="10"/>
      <c r="AA53" s="345"/>
      <c r="AB53" s="10"/>
      <c r="AC53" s="345"/>
      <c r="AD53" s="348"/>
    </row>
    <row r="54" spans="1:30" x14ac:dyDescent="0.2">
      <c r="A54" t="str">
        <f t="shared" si="24"/>
        <v>62 Leisure, travel and related personal service occupations</v>
      </c>
      <c r="B54" s="11">
        <v>1.0603118405203848E-2</v>
      </c>
      <c r="C54" s="11">
        <v>2.2173363896481803E-2</v>
      </c>
      <c r="D54" s="11">
        <f t="shared" ref="D54:D55" si="36">C54-B54</f>
        <v>1.1570245491277956E-2</v>
      </c>
      <c r="E54" s="11">
        <v>7.8604336700473145E-3</v>
      </c>
      <c r="F54" s="11">
        <f t="shared" ref="F54:F55" si="37">SUM(D54:E54)</f>
        <v>1.9430679161325272E-2</v>
      </c>
      <c r="G54" s="200">
        <f t="shared" si="27"/>
        <v>3.7668841741552717E-2</v>
      </c>
      <c r="I54" s="11" t="str">
        <f>I43</f>
        <v>Associate professional occupations</v>
      </c>
      <c r="J54" s="11">
        <v>4.7510542916393614</v>
      </c>
      <c r="K54" s="11">
        <v>5.2953488622167804</v>
      </c>
      <c r="L54" s="11">
        <v>0.54429457057741826</v>
      </c>
      <c r="M54" s="11">
        <v>2.3732619583775758</v>
      </c>
      <c r="N54" s="11">
        <v>2.9175565289549943</v>
      </c>
      <c r="P54" s="10" t="str">
        <f>name!D22</f>
        <v>62 Leisure, travel and related personal service occupations</v>
      </c>
      <c r="Q54" s="11">
        <v>9.3398575175119802</v>
      </c>
      <c r="R54" s="11">
        <v>8.3615077833678448</v>
      </c>
      <c r="S54" s="345">
        <f t="shared" si="28"/>
        <v>-0.9783497341441354</v>
      </c>
      <c r="T54" s="345">
        <v>4.5708904999179385</v>
      </c>
      <c r="U54" s="345">
        <f t="shared" si="29"/>
        <v>3.5925407657738031</v>
      </c>
      <c r="V54" s="346">
        <f t="shared" si="30"/>
        <v>2.691386013777608E-2</v>
      </c>
      <c r="X54" s="10"/>
      <c r="Y54" s="10"/>
      <c r="Z54" s="10"/>
      <c r="AA54" s="345"/>
      <c r="AB54" s="10"/>
      <c r="AC54" s="345"/>
      <c r="AD54" s="348"/>
    </row>
    <row r="55" spans="1:30" x14ac:dyDescent="0.2">
      <c r="A55" t="str">
        <f t="shared" si="24"/>
        <v>63 Community and civil enforcement occupations</v>
      </c>
      <c r="B55" s="11">
        <v>1.1601351558866127E-3</v>
      </c>
      <c r="C55" s="11">
        <v>2.3867702958965103E-3</v>
      </c>
      <c r="D55" s="11">
        <f t="shared" si="36"/>
        <v>1.2266351400098976E-3</v>
      </c>
      <c r="E55" s="11">
        <v>9.7510724732304118E-4</v>
      </c>
      <c r="F55" s="11">
        <f t="shared" si="37"/>
        <v>2.2017423873329387E-3</v>
      </c>
      <c r="G55" s="200">
        <f t="shared" si="27"/>
        <v>4.1507911279947018E-2</v>
      </c>
      <c r="I55" s="11" t="str">
        <f>I44</f>
        <v>Administrative and secretarial occupations</v>
      </c>
      <c r="J55" s="11">
        <v>3.7331584050566464</v>
      </c>
      <c r="K55" s="11">
        <v>5.1924346422584993</v>
      </c>
      <c r="L55" s="11">
        <v>1.4592762372018533</v>
      </c>
      <c r="M55" s="11">
        <v>2.7403018017983878</v>
      </c>
      <c r="N55" s="11">
        <v>4.1995780390002411</v>
      </c>
      <c r="P55" s="10" t="str">
        <f>name!D23</f>
        <v>63 Community and civil enforcement occupations</v>
      </c>
      <c r="Q55" s="11">
        <v>0.10520091659139465</v>
      </c>
      <c r="R55" s="11">
        <v>0.13700213842974718</v>
      </c>
      <c r="S55" s="345">
        <f t="shared" si="28"/>
        <v>3.1801221838352531E-2</v>
      </c>
      <c r="T55" s="345">
        <v>7.9443045671065041E-2</v>
      </c>
      <c r="U55" s="345">
        <f t="shared" si="29"/>
        <v>0.11124426750941757</v>
      </c>
      <c r="V55" s="346">
        <f t="shared" si="30"/>
        <v>3.8215972013607269E-2</v>
      </c>
      <c r="X55" s="10"/>
      <c r="Y55" s="10"/>
      <c r="Z55" s="10"/>
      <c r="AA55" s="345"/>
      <c r="AB55" s="10"/>
      <c r="AC55" s="345"/>
      <c r="AD55" s="348"/>
    </row>
    <row r="56" spans="1:30" x14ac:dyDescent="0.2">
      <c r="A56" t="str">
        <f t="shared" si="24"/>
        <v>71 Sales occupations</v>
      </c>
      <c r="B56" s="11">
        <v>5.8241852536194849E-2</v>
      </c>
      <c r="C56" s="11">
        <v>9.1812022630362408E-2</v>
      </c>
      <c r="D56" s="11">
        <f t="shared" si="25"/>
        <v>3.3570170094167559E-2</v>
      </c>
      <c r="E56" s="11">
        <v>3.2316950021191032E-2</v>
      </c>
      <c r="F56" s="11">
        <f t="shared" si="26"/>
        <v>6.5887120115358591E-2</v>
      </c>
      <c r="G56" s="200">
        <f t="shared" si="27"/>
        <v>2.9863578398037216E-2</v>
      </c>
      <c r="I56" s="11" t="str">
        <f t="shared" ref="I56:I60" si="38">I45</f>
        <v>Skilled trades occupations</v>
      </c>
      <c r="J56" s="11">
        <v>1.4753144738254433</v>
      </c>
      <c r="K56" s="11">
        <v>1.9747849022018706</v>
      </c>
      <c r="L56" s="11">
        <v>0.49947042837642719</v>
      </c>
      <c r="M56" s="11">
        <v>0.95732710171769264</v>
      </c>
      <c r="N56" s="11">
        <v>1.4567975300941198</v>
      </c>
      <c r="P56" s="10" t="str">
        <f>name!D24</f>
        <v>71 Sales occupations</v>
      </c>
      <c r="Q56" s="11">
        <v>21.502087893397537</v>
      </c>
      <c r="R56" s="11">
        <v>19.983917462050208</v>
      </c>
      <c r="S56" s="345">
        <f t="shared" si="28"/>
        <v>-1.518170431347329</v>
      </c>
      <c r="T56" s="345">
        <v>11.48578692973987</v>
      </c>
      <c r="U56" s="345">
        <f t="shared" si="29"/>
        <v>9.967616498392541</v>
      </c>
      <c r="V56" s="346">
        <f t="shared" si="30"/>
        <v>2.8943623994575285E-2</v>
      </c>
      <c r="X56" s="10"/>
      <c r="Y56" s="10"/>
      <c r="Z56" s="10"/>
      <c r="AA56" s="345"/>
      <c r="AB56" s="10"/>
      <c r="AC56" s="345"/>
      <c r="AD56" s="348"/>
    </row>
    <row r="57" spans="1:30" x14ac:dyDescent="0.2">
      <c r="A57" t="str">
        <f t="shared" si="24"/>
        <v>72 Customer service occupations</v>
      </c>
      <c r="B57" s="11">
        <v>2.2954620571361266E-2</v>
      </c>
      <c r="C57" s="11">
        <v>4.9056546698909798E-2</v>
      </c>
      <c r="D57" s="11">
        <f t="shared" si="25"/>
        <v>2.6101926127548532E-2</v>
      </c>
      <c r="E57" s="11">
        <v>1.5419976740307548E-2</v>
      </c>
      <c r="F57" s="11">
        <f t="shared" si="26"/>
        <v>4.1521902867856078E-2</v>
      </c>
      <c r="G57" s="200">
        <f t="shared" si="27"/>
        <v>3.4852009946023221E-2</v>
      </c>
      <c r="I57" s="11" t="str">
        <f t="shared" si="38"/>
        <v>Caring, leisure and other service occupations</v>
      </c>
      <c r="J57" s="11">
        <v>4.9718385279936035</v>
      </c>
      <c r="K57" s="11">
        <v>5.9303339353184112</v>
      </c>
      <c r="L57" s="11">
        <v>0.95849540732480765</v>
      </c>
      <c r="M57" s="11">
        <v>3.2061182996173918</v>
      </c>
      <c r="N57" s="11">
        <v>4.1646137069421991</v>
      </c>
      <c r="P57" s="10" t="str">
        <f>name!D25</f>
        <v>72 Customer service occupations</v>
      </c>
      <c r="Q57" s="11">
        <v>5.3894839884851731</v>
      </c>
      <c r="R57" s="11">
        <v>6.0195788952239262</v>
      </c>
      <c r="S57" s="345">
        <f t="shared" si="28"/>
        <v>0.63009490673875312</v>
      </c>
      <c r="T57" s="345">
        <v>3.0943666727839272</v>
      </c>
      <c r="U57" s="345">
        <f t="shared" si="29"/>
        <v>3.7244615795226803</v>
      </c>
      <c r="V57" s="346">
        <f t="shared" si="30"/>
        <v>3.0709760285896781E-2</v>
      </c>
      <c r="X57" s="10"/>
      <c r="Y57" s="10"/>
      <c r="Z57" s="10"/>
      <c r="AA57" s="345"/>
      <c r="AB57" s="10"/>
      <c r="AC57" s="345"/>
      <c r="AD57" s="348"/>
    </row>
    <row r="58" spans="1:30" x14ac:dyDescent="0.2">
      <c r="A58" t="str">
        <f t="shared" si="24"/>
        <v>81 Process, plant and machine operatives</v>
      </c>
      <c r="B58" s="11">
        <v>3.0618413289373453E-2</v>
      </c>
      <c r="C58" s="11">
        <v>8.4676401957181666E-2</v>
      </c>
      <c r="D58" s="11">
        <f t="shared" ref="D58:D59" si="39">C58-B58</f>
        <v>5.4057988667808213E-2</v>
      </c>
      <c r="E58" s="11">
        <v>2.8430650313050025E-2</v>
      </c>
      <c r="F58" s="11">
        <f t="shared" ref="F58:F59" si="40">SUM(D58:E58)</f>
        <v>8.2488638980858231E-2</v>
      </c>
      <c r="G58" s="200">
        <f t="shared" si="27"/>
        <v>4.4757158662347196E-2</v>
      </c>
      <c r="I58" s="11" t="str">
        <f t="shared" si="38"/>
        <v>Sales and customer service occupations</v>
      </c>
      <c r="J58" s="11">
        <v>1.9285968752906255</v>
      </c>
      <c r="K58" s="11">
        <v>2.9663071575717819</v>
      </c>
      <c r="L58" s="11">
        <v>1.0377102822811564</v>
      </c>
      <c r="M58" s="11">
        <v>1.361939910949026</v>
      </c>
      <c r="N58" s="11">
        <v>2.3996501932301824</v>
      </c>
      <c r="P58" s="10" t="str">
        <f>name!D26</f>
        <v>81 Process, plant and machine operatives</v>
      </c>
      <c r="Q58" s="11">
        <v>5.076471163918395</v>
      </c>
      <c r="R58" s="11">
        <v>6.0045443384178228</v>
      </c>
      <c r="S58" s="345">
        <f t="shared" si="28"/>
        <v>0.92807317449942772</v>
      </c>
      <c r="T58" s="345">
        <v>2.7764491431908094</v>
      </c>
      <c r="U58" s="345">
        <f t="shared" si="29"/>
        <v>3.7045223176902371</v>
      </c>
      <c r="V58" s="346">
        <f t="shared" si="30"/>
        <v>2.9511694948809231E-2</v>
      </c>
      <c r="X58" s="10"/>
      <c r="Y58" s="10"/>
      <c r="Z58" s="10"/>
      <c r="AA58" s="345"/>
      <c r="AB58" s="10"/>
      <c r="AC58" s="345"/>
      <c r="AD58" s="348"/>
    </row>
    <row r="59" spans="1:30" x14ac:dyDescent="0.2">
      <c r="A59" t="str">
        <f t="shared" si="24"/>
        <v>82 Transport and mobile machine drivers and operatives</v>
      </c>
      <c r="B59" s="11">
        <v>3.4685419412176212E-2</v>
      </c>
      <c r="C59" s="11">
        <v>7.4961816563795289E-2</v>
      </c>
      <c r="D59" s="11">
        <f t="shared" si="39"/>
        <v>4.0276397151619077E-2</v>
      </c>
      <c r="E59" s="11">
        <v>3.4288072760488911E-2</v>
      </c>
      <c r="F59" s="11">
        <f t="shared" si="40"/>
        <v>7.4564469912107995E-2</v>
      </c>
      <c r="G59" s="200">
        <f t="shared" si="27"/>
        <v>4.6893132737416909E-2</v>
      </c>
      <c r="I59" s="11" t="str">
        <f t="shared" si="38"/>
        <v>Process, plant and machine operatives</v>
      </c>
      <c r="J59" s="11">
        <v>0.84588759004762903</v>
      </c>
      <c r="K59" s="11">
        <v>1.3012193785821795</v>
      </c>
      <c r="L59" s="11">
        <v>0.45533178853455059</v>
      </c>
      <c r="M59" s="11">
        <v>0.61483636275213716</v>
      </c>
      <c r="N59" s="11">
        <v>1.0701681512866879</v>
      </c>
      <c r="P59" s="10" t="str">
        <f>name!D27</f>
        <v>82 Transport and mobile machine drivers and operatives</v>
      </c>
      <c r="Q59" s="11">
        <v>1.0473243439200661</v>
      </c>
      <c r="R59" s="11">
        <v>1.4041715459609718</v>
      </c>
      <c r="S59" s="345">
        <f t="shared" si="28"/>
        <v>0.3568472020409057</v>
      </c>
      <c r="T59" s="345">
        <v>0.80248845744087716</v>
      </c>
      <c r="U59" s="345">
        <f t="shared" si="29"/>
        <v>1.159335659481783</v>
      </c>
      <c r="V59" s="346">
        <f t="shared" si="30"/>
        <v>3.8651307491830877E-2</v>
      </c>
      <c r="X59" s="10"/>
      <c r="Y59" s="10"/>
      <c r="Z59" s="10"/>
      <c r="AA59" s="345"/>
      <c r="AB59" s="10"/>
      <c r="AC59" s="345"/>
      <c r="AD59" s="348"/>
    </row>
    <row r="60" spans="1:30" x14ac:dyDescent="0.2">
      <c r="A60" t="str">
        <f t="shared" si="24"/>
        <v>91 Elementary trades and related occupations</v>
      </c>
      <c r="B60" s="11">
        <v>3.5835413158359262E-4</v>
      </c>
      <c r="C60" s="11">
        <v>3.4850160489340825E-3</v>
      </c>
      <c r="D60" s="11">
        <f t="shared" si="25"/>
        <v>3.12666191735049E-3</v>
      </c>
      <c r="E60" s="11">
        <v>1.4287988565171526E-3</v>
      </c>
      <c r="F60" s="11">
        <f t="shared" si="26"/>
        <v>4.5554607738676426E-3</v>
      </c>
      <c r="G60" s="200">
        <f t="shared" si="27"/>
        <v>0.11307207627750837</v>
      </c>
      <c r="I60" s="11" t="str">
        <f t="shared" si="38"/>
        <v>Elementary occupations</v>
      </c>
      <c r="J60" s="11">
        <v>2.0168877459404846</v>
      </c>
      <c r="K60" s="11">
        <v>3.5304235981458154</v>
      </c>
      <c r="L60" s="11">
        <v>1.513535852205331</v>
      </c>
      <c r="M60" s="11">
        <v>1.7680650412845176</v>
      </c>
      <c r="N60" s="11">
        <v>3.2816008934898484</v>
      </c>
      <c r="P60" s="10" t="str">
        <f>name!D28</f>
        <v>91 Elementary trades and related occupations</v>
      </c>
      <c r="Q60" s="11">
        <v>2.5843866414394396</v>
      </c>
      <c r="R60" s="11">
        <v>8.2609161580866992</v>
      </c>
      <c r="S60" s="345">
        <f t="shared" si="28"/>
        <v>5.6765295166472596</v>
      </c>
      <c r="T60" s="345">
        <v>4.8740627554242852</v>
      </c>
      <c r="U60" s="345">
        <f t="shared" si="29"/>
        <v>10.550592272071544</v>
      </c>
      <c r="V60" s="346">
        <f t="shared" si="30"/>
        <v>7.3213360683039408E-2</v>
      </c>
      <c r="X60" s="10"/>
      <c r="Y60" s="10"/>
      <c r="Z60" s="10"/>
      <c r="AA60" s="345"/>
      <c r="AB60" s="10"/>
      <c r="AC60" s="345"/>
      <c r="AD60" s="348"/>
    </row>
    <row r="61" spans="1:30" x14ac:dyDescent="0.2">
      <c r="A61" t="str">
        <f t="shared" si="24"/>
        <v>92 Elementary administration and service occupations</v>
      </c>
      <c r="B61" s="11">
        <v>3.0333302655332833E-2</v>
      </c>
      <c r="C61" s="11">
        <v>5.1484662803611428E-2</v>
      </c>
      <c r="D61" s="11">
        <f t="shared" ref="D61" si="41">C61-B61</f>
        <v>2.1151360148278595E-2</v>
      </c>
      <c r="E61" s="11">
        <v>2.0481419863272603E-2</v>
      </c>
      <c r="F61" s="11">
        <f t="shared" ref="F61" si="42">SUM(D61:E61)</f>
        <v>4.1632780011551199E-2</v>
      </c>
      <c r="G61" s="200">
        <f t="shared" ref="G61" si="43">IF(B61&gt;0,(1+(E61/B61))^(1/($C$6-$B$6))-1,0)</f>
        <v>3.4994377806223609E-2</v>
      </c>
      <c r="P61" s="10" t="str">
        <f>name!D29</f>
        <v>92 Elementary administration and service occupations</v>
      </c>
      <c r="Q61" s="11">
        <v>23.002987319970973</v>
      </c>
      <c r="R61" s="11">
        <v>16.486394673113359</v>
      </c>
      <c r="S61" s="345">
        <f t="shared" ref="S61" si="44">R61-Q61</f>
        <v>-6.5165926468576139</v>
      </c>
      <c r="T61" s="345">
        <v>10.021706107715127</v>
      </c>
      <c r="U61" s="345">
        <f t="shared" ref="U61" si="45">SUM(S61:T61)</f>
        <v>3.5051134608575136</v>
      </c>
      <c r="V61" s="346">
        <f t="shared" ref="V61" si="46">IF(Q61&gt;0,(1+(T61/Q61))^(1/($C$6-$B$6))-1,0)</f>
        <v>2.4401730978444336E-2</v>
      </c>
      <c r="X61" s="10"/>
      <c r="Y61" s="10"/>
      <c r="Z61" s="10"/>
      <c r="AA61" s="345"/>
      <c r="AB61" s="10"/>
      <c r="AC61" s="345"/>
      <c r="AD61" s="348"/>
    </row>
    <row r="62" spans="1:30" x14ac:dyDescent="0.2">
      <c r="A62" t="str">
        <f t="shared" si="24"/>
        <v>All occupations</v>
      </c>
      <c r="B62" s="11">
        <f>SUM(B36:B61)</f>
        <v>6.2511851360305197</v>
      </c>
      <c r="C62" s="11">
        <f t="shared" ref="C62:F62" si="47">SUM(C36:C61)</f>
        <v>9.8180059904802608</v>
      </c>
      <c r="D62" s="11">
        <f t="shared" si="47"/>
        <v>3.5668208544497428</v>
      </c>
      <c r="E62" s="11">
        <f t="shared" si="47"/>
        <v>3.676311742569863</v>
      </c>
      <c r="F62" s="11">
        <f t="shared" si="47"/>
        <v>7.243132597019609</v>
      </c>
      <c r="G62" s="200">
        <f t="shared" si="27"/>
        <v>3.1316168639695219E-2</v>
      </c>
      <c r="I62" s="87" t="str">
        <f>name!F8</f>
        <v>RQF4 HE below degree level</v>
      </c>
      <c r="J62" s="11"/>
      <c r="K62" s="11"/>
      <c r="L62" s="11"/>
      <c r="M62" s="11"/>
      <c r="N62" s="11"/>
      <c r="P62" s="10" t="str">
        <f>name!D3</f>
        <v>All occupations</v>
      </c>
      <c r="Q62" s="11">
        <f>SUM(Q36:Q61)</f>
        <v>245.36445191648173</v>
      </c>
      <c r="R62" s="11">
        <f>SUM(R36:R61)</f>
        <v>258.03487424005647</v>
      </c>
      <c r="S62" s="345">
        <f>R62-Q62</f>
        <v>12.670422323574741</v>
      </c>
      <c r="T62" s="11">
        <f>SUM(T36:T61)</f>
        <v>141.22089734933903</v>
      </c>
      <c r="U62" s="345">
        <f>SUM(S62:T62)</f>
        <v>153.89131967291377</v>
      </c>
      <c r="V62" s="346">
        <f t="shared" si="30"/>
        <v>3.0771138600786729E-2</v>
      </c>
      <c r="X62" s="10"/>
      <c r="Y62" s="10"/>
      <c r="Z62" s="10"/>
      <c r="AA62" s="345"/>
      <c r="AB62" s="10"/>
      <c r="AC62" s="345"/>
      <c r="AD62" s="348"/>
    </row>
    <row r="63" spans="1:30" x14ac:dyDescent="0.2">
      <c r="I63" s="11" t="str">
        <f>I52</f>
        <v>Managers, directors and senior officials</v>
      </c>
      <c r="J63" s="11">
        <f t="array" ref="J63:J71">MMULT(aggregation!$B$13:$AA$21,B152:B177)</f>
        <v>4.2180842099596569</v>
      </c>
      <c r="K63" s="11">
        <f t="array" ref="K63:K71">MMULT(aggregation!$B$13:$AA$21,C152:C177)</f>
        <v>4.5848133323271769</v>
      </c>
      <c r="L63" s="11">
        <f t="array" ref="L63:L71">MMULT(aggregation!$B$13:$AA$21,D152:D177)</f>
        <v>0.3667291223675202</v>
      </c>
      <c r="M63" s="11">
        <f t="array" ref="M63:M71">MMULT(aggregation!$B$13:$AA$21,E152:E177)</f>
        <v>2.2773047390811656</v>
      </c>
      <c r="N63" s="11">
        <f t="array" ref="N63:N71">MMULT(aggregation!$B$13:$AA$21,F152:F177)</f>
        <v>2.644033861448686</v>
      </c>
      <c r="P63" s="24"/>
      <c r="Q63" s="34"/>
      <c r="R63" s="34"/>
      <c r="S63" s="34"/>
      <c r="T63" s="34"/>
      <c r="U63" s="34"/>
      <c r="V63" s="34"/>
      <c r="X63" s="10"/>
      <c r="Y63" s="10"/>
      <c r="Z63" s="10"/>
      <c r="AA63" s="345"/>
      <c r="AB63" s="10"/>
      <c r="AC63" s="345"/>
      <c r="AD63" s="348"/>
    </row>
    <row r="64" spans="1:30" ht="38.25" x14ac:dyDescent="0.2">
      <c r="A64" s="201" t="str">
        <f>CONCATENATE(name!F5," (Constrained)")</f>
        <v>RQF7 Other higher degree (Constrained)</v>
      </c>
      <c r="B64" s="88">
        <f t="shared" ref="B64:G64" si="48">B6</f>
        <v>2020</v>
      </c>
      <c r="C64" s="88">
        <f t="shared" si="48"/>
        <v>2035</v>
      </c>
      <c r="D64" s="88" t="str">
        <f t="shared" si="48"/>
        <v>Net Change</v>
      </c>
      <c r="E64" s="88" t="str">
        <f t="shared" si="48"/>
        <v>Replacement Demand level</v>
      </c>
      <c r="F64" s="88" t="str">
        <f t="shared" si="48"/>
        <v>Total Requirement</v>
      </c>
      <c r="G64" s="88" t="str">
        <f t="shared" si="48"/>
        <v>Replacement Demand rate</v>
      </c>
      <c r="I64" s="11" t="str">
        <f>I53</f>
        <v>Professional occupations</v>
      </c>
      <c r="J64" s="11">
        <v>5.533661706623632</v>
      </c>
      <c r="K64" s="11">
        <v>6.5933952503318469</v>
      </c>
      <c r="L64" s="11">
        <v>1.0597335437082154</v>
      </c>
      <c r="M64" s="11">
        <v>2.5641496987214234</v>
      </c>
      <c r="N64" s="11">
        <v>3.6238832424296388</v>
      </c>
      <c r="P64" s="11"/>
      <c r="Q64" s="11"/>
      <c r="R64" s="11"/>
      <c r="S64" s="341"/>
      <c r="T64" s="341"/>
      <c r="U64" s="341"/>
      <c r="X64" s="10"/>
      <c r="Y64" s="10"/>
      <c r="Z64" s="10"/>
      <c r="AA64" s="345"/>
      <c r="AB64" s="10"/>
      <c r="AC64" s="345"/>
      <c r="AD64" s="348"/>
    </row>
    <row r="65" spans="1:30" x14ac:dyDescent="0.2">
      <c r="A65" t="str">
        <f t="shared" ref="A65:A91" si="49">A7</f>
        <v>11 Corporate managers and directors</v>
      </c>
      <c r="B65" s="11">
        <v>3.7091591379940407</v>
      </c>
      <c r="C65" s="11">
        <v>5.0903125146877928</v>
      </c>
      <c r="D65" s="11">
        <f>C65-B65</f>
        <v>1.381153376693752</v>
      </c>
      <c r="E65" s="11">
        <v>2.1535765279155448</v>
      </c>
      <c r="F65" s="11">
        <f>SUM(D65:E65)</f>
        <v>3.5347299046092968</v>
      </c>
      <c r="G65" s="200">
        <f>IF(B65&gt;0,(1+(E65/B65))^(1/($C$6-$B$6))-1,0)</f>
        <v>3.0991274534631241E-2</v>
      </c>
      <c r="I65" s="11" t="str">
        <f>I54</f>
        <v>Associate professional occupations</v>
      </c>
      <c r="J65" s="11">
        <v>4.1335006757069905</v>
      </c>
      <c r="K65" s="11">
        <v>4.73431146038482</v>
      </c>
      <c r="L65" s="11">
        <v>0.60081078467782867</v>
      </c>
      <c r="M65" s="11">
        <v>2.0114317693592976</v>
      </c>
      <c r="N65" s="11">
        <v>2.6122425540371257</v>
      </c>
      <c r="P65" s="11"/>
      <c r="Q65" s="11"/>
      <c r="R65" s="11"/>
      <c r="S65" s="341"/>
      <c r="T65" s="341"/>
      <c r="U65" s="341"/>
      <c r="X65" s="10"/>
      <c r="Y65" s="10"/>
      <c r="Z65" s="10"/>
      <c r="AA65" s="345"/>
      <c r="AB65" s="10"/>
      <c r="AC65" s="345"/>
      <c r="AD65" s="348"/>
    </row>
    <row r="66" spans="1:30" x14ac:dyDescent="0.2">
      <c r="A66" t="str">
        <f t="shared" si="49"/>
        <v>12 Other managers and proprietors</v>
      </c>
      <c r="B66" s="11">
        <v>1.4639151183220365</v>
      </c>
      <c r="C66" s="11">
        <v>2.5687214179745523</v>
      </c>
      <c r="D66" s="11">
        <f t="shared" ref="D66:D89" si="50">C66-B66</f>
        <v>1.1048062996525159</v>
      </c>
      <c r="E66" s="11">
        <v>1.0993322092985649</v>
      </c>
      <c r="F66" s="11">
        <f t="shared" ref="F66:F89" si="51">SUM(D66:E66)</f>
        <v>2.2041385089510808</v>
      </c>
      <c r="G66" s="200">
        <f t="shared" ref="G66:G89" si="52">IF(B66&gt;0,(1+(E66/B66))^(1/($C$6-$B$6))-1,0)</f>
        <v>3.8050083757943165E-2</v>
      </c>
      <c r="I66" s="11" t="str">
        <f>I55</f>
        <v>Administrative and secretarial occupations</v>
      </c>
      <c r="J66" s="11">
        <v>3.2751745168960569</v>
      </c>
      <c r="K66" s="11">
        <v>4.1979389438621357</v>
      </c>
      <c r="L66" s="11">
        <v>0.9227644269660793</v>
      </c>
      <c r="M66" s="11">
        <v>2.1671360741828107</v>
      </c>
      <c r="N66" s="11">
        <v>3.08990050114889</v>
      </c>
      <c r="P66" s="11"/>
      <c r="Q66" s="11"/>
      <c r="R66" s="11"/>
      <c r="S66" s="341"/>
      <c r="T66" s="341"/>
      <c r="U66" s="341"/>
      <c r="X66" s="10"/>
      <c r="Y66" s="10"/>
      <c r="Z66" s="10"/>
      <c r="AA66" s="345"/>
      <c r="AB66" s="10"/>
      <c r="AC66" s="345"/>
      <c r="AD66" s="348"/>
    </row>
    <row r="67" spans="1:30" x14ac:dyDescent="0.2">
      <c r="A67" t="str">
        <f t="shared" si="49"/>
        <v>21 Science, research, engineering and technology professionals</v>
      </c>
      <c r="B67" s="11">
        <v>4.4020512238924958</v>
      </c>
      <c r="C67" s="11">
        <v>8.9689926153910893</v>
      </c>
      <c r="D67" s="11">
        <f t="shared" si="50"/>
        <v>4.5669413914985935</v>
      </c>
      <c r="E67" s="11">
        <v>2.7709238787396169</v>
      </c>
      <c r="F67" s="11">
        <f t="shared" si="51"/>
        <v>7.3378652702382103</v>
      </c>
      <c r="G67" s="200">
        <f t="shared" si="52"/>
        <v>3.3085538320734909E-2</v>
      </c>
      <c r="I67" s="11" t="str">
        <f t="shared" ref="I67:I71" si="53">I56</f>
        <v>Skilled trades occupations</v>
      </c>
      <c r="J67" s="11">
        <v>2.9262437836592983</v>
      </c>
      <c r="K67" s="11">
        <v>3.594108552818287</v>
      </c>
      <c r="L67" s="11">
        <v>0.66786476915898862</v>
      </c>
      <c r="M67" s="11">
        <v>1.6279474764012229</v>
      </c>
      <c r="N67" s="11">
        <v>2.2958122455602119</v>
      </c>
      <c r="P67" s="11"/>
      <c r="Q67" s="11"/>
      <c r="R67" s="11"/>
      <c r="S67" s="341"/>
      <c r="T67" s="341"/>
      <c r="U67" s="341"/>
      <c r="X67" s="10"/>
      <c r="Y67" s="10"/>
      <c r="Z67" s="10"/>
      <c r="AA67" s="345"/>
      <c r="AB67" s="10"/>
      <c r="AC67" s="345"/>
      <c r="AD67" s="348"/>
    </row>
    <row r="68" spans="1:30" x14ac:dyDescent="0.2">
      <c r="A68" t="str">
        <f t="shared" si="49"/>
        <v>22 Health professionals</v>
      </c>
      <c r="B68" s="11">
        <v>3.8115023550599458</v>
      </c>
      <c r="C68" s="11">
        <v>5.1745248841407383</v>
      </c>
      <c r="D68" s="11">
        <f t="shared" si="50"/>
        <v>1.3630225290807925</v>
      </c>
      <c r="E68" s="11">
        <v>2.0938607654629484</v>
      </c>
      <c r="F68" s="11">
        <f t="shared" si="51"/>
        <v>3.4568832945437409</v>
      </c>
      <c r="G68" s="200">
        <f t="shared" si="52"/>
        <v>2.9619346480475706E-2</v>
      </c>
      <c r="I68" s="11" t="str">
        <f t="shared" si="53"/>
        <v>Caring, leisure and other service occupations</v>
      </c>
      <c r="J68" s="11">
        <v>3.4677963976895518</v>
      </c>
      <c r="K68" s="11">
        <v>4.7018696764586059</v>
      </c>
      <c r="L68" s="11">
        <v>1.2340732787690536</v>
      </c>
      <c r="M68" s="11">
        <v>2.4153670263672491</v>
      </c>
      <c r="N68" s="11">
        <v>3.6494403051363027</v>
      </c>
      <c r="P68" s="11"/>
      <c r="Q68" s="11"/>
      <c r="R68" s="11"/>
      <c r="S68" s="341"/>
      <c r="T68" s="341"/>
      <c r="U68" s="341"/>
      <c r="X68" s="10"/>
      <c r="Y68" s="10"/>
      <c r="Z68" s="10"/>
      <c r="AA68" s="345"/>
      <c r="AB68" s="10"/>
      <c r="AC68" s="345"/>
      <c r="AD68" s="348"/>
    </row>
    <row r="69" spans="1:30" x14ac:dyDescent="0.2">
      <c r="A69" t="str">
        <f t="shared" si="49"/>
        <v>23 Teaching and other educational professionals</v>
      </c>
      <c r="B69" s="11">
        <v>9.0602830466007909</v>
      </c>
      <c r="C69" s="11">
        <v>10.636409495562843</v>
      </c>
      <c r="D69" s="11">
        <f t="shared" ref="D69" si="54">C69-B69</f>
        <v>1.5761264489620519</v>
      </c>
      <c r="E69" s="11">
        <v>4.6277093181880744</v>
      </c>
      <c r="F69" s="11">
        <f t="shared" ref="F69" si="55">SUM(D69:E69)</f>
        <v>6.2038357671501263</v>
      </c>
      <c r="G69" s="200">
        <f t="shared" si="52"/>
        <v>2.7889743481444462E-2</v>
      </c>
      <c r="I69" s="11" t="str">
        <f t="shared" si="53"/>
        <v>Sales and customer service occupations</v>
      </c>
      <c r="J69" s="11">
        <v>1.7758258825700661</v>
      </c>
      <c r="K69" s="11">
        <v>2.4070459499320256</v>
      </c>
      <c r="L69" s="11">
        <v>0.63122006736195946</v>
      </c>
      <c r="M69" s="11">
        <v>0.98192811039954553</v>
      </c>
      <c r="N69" s="11">
        <v>1.6131481777615051</v>
      </c>
      <c r="P69" s="11"/>
      <c r="Q69" s="11"/>
      <c r="R69" s="11"/>
      <c r="S69" s="341"/>
      <c r="T69" s="341"/>
      <c r="U69" s="341"/>
      <c r="X69" s="10"/>
      <c r="Y69" s="10"/>
      <c r="Z69" s="10"/>
      <c r="AA69" s="345"/>
      <c r="AB69" s="10"/>
      <c r="AC69" s="345"/>
      <c r="AD69" s="348"/>
    </row>
    <row r="70" spans="1:30" x14ac:dyDescent="0.2">
      <c r="A70" t="str">
        <f t="shared" si="49"/>
        <v>24 Business, media and public service professionals</v>
      </c>
      <c r="B70" s="11">
        <v>6.0336837776903014</v>
      </c>
      <c r="C70" s="11">
        <v>9.1112636458209977</v>
      </c>
      <c r="D70" s="11">
        <f t="shared" si="50"/>
        <v>3.0775798681306963</v>
      </c>
      <c r="E70" s="11">
        <v>3.5839409525701136</v>
      </c>
      <c r="F70" s="11">
        <f t="shared" si="51"/>
        <v>6.6615208207008099</v>
      </c>
      <c r="G70" s="200">
        <f t="shared" si="52"/>
        <v>3.1570748823247952E-2</v>
      </c>
      <c r="I70" s="11" t="str">
        <f t="shared" si="53"/>
        <v>Process, plant and machine operatives</v>
      </c>
      <c r="J70" s="11">
        <v>1.486746993586785</v>
      </c>
      <c r="K70" s="11">
        <v>2.2189665111840098</v>
      </c>
      <c r="L70" s="11">
        <v>0.7322195175972247</v>
      </c>
      <c r="M70" s="11">
        <v>1.0569985496072518</v>
      </c>
      <c r="N70" s="11">
        <v>1.7892180672044766</v>
      </c>
      <c r="P70" s="11"/>
      <c r="Q70" s="11"/>
      <c r="R70" s="11"/>
      <c r="S70" s="341"/>
      <c r="T70" s="341"/>
      <c r="U70" s="341"/>
      <c r="X70" s="10"/>
      <c r="Y70" s="10"/>
      <c r="Z70" s="10"/>
      <c r="AA70" s="345"/>
      <c r="AB70" s="10"/>
      <c r="AC70" s="345"/>
      <c r="AD70" s="348"/>
    </row>
    <row r="71" spans="1:30" x14ac:dyDescent="0.2">
      <c r="A71" t="str">
        <f t="shared" si="49"/>
        <v>31 Science, engineering and technology associate professionals</v>
      </c>
      <c r="B71" s="11">
        <v>0.89609726882703056</v>
      </c>
      <c r="C71" s="11">
        <v>1.4181359753048874</v>
      </c>
      <c r="D71" s="11">
        <f t="shared" si="50"/>
        <v>0.52203870647785688</v>
      </c>
      <c r="E71" s="11">
        <v>0.47477984661874312</v>
      </c>
      <c r="F71" s="11">
        <f t="shared" si="51"/>
        <v>0.99681855309660006</v>
      </c>
      <c r="G71" s="200">
        <f t="shared" si="52"/>
        <v>2.8749313003441301E-2</v>
      </c>
      <c r="I71" s="11" t="str">
        <f t="shared" si="53"/>
        <v>Elementary occupations</v>
      </c>
      <c r="J71" s="11">
        <v>1.9596377602738815</v>
      </c>
      <c r="K71" s="11">
        <v>3.1931810296480903</v>
      </c>
      <c r="L71" s="11">
        <v>1.2335432693742088</v>
      </c>
      <c r="M71" s="11">
        <v>1.559665373041264</v>
      </c>
      <c r="N71" s="11">
        <v>2.7932086424154727</v>
      </c>
      <c r="P71" s="11"/>
      <c r="Q71" s="11"/>
      <c r="R71" s="11"/>
      <c r="S71" s="341"/>
      <c r="T71" s="341"/>
      <c r="U71" s="341"/>
      <c r="X71" s="10"/>
      <c r="Y71" s="10"/>
      <c r="Z71" s="10"/>
      <c r="AA71" s="345"/>
      <c r="AB71" s="10"/>
      <c r="AC71" s="345"/>
      <c r="AD71" s="348"/>
    </row>
    <row r="72" spans="1:30" x14ac:dyDescent="0.2">
      <c r="A72" t="str">
        <f t="shared" si="49"/>
        <v>32 Health and social care associate professionals</v>
      </c>
      <c r="B72" s="11">
        <v>0.94217246466835936</v>
      </c>
      <c r="C72" s="11">
        <v>2.6774790444438539</v>
      </c>
      <c r="D72" s="11">
        <f t="shared" si="50"/>
        <v>1.7353065797754945</v>
      </c>
      <c r="E72" s="11">
        <v>1.0171920638921961</v>
      </c>
      <c r="F72" s="11">
        <f t="shared" si="51"/>
        <v>2.7524986436676908</v>
      </c>
      <c r="G72" s="200">
        <f t="shared" si="52"/>
        <v>5.0023427557520428E-2</v>
      </c>
      <c r="I72" s="11"/>
      <c r="J72" s="11"/>
      <c r="K72" s="11"/>
      <c r="L72" s="11"/>
      <c r="M72" s="11"/>
      <c r="N72" s="11"/>
      <c r="P72" s="11"/>
      <c r="Q72" s="11"/>
      <c r="R72" s="11"/>
      <c r="S72" s="341"/>
      <c r="T72" s="341"/>
      <c r="U72" s="341"/>
      <c r="X72" s="10"/>
      <c r="Y72" s="10"/>
      <c r="Z72" s="10"/>
      <c r="AA72" s="345"/>
      <c r="AB72" s="10"/>
      <c r="AC72" s="345"/>
      <c r="AD72" s="348"/>
    </row>
    <row r="73" spans="1:30" x14ac:dyDescent="0.2">
      <c r="A73" t="str">
        <f t="shared" si="49"/>
        <v>33 Protective service occupations</v>
      </c>
      <c r="B73" s="11">
        <v>0.27918701847453203</v>
      </c>
      <c r="C73" s="11">
        <v>0.4408335598615778</v>
      </c>
      <c r="D73" s="11">
        <f t="shared" si="50"/>
        <v>0.16164654138704576</v>
      </c>
      <c r="E73" s="11">
        <v>0.11198110226462997</v>
      </c>
      <c r="F73" s="11">
        <f t="shared" si="51"/>
        <v>0.27362764365167574</v>
      </c>
      <c r="G73" s="200">
        <f t="shared" si="52"/>
        <v>2.2738368132954268E-2</v>
      </c>
      <c r="I73" s="87" t="str">
        <f>name!F9</f>
        <v>RQF3 A level &amp; equivalent</v>
      </c>
      <c r="J73" s="11"/>
      <c r="K73" s="11"/>
      <c r="L73" s="11"/>
      <c r="M73" s="11"/>
      <c r="N73" s="11"/>
      <c r="P73" s="11"/>
      <c r="Q73" s="11"/>
      <c r="R73" s="11"/>
      <c r="S73" s="341"/>
      <c r="T73" s="341"/>
      <c r="U73" s="341"/>
      <c r="X73" s="10"/>
      <c r="Y73" s="10"/>
      <c r="Z73" s="10"/>
      <c r="AA73" s="345"/>
      <c r="AB73" s="10"/>
      <c r="AC73" s="345"/>
      <c r="AD73" s="348"/>
    </row>
    <row r="74" spans="1:30" x14ac:dyDescent="0.2">
      <c r="A74" t="str">
        <f t="shared" si="49"/>
        <v>34 Culture, media and sports occupations</v>
      </c>
      <c r="B74" s="11">
        <v>1.1459800972115457</v>
      </c>
      <c r="C74" s="11">
        <v>1.4108340578639889</v>
      </c>
      <c r="D74" s="11">
        <f t="shared" ref="D74:D75" si="56">C74-B74</f>
        <v>0.26485396065244315</v>
      </c>
      <c r="E74" s="11">
        <v>0.560374323623547</v>
      </c>
      <c r="F74" s="11">
        <f t="shared" ref="F74:F75" si="57">SUM(D74:E74)</f>
        <v>0.82522828427599015</v>
      </c>
      <c r="G74" s="200">
        <f t="shared" si="52"/>
        <v>2.6895248737030641E-2</v>
      </c>
      <c r="I74" s="11" t="str">
        <f>I63</f>
        <v>Managers, directors and senior officials</v>
      </c>
      <c r="J74" s="11">
        <f t="array" ref="J74:J82">MMULT(aggregation!$B$13:$AA$21,B181:B206)</f>
        <v>11.372365051079342</v>
      </c>
      <c r="K74" s="11">
        <f t="array" ref="K74:K82">MMULT(aggregation!$B$13:$AA$21,C181:C206)</f>
        <v>11.462967289993905</v>
      </c>
      <c r="L74" s="11">
        <f t="array" ref="L74:L82">MMULT(aggregation!$B$13:$AA$21,D181:D206)</f>
        <v>9.0602238914561983E-2</v>
      </c>
      <c r="M74" s="11">
        <f t="array" ref="M74:M82">MMULT(aggregation!$B$13:$AA$21,E181:E206)</f>
        <v>4.861207107282187</v>
      </c>
      <c r="N74" s="11">
        <f t="array" ref="N74:N82">MMULT(aggregation!$B$13:$AA$21,F181:F206)</f>
        <v>4.9518093461967485</v>
      </c>
      <c r="P74" s="11"/>
      <c r="Q74" s="11"/>
      <c r="R74" s="11"/>
      <c r="S74" s="341"/>
      <c r="T74" s="341"/>
      <c r="U74" s="341"/>
      <c r="X74" s="10"/>
      <c r="Y74" s="10"/>
      <c r="Z74" s="10"/>
      <c r="AA74" s="345"/>
      <c r="AB74" s="10"/>
      <c r="AC74" s="345"/>
      <c r="AD74" s="348"/>
    </row>
    <row r="75" spans="1:30" x14ac:dyDescent="0.2">
      <c r="A75" t="str">
        <f t="shared" si="49"/>
        <v>35 Business and public service associate professionals</v>
      </c>
      <c r="B75" s="11">
        <v>3.1591002076536201</v>
      </c>
      <c r="C75" s="11">
        <v>4.9045112999318299</v>
      </c>
      <c r="D75" s="11">
        <f t="shared" si="56"/>
        <v>1.7454110922782098</v>
      </c>
      <c r="E75" s="11">
        <v>1.8500402730169365</v>
      </c>
      <c r="F75" s="11">
        <f t="shared" si="57"/>
        <v>3.5954513652951463</v>
      </c>
      <c r="G75" s="200">
        <f t="shared" si="52"/>
        <v>3.1208903237297525E-2</v>
      </c>
      <c r="I75" s="11" t="str">
        <f>I64</f>
        <v>Professional occupations</v>
      </c>
      <c r="J75" s="11">
        <v>13.460418035067637</v>
      </c>
      <c r="K75" s="11">
        <v>16.234617207296136</v>
      </c>
      <c r="L75" s="11">
        <v>2.7741991722285015</v>
      </c>
      <c r="M75" s="11">
        <v>5.9282286603922998</v>
      </c>
      <c r="N75" s="11">
        <v>8.7024278326208009</v>
      </c>
      <c r="P75" s="11"/>
      <c r="Q75" s="11"/>
      <c r="R75" s="11"/>
      <c r="S75" s="341"/>
      <c r="T75" s="341"/>
      <c r="U75" s="341"/>
      <c r="X75" s="10"/>
      <c r="Y75" s="10"/>
      <c r="Z75" s="10"/>
      <c r="AA75" s="345"/>
      <c r="AB75" s="10"/>
      <c r="AC75" s="345"/>
      <c r="AD75" s="348"/>
    </row>
    <row r="76" spans="1:30" x14ac:dyDescent="0.2">
      <c r="A76" t="str">
        <f t="shared" si="49"/>
        <v>41 Administrative occupations</v>
      </c>
      <c r="B76" s="11">
        <v>2.3360221356666755</v>
      </c>
      <c r="C76" s="11">
        <v>4.2811573527727855</v>
      </c>
      <c r="D76" s="11">
        <f t="shared" si="50"/>
        <v>1.94513521710611</v>
      </c>
      <c r="E76" s="11">
        <v>1.6543504468268029</v>
      </c>
      <c r="F76" s="11">
        <f t="shared" si="51"/>
        <v>3.5994856639329127</v>
      </c>
      <c r="G76" s="200">
        <f t="shared" si="52"/>
        <v>3.6340410041177718E-2</v>
      </c>
      <c r="I76" s="11" t="str">
        <f>I65</f>
        <v>Associate professional occupations</v>
      </c>
      <c r="J76" s="11">
        <v>13.149279395899704</v>
      </c>
      <c r="K76" s="11">
        <v>14.126795597263435</v>
      </c>
      <c r="L76" s="11">
        <v>0.97751620136373218</v>
      </c>
      <c r="M76" s="11">
        <v>5.8964771953494193</v>
      </c>
      <c r="N76" s="11">
        <v>6.8739933967131499</v>
      </c>
      <c r="P76" s="11"/>
      <c r="Q76" s="11"/>
      <c r="R76" s="11"/>
      <c r="S76" s="341"/>
      <c r="T76" s="341"/>
      <c r="U76" s="341"/>
      <c r="X76" s="10"/>
      <c r="Y76" s="10"/>
      <c r="Z76" s="10"/>
      <c r="AA76" s="345"/>
      <c r="AB76" s="10"/>
      <c r="AC76" s="345"/>
      <c r="AD76" s="348"/>
    </row>
    <row r="77" spans="1:30" x14ac:dyDescent="0.2">
      <c r="A77" t="str">
        <f t="shared" si="49"/>
        <v>42 Secretarial and related occupations</v>
      </c>
      <c r="B77" s="11">
        <v>0.38255049692205584</v>
      </c>
      <c r="C77" s="11">
        <v>0.71866788684878447</v>
      </c>
      <c r="D77" s="11">
        <f t="shared" si="50"/>
        <v>0.33611738992672863</v>
      </c>
      <c r="E77" s="11">
        <v>0.2968872398332621</v>
      </c>
      <c r="F77" s="11">
        <f t="shared" si="51"/>
        <v>0.63300462975999072</v>
      </c>
      <c r="G77" s="200">
        <f t="shared" si="52"/>
        <v>3.9036313962747871E-2</v>
      </c>
      <c r="I77" s="11" t="str">
        <f>I66</f>
        <v>Administrative and secretarial occupations</v>
      </c>
      <c r="J77" s="11">
        <v>11.414660412817454</v>
      </c>
      <c r="K77" s="11">
        <v>9.6045053264124185</v>
      </c>
      <c r="L77" s="11">
        <v>-1.8101550864050371</v>
      </c>
      <c r="M77" s="11">
        <v>5.0747661741809207</v>
      </c>
      <c r="N77" s="11">
        <v>3.2646110877758834</v>
      </c>
      <c r="P77" s="11"/>
      <c r="Q77" s="11"/>
      <c r="R77" s="11"/>
      <c r="S77" s="341"/>
      <c r="T77" s="341"/>
      <c r="U77" s="341"/>
      <c r="X77" s="10"/>
      <c r="Y77" s="10"/>
      <c r="Z77" s="10"/>
      <c r="AA77" s="345"/>
      <c r="AB77" s="10"/>
      <c r="AC77" s="345"/>
      <c r="AD77" s="348"/>
    </row>
    <row r="78" spans="1:30" x14ac:dyDescent="0.2">
      <c r="A78" t="str">
        <f t="shared" si="49"/>
        <v>51 Skilled agricultural and related trades</v>
      </c>
      <c r="B78" s="11">
        <v>0.11000268285421991</v>
      </c>
      <c r="C78" s="11">
        <v>0.1440630427692707</v>
      </c>
      <c r="D78" s="11">
        <f t="shared" si="50"/>
        <v>3.4060359915050797E-2</v>
      </c>
      <c r="E78" s="11">
        <v>6.3362883184692298E-2</v>
      </c>
      <c r="F78" s="11">
        <f t="shared" si="51"/>
        <v>9.7423243099743095E-2</v>
      </c>
      <c r="G78" s="200">
        <f t="shared" si="52"/>
        <v>3.0791046614279338E-2</v>
      </c>
      <c r="I78" s="11" t="str">
        <f t="shared" ref="I78:I82" si="58">I67</f>
        <v>Skilled trades occupations</v>
      </c>
      <c r="J78" s="11">
        <v>15.479072277583215</v>
      </c>
      <c r="K78" s="11">
        <v>14.267599844260266</v>
      </c>
      <c r="L78" s="11">
        <v>-1.2114724333229496</v>
      </c>
      <c r="M78" s="11">
        <v>5.7943339822490483</v>
      </c>
      <c r="N78" s="11">
        <v>4.5828615489260986</v>
      </c>
      <c r="O78" s="71"/>
      <c r="P78" s="11"/>
      <c r="Q78" s="11"/>
      <c r="R78" s="11"/>
      <c r="S78" s="341"/>
      <c r="T78" s="341"/>
      <c r="U78" s="341"/>
      <c r="X78" s="10"/>
      <c r="Y78" s="10"/>
      <c r="Z78" s="10"/>
      <c r="AA78" s="345"/>
      <c r="AB78" s="10"/>
      <c r="AC78" s="345"/>
      <c r="AD78" s="348"/>
    </row>
    <row r="79" spans="1:30" x14ac:dyDescent="0.2">
      <c r="A79" t="str">
        <f t="shared" si="49"/>
        <v>52 Skilled metal, electrical and electronic trades</v>
      </c>
      <c r="B79" s="11">
        <v>0.27433079124908633</v>
      </c>
      <c r="C79" s="11">
        <v>0.59098278540717397</v>
      </c>
      <c r="D79" s="11">
        <f t="shared" si="50"/>
        <v>0.31665199415808765</v>
      </c>
      <c r="E79" s="11">
        <v>0.20143740477288818</v>
      </c>
      <c r="F79" s="11">
        <f t="shared" si="51"/>
        <v>0.51808939893097583</v>
      </c>
      <c r="G79" s="200">
        <f t="shared" si="52"/>
        <v>3.7388406281757103E-2</v>
      </c>
      <c r="I79" s="11" t="str">
        <f t="shared" si="58"/>
        <v>Caring, leisure and other service occupations</v>
      </c>
      <c r="J79" s="11">
        <v>19.818023456380033</v>
      </c>
      <c r="K79" s="11">
        <v>21.916650393243895</v>
      </c>
      <c r="L79" s="11">
        <v>2.0986269368638619</v>
      </c>
      <c r="M79" s="11">
        <v>10.988818458345419</v>
      </c>
      <c r="N79" s="11">
        <v>13.087445395209279</v>
      </c>
      <c r="X79" s="10"/>
      <c r="Y79" s="10"/>
      <c r="Z79" s="10"/>
      <c r="AA79" s="345"/>
      <c r="AB79" s="10"/>
      <c r="AC79" s="345"/>
      <c r="AD79" s="348"/>
    </row>
    <row r="80" spans="1:30" x14ac:dyDescent="0.2">
      <c r="A80" t="str">
        <f t="shared" si="49"/>
        <v>53 Skilled construction and building trades</v>
      </c>
      <c r="B80" s="11">
        <v>8.5282642393508634E-2</v>
      </c>
      <c r="C80" s="11">
        <v>0.13856746182881616</v>
      </c>
      <c r="D80" s="11">
        <f t="shared" ref="D80" si="59">C80-B80</f>
        <v>5.3284819435307523E-2</v>
      </c>
      <c r="E80" s="11">
        <v>5.6782453237793531E-2</v>
      </c>
      <c r="F80" s="11">
        <f t="shared" ref="F80" si="60">SUM(D80:E80)</f>
        <v>0.11006727267310105</v>
      </c>
      <c r="G80" s="200">
        <f t="shared" si="52"/>
        <v>3.4606293755560236E-2</v>
      </c>
      <c r="I80" s="11" t="str">
        <f t="shared" si="58"/>
        <v>Sales and customer service occupations</v>
      </c>
      <c r="J80" s="11">
        <v>11.869667951443418</v>
      </c>
      <c r="K80" s="11">
        <v>13.045497862506034</v>
      </c>
      <c r="L80" s="11">
        <v>1.1758299110626154</v>
      </c>
      <c r="M80" s="11">
        <v>5.5680710301566965</v>
      </c>
      <c r="N80" s="11">
        <v>6.7439009412193114</v>
      </c>
      <c r="P80" s="85"/>
      <c r="Q80" s="74"/>
      <c r="R80" s="74"/>
      <c r="S80" s="342"/>
      <c r="T80" s="342"/>
      <c r="U80" s="342"/>
      <c r="X80" s="10"/>
      <c r="Y80" s="10"/>
      <c r="Z80" s="10"/>
      <c r="AA80" s="345"/>
      <c r="AB80" s="10"/>
      <c r="AC80" s="345"/>
      <c r="AD80" s="348"/>
    </row>
    <row r="81" spans="1:30" x14ac:dyDescent="0.2">
      <c r="A81" t="str">
        <f t="shared" si="49"/>
        <v>54 Textiles, printing and other skilled trades</v>
      </c>
      <c r="B81" s="11">
        <v>0.30619860428837159</v>
      </c>
      <c r="C81" s="11">
        <v>0.53116455673679508</v>
      </c>
      <c r="D81" s="11">
        <f t="shared" si="50"/>
        <v>0.22496595244842349</v>
      </c>
      <c r="E81" s="11">
        <v>0.20530338144422799</v>
      </c>
      <c r="F81" s="11">
        <f t="shared" si="51"/>
        <v>0.43026933389265148</v>
      </c>
      <c r="G81" s="200">
        <f t="shared" si="52"/>
        <v>3.4799653174419243E-2</v>
      </c>
      <c r="I81" s="11" t="str">
        <f t="shared" si="58"/>
        <v>Process, plant and machine operatives</v>
      </c>
      <c r="J81" s="11">
        <v>9.3156856932435623</v>
      </c>
      <c r="K81" s="11">
        <v>11.866911974472863</v>
      </c>
      <c r="L81" s="11">
        <v>2.5512262812293001</v>
      </c>
      <c r="M81" s="11">
        <v>4.8397863927805869</v>
      </c>
      <c r="N81" s="11">
        <v>7.391012674009886</v>
      </c>
      <c r="P81" s="11"/>
      <c r="Q81" s="11"/>
      <c r="R81" s="11"/>
      <c r="S81" s="341"/>
      <c r="T81" s="341"/>
      <c r="U81" s="341"/>
      <c r="X81" s="10"/>
      <c r="Y81" s="10"/>
      <c r="Z81" s="10"/>
      <c r="AA81" s="345"/>
      <c r="AB81" s="10"/>
      <c r="AC81" s="345"/>
      <c r="AD81" s="348"/>
    </row>
    <row r="82" spans="1:30" x14ac:dyDescent="0.2">
      <c r="A82" t="str">
        <f t="shared" si="49"/>
        <v>61 Caring personal service occupations</v>
      </c>
      <c r="B82" s="11">
        <v>1.5797656335175001</v>
      </c>
      <c r="C82" s="11">
        <v>3.1785659977111158</v>
      </c>
      <c r="D82" s="11">
        <f t="shared" si="50"/>
        <v>1.5988003641936157</v>
      </c>
      <c r="E82" s="11">
        <v>1.2936620210528353</v>
      </c>
      <c r="F82" s="11">
        <f t="shared" si="51"/>
        <v>2.8924623852464508</v>
      </c>
      <c r="G82" s="200">
        <f t="shared" si="52"/>
        <v>4.0687904648357476E-2</v>
      </c>
      <c r="I82" s="11" t="str">
        <f t="shared" si="58"/>
        <v>Elementary occupations</v>
      </c>
      <c r="J82" s="11">
        <v>10.257893321344838</v>
      </c>
      <c r="K82" s="11">
        <v>11.251844523765612</v>
      </c>
      <c r="L82" s="11">
        <v>0.99395120242077262</v>
      </c>
      <c r="M82" s="11">
        <v>4.8680699427602194</v>
      </c>
      <c r="N82" s="11">
        <v>5.862021145180992</v>
      </c>
      <c r="P82" s="11"/>
      <c r="Q82" s="11"/>
      <c r="R82" s="11"/>
      <c r="S82" s="341"/>
      <c r="T82" s="341"/>
      <c r="U82" s="341"/>
      <c r="X82" s="10"/>
      <c r="Y82" s="10"/>
      <c r="Z82" s="10"/>
      <c r="AA82" s="345"/>
      <c r="AB82" s="10"/>
      <c r="AC82" s="345"/>
      <c r="AD82" s="354"/>
    </row>
    <row r="83" spans="1:30" x14ac:dyDescent="0.2">
      <c r="A83" t="str">
        <f t="shared" si="49"/>
        <v>62 Leisure, travel and related personal service occupations</v>
      </c>
      <c r="B83" s="11">
        <v>0.25670922694022624</v>
      </c>
      <c r="C83" s="11">
        <v>0.39249099456072412</v>
      </c>
      <c r="D83" s="11">
        <f t="shared" ref="D83:D84" si="61">C83-B83</f>
        <v>0.13578176762049787</v>
      </c>
      <c r="E83" s="11">
        <v>0.15419383481543555</v>
      </c>
      <c r="F83" s="11">
        <f t="shared" ref="F83:F84" si="62">SUM(D83:E83)</f>
        <v>0.28997560243593345</v>
      </c>
      <c r="G83" s="200">
        <f t="shared" si="52"/>
        <v>3.1857820121618197E-2</v>
      </c>
      <c r="I83" s="11"/>
      <c r="J83" s="11"/>
      <c r="K83" s="11"/>
      <c r="L83" s="11"/>
      <c r="M83" s="11"/>
      <c r="N83" s="11"/>
      <c r="P83" s="11"/>
      <c r="Q83" s="11"/>
      <c r="R83" s="11"/>
      <c r="S83" s="341"/>
      <c r="T83" s="341"/>
      <c r="U83" s="341"/>
    </row>
    <row r="84" spans="1:30" x14ac:dyDescent="0.2">
      <c r="A84" t="str">
        <f t="shared" si="49"/>
        <v>63 Community and civil enforcement occupations</v>
      </c>
      <c r="B84" s="11">
        <v>1.7131487405293057E-2</v>
      </c>
      <c r="C84" s="11">
        <v>2.7662666344143386E-2</v>
      </c>
      <c r="D84" s="11">
        <f t="shared" si="61"/>
        <v>1.0531178938850329E-2</v>
      </c>
      <c r="E84" s="11">
        <v>1.0484168222637646E-2</v>
      </c>
      <c r="F84" s="11">
        <f t="shared" si="62"/>
        <v>2.1015347161487976E-2</v>
      </c>
      <c r="G84" s="200">
        <f t="shared" si="52"/>
        <v>3.2343004343434956E-2</v>
      </c>
      <c r="I84" s="87" t="str">
        <f>name!F10</f>
        <v>RQF2 GCSE(A-C) &amp; equivalent</v>
      </c>
      <c r="J84" s="11"/>
      <c r="K84" s="11"/>
      <c r="L84" s="11"/>
      <c r="M84" s="11"/>
      <c r="N84" s="11"/>
      <c r="P84" s="11"/>
      <c r="Q84" s="11"/>
      <c r="R84" s="11"/>
      <c r="S84" s="341"/>
      <c r="T84" s="341"/>
      <c r="U84" s="341"/>
    </row>
    <row r="85" spans="1:30" x14ac:dyDescent="0.2">
      <c r="A85" t="str">
        <f t="shared" si="49"/>
        <v>71 Sales occupations</v>
      </c>
      <c r="B85" s="11">
        <v>0.93949261501268089</v>
      </c>
      <c r="C85" s="11">
        <v>1.8192090923331956</v>
      </c>
      <c r="D85" s="11">
        <f t="shared" si="50"/>
        <v>0.87971647732051472</v>
      </c>
      <c r="E85" s="11">
        <v>0.60984844321920406</v>
      </c>
      <c r="F85" s="11">
        <f t="shared" si="51"/>
        <v>1.4895649205397188</v>
      </c>
      <c r="G85" s="200">
        <f t="shared" si="52"/>
        <v>3.39120031918001E-2</v>
      </c>
      <c r="I85" s="11" t="str">
        <f>I74</f>
        <v>Managers, directors and senior officials</v>
      </c>
      <c r="J85" s="11">
        <f t="array" ref="J85:J93">MMULT(aggregation!$B$13:$AA$21,B210:B235)</f>
        <v>8.9157550121785896</v>
      </c>
      <c r="K85" s="11">
        <f t="array" ref="K85:K93">MMULT(aggregation!$B$13:$AA$21,C210:C235)</f>
        <v>5.9982737147595824</v>
      </c>
      <c r="L85" s="11">
        <f t="array" ref="L85:L93">MMULT(aggregation!$B$13:$AA$21,D210:D235)</f>
        <v>-2.9174812974190076</v>
      </c>
      <c r="M85" s="11">
        <f t="array" ref="M85:M93">MMULT(aggregation!$B$13:$AA$21,E210:E235)</f>
        <v>3.4191917467963986</v>
      </c>
      <c r="N85" s="11">
        <f t="array" ref="N85:N93">MMULT(aggregation!$B$13:$AA$21,F210:F235)</f>
        <v>0.50171044937739073</v>
      </c>
      <c r="P85" s="11"/>
      <c r="Q85" s="11"/>
      <c r="R85" s="11"/>
      <c r="S85" s="341"/>
      <c r="T85" s="341"/>
      <c r="U85" s="341"/>
    </row>
    <row r="86" spans="1:30" x14ac:dyDescent="0.2">
      <c r="A86" t="str">
        <f t="shared" si="49"/>
        <v>72 Customer service occupations</v>
      </c>
      <c r="B86" s="11">
        <v>0.28465683501576566</v>
      </c>
      <c r="C86" s="11">
        <v>0.58836840881438401</v>
      </c>
      <c r="D86" s="11">
        <f t="shared" si="50"/>
        <v>0.30371157379861835</v>
      </c>
      <c r="E86" s="11">
        <v>0.19886612960297523</v>
      </c>
      <c r="F86" s="11">
        <f t="shared" si="51"/>
        <v>0.50257770340159358</v>
      </c>
      <c r="G86" s="200">
        <f t="shared" si="52"/>
        <v>3.5952157638681648E-2</v>
      </c>
      <c r="I86" s="11" t="str">
        <f>I75</f>
        <v>Professional occupations</v>
      </c>
      <c r="J86" s="11">
        <v>8.5510612027592359</v>
      </c>
      <c r="K86" s="11">
        <v>6.8774020137291991</v>
      </c>
      <c r="L86" s="11">
        <v>-1.6736591890300372</v>
      </c>
      <c r="M86" s="11">
        <v>3.125443555783189</v>
      </c>
      <c r="N86" s="11">
        <v>1.451784366753152</v>
      </c>
      <c r="P86" s="11"/>
      <c r="Q86" s="11"/>
      <c r="R86" s="11"/>
      <c r="S86" s="341"/>
      <c r="T86" s="341"/>
      <c r="U86" s="341"/>
    </row>
    <row r="87" spans="1:30" x14ac:dyDescent="0.2">
      <c r="A87" t="str">
        <f t="shared" si="49"/>
        <v>81 Process, plant and machine operatives</v>
      </c>
      <c r="B87" s="11">
        <v>0.28910662661116671</v>
      </c>
      <c r="C87" s="11">
        <v>0.93596424439387926</v>
      </c>
      <c r="D87" s="11">
        <f t="shared" ref="D87:D88" si="63">C87-B87</f>
        <v>0.64685761778271256</v>
      </c>
      <c r="E87" s="11">
        <v>0.29744051500264324</v>
      </c>
      <c r="F87" s="11">
        <f t="shared" ref="F87:F88" si="64">SUM(D87:E87)</f>
        <v>0.94429813278535579</v>
      </c>
      <c r="G87" s="200">
        <f t="shared" si="52"/>
        <v>4.8293738543557785E-2</v>
      </c>
      <c r="I87" s="11" t="str">
        <f>I76</f>
        <v>Associate professional occupations</v>
      </c>
      <c r="J87" s="11">
        <v>9.5491916091071847</v>
      </c>
      <c r="K87" s="11">
        <v>7.2596809379075484</v>
      </c>
      <c r="L87" s="11">
        <v>-2.2895106711996362</v>
      </c>
      <c r="M87" s="11">
        <v>3.5266220661602912</v>
      </c>
      <c r="N87" s="11">
        <v>1.2371113949606551</v>
      </c>
      <c r="P87" s="11"/>
      <c r="Q87" s="11"/>
      <c r="R87" s="11"/>
      <c r="S87" s="341"/>
      <c r="T87" s="341"/>
      <c r="U87" s="341"/>
    </row>
    <row r="88" spans="1:30" x14ac:dyDescent="0.2">
      <c r="A88" t="str">
        <f t="shared" si="49"/>
        <v>82 Transport and mobile machine drivers and operatives</v>
      </c>
      <c r="B88" s="11">
        <v>0.24052554352506292</v>
      </c>
      <c r="C88" s="11">
        <v>0.4340945353851402</v>
      </c>
      <c r="D88" s="11">
        <f t="shared" si="63"/>
        <v>0.19356899186007728</v>
      </c>
      <c r="E88" s="11">
        <v>0.20733827584240094</v>
      </c>
      <c r="F88" s="11">
        <f t="shared" si="64"/>
        <v>0.4009072677024782</v>
      </c>
      <c r="G88" s="200">
        <f t="shared" si="52"/>
        <v>4.2314993325306194E-2</v>
      </c>
      <c r="I88" s="11" t="str">
        <f>I77</f>
        <v>Administrative and secretarial occupations</v>
      </c>
      <c r="J88" s="11">
        <v>12.84401228430001</v>
      </c>
      <c r="K88" s="11">
        <v>7.2922130849466322</v>
      </c>
      <c r="L88" s="11">
        <v>-5.5517991993533791</v>
      </c>
      <c r="M88" s="11">
        <v>4.6490045220159342</v>
      </c>
      <c r="N88" s="11">
        <v>-0.90279467733744401</v>
      </c>
      <c r="P88" s="11"/>
      <c r="Q88" s="11"/>
      <c r="R88" s="11"/>
      <c r="S88" s="341"/>
      <c r="T88" s="341"/>
      <c r="U88" s="341"/>
    </row>
    <row r="89" spans="1:30" x14ac:dyDescent="0.2">
      <c r="A89" t="str">
        <f t="shared" si="49"/>
        <v>91 Elementary trades and related occupations</v>
      </c>
      <c r="B89" s="11">
        <v>0.13893040399404755</v>
      </c>
      <c r="C89" s="11">
        <v>0.42621529790018692</v>
      </c>
      <c r="D89" s="11">
        <f t="shared" si="50"/>
        <v>0.28728489390613937</v>
      </c>
      <c r="E89" s="11">
        <v>0.16464586651758489</v>
      </c>
      <c r="F89" s="11">
        <f t="shared" si="51"/>
        <v>0.45193076042372426</v>
      </c>
      <c r="G89" s="200">
        <f t="shared" si="52"/>
        <v>5.3492306044537363E-2</v>
      </c>
      <c r="I89" s="11" t="str">
        <f t="shared" ref="I89:I93" si="65">I78</f>
        <v>Skilled trades occupations</v>
      </c>
      <c r="J89" s="11">
        <v>12.809959247111149</v>
      </c>
      <c r="K89" s="11">
        <v>10.241008627527039</v>
      </c>
      <c r="L89" s="11">
        <v>-2.5689506195841103</v>
      </c>
      <c r="M89" s="11">
        <v>4.7254126882903318</v>
      </c>
      <c r="N89" s="11">
        <v>2.1564620687062215</v>
      </c>
      <c r="P89" s="11"/>
      <c r="Q89" s="11"/>
      <c r="R89" s="11"/>
      <c r="S89" s="341"/>
      <c r="T89" s="341"/>
      <c r="U89" s="341"/>
    </row>
    <row r="90" spans="1:30" x14ac:dyDescent="0.2">
      <c r="A90" t="str">
        <f t="shared" si="49"/>
        <v>92 Elementary administration and service occupations</v>
      </c>
      <c r="B90" s="11">
        <v>0.77050691296337581</v>
      </c>
      <c r="C90" s="11">
        <v>1.3844732907110637</v>
      </c>
      <c r="D90" s="11">
        <f t="shared" ref="D90" si="66">C90-B90</f>
        <v>0.61396637774768792</v>
      </c>
      <c r="E90" s="11">
        <v>0.54510250099191504</v>
      </c>
      <c r="F90" s="11">
        <f t="shared" ref="F90" si="67">SUM(D90:E90)</f>
        <v>1.1590688787396028</v>
      </c>
      <c r="G90" s="200">
        <f t="shared" ref="G90:G91" si="68">IF(B90&gt;0,(1+(E90/B90))^(1/($C$6-$B$6))-1,0)</f>
        <v>3.6310811085966899E-2</v>
      </c>
      <c r="I90" s="11" t="str">
        <f t="shared" si="65"/>
        <v>Caring, leisure and other service occupations</v>
      </c>
      <c r="J90" s="11">
        <v>15.041361191023446</v>
      </c>
      <c r="K90" s="11">
        <v>10.233454248781982</v>
      </c>
      <c r="L90" s="11">
        <v>-4.8079069422414662</v>
      </c>
      <c r="M90" s="11">
        <v>6.3044506566196459</v>
      </c>
      <c r="N90" s="11">
        <v>1.4965437143781797</v>
      </c>
      <c r="P90" s="11"/>
      <c r="Q90" s="11"/>
      <c r="R90" s="11"/>
      <c r="S90" s="341"/>
      <c r="T90" s="341"/>
      <c r="U90" s="341"/>
    </row>
    <row r="91" spans="1:30" x14ac:dyDescent="0.2">
      <c r="A91" t="str">
        <f t="shared" si="49"/>
        <v>All occupations</v>
      </c>
      <c r="B91" s="11">
        <f>SUM(B65:B90)</f>
        <v>42.914344354753737</v>
      </c>
      <c r="C91" s="11">
        <f t="shared" ref="C91:F91" si="69">SUM(C65:C90)</f>
        <v>67.993666125501591</v>
      </c>
      <c r="D91" s="11">
        <f t="shared" si="69"/>
        <v>25.079321770747875</v>
      </c>
      <c r="E91" s="11">
        <f t="shared" si="69"/>
        <v>26.30341682615822</v>
      </c>
      <c r="F91" s="11">
        <f t="shared" si="69"/>
        <v>51.382738596906073</v>
      </c>
      <c r="G91" s="200">
        <f t="shared" si="68"/>
        <v>3.2383380140852402E-2</v>
      </c>
      <c r="I91" s="11" t="str">
        <f t="shared" si="65"/>
        <v>Sales and customer service occupations</v>
      </c>
      <c r="J91" s="11">
        <v>11.335182258801092</v>
      </c>
      <c r="K91" s="11">
        <v>8.922816851932172</v>
      </c>
      <c r="L91" s="11">
        <v>-2.4123654068689211</v>
      </c>
      <c r="M91" s="11">
        <v>5.0907928559279547</v>
      </c>
      <c r="N91" s="11">
        <v>2.6784274490590336</v>
      </c>
      <c r="P91" s="11"/>
      <c r="Q91" s="11"/>
      <c r="R91" s="11"/>
      <c r="S91" s="341"/>
      <c r="T91" s="341"/>
      <c r="U91" s="341"/>
    </row>
    <row r="92" spans="1:30" x14ac:dyDescent="0.2">
      <c r="B92" s="11"/>
      <c r="C92" s="11"/>
      <c r="D92" s="11"/>
      <c r="E92" s="11"/>
      <c r="F92" s="11"/>
      <c r="G92" s="11"/>
      <c r="I92" s="11" t="str">
        <f t="shared" si="65"/>
        <v>Process, plant and machine operatives</v>
      </c>
      <c r="J92" s="11">
        <v>12.944150670529616</v>
      </c>
      <c r="K92" s="11">
        <v>12.318330796306711</v>
      </c>
      <c r="L92" s="11">
        <v>-0.62581987422290553</v>
      </c>
      <c r="M92" s="11">
        <v>6.0798073492815572</v>
      </c>
      <c r="N92" s="11">
        <v>5.4539874750586517</v>
      </c>
      <c r="P92" s="11"/>
      <c r="Q92" s="11"/>
      <c r="R92" s="11"/>
      <c r="S92" s="341"/>
      <c r="T92" s="341"/>
      <c r="U92" s="341"/>
    </row>
    <row r="93" spans="1:30" ht="38.25" x14ac:dyDescent="0.2">
      <c r="A93" s="201" t="str">
        <f>CONCATENATE(name!F6," (Constrained)")</f>
        <v>RQF6 First degree (Constrained)</v>
      </c>
      <c r="B93" s="88">
        <f t="shared" ref="B93:G93" si="70">B6</f>
        <v>2020</v>
      </c>
      <c r="C93" s="88">
        <f t="shared" si="70"/>
        <v>2035</v>
      </c>
      <c r="D93" s="88" t="str">
        <f t="shared" si="70"/>
        <v>Net Change</v>
      </c>
      <c r="E93" s="88" t="str">
        <f t="shared" si="70"/>
        <v>Replacement Demand level</v>
      </c>
      <c r="F93" s="88" t="str">
        <f t="shared" si="70"/>
        <v>Total Requirement</v>
      </c>
      <c r="G93" s="88" t="str">
        <f t="shared" si="70"/>
        <v>Replacement Demand rate</v>
      </c>
      <c r="I93" s="11" t="str">
        <f t="shared" si="65"/>
        <v>Elementary occupations</v>
      </c>
      <c r="J93" s="11">
        <v>16.760068096035944</v>
      </c>
      <c r="K93" s="11">
        <v>15.186301305330947</v>
      </c>
      <c r="L93" s="11">
        <v>-1.5737667907049966</v>
      </c>
      <c r="M93" s="11">
        <v>7.4951357617256047</v>
      </c>
      <c r="N93" s="11">
        <v>5.9213689710206072</v>
      </c>
      <c r="P93" s="11"/>
      <c r="Q93" s="11"/>
      <c r="R93" s="11"/>
      <c r="S93" s="341"/>
      <c r="T93" s="341"/>
      <c r="U93" s="341"/>
    </row>
    <row r="94" spans="1:30" x14ac:dyDescent="0.2">
      <c r="A94" t="str">
        <f t="shared" ref="A94:A120" si="71">A7</f>
        <v>11 Corporate managers and directors</v>
      </c>
      <c r="B94" s="11">
        <v>10.10723156395826</v>
      </c>
      <c r="C94" s="11">
        <v>11.485411317032682</v>
      </c>
      <c r="D94" s="11">
        <f>C94-B94</f>
        <v>1.3781797530744218</v>
      </c>
      <c r="E94" s="11">
        <v>5.9080133811430979</v>
      </c>
      <c r="F94" s="11">
        <f>SUM(D94:E94)</f>
        <v>7.2861931342175197</v>
      </c>
      <c r="G94" s="200">
        <f>IF(B94&gt;0,(1+(E94/B94))^(1/($C$6-$B$6))-1,0)</f>
        <v>3.1161662343566654E-2</v>
      </c>
      <c r="I94" s="85"/>
      <c r="J94" s="74"/>
      <c r="K94" s="74"/>
      <c r="L94" s="72"/>
      <c r="M94" s="72"/>
      <c r="N94" s="72"/>
      <c r="P94" s="11"/>
      <c r="Q94" s="11"/>
      <c r="R94" s="11"/>
      <c r="S94" s="341"/>
      <c r="T94" s="341"/>
      <c r="U94" s="341"/>
    </row>
    <row r="95" spans="1:30" x14ac:dyDescent="0.2">
      <c r="A95" t="str">
        <f t="shared" si="71"/>
        <v>12 Other managers and proprietors</v>
      </c>
      <c r="B95" s="11">
        <v>3.6975206687357849</v>
      </c>
      <c r="C95" s="11">
        <v>5.1903732488446197</v>
      </c>
      <c r="D95" s="11">
        <f t="shared" ref="D95:D118" si="72">C95-B95</f>
        <v>1.4928525801088348</v>
      </c>
      <c r="E95" s="11">
        <v>2.6687315970471071</v>
      </c>
      <c r="F95" s="11">
        <f t="shared" ref="F95:F118" si="73">SUM(D95:E95)</f>
        <v>4.1615841771559419</v>
      </c>
      <c r="G95" s="200">
        <f t="shared" ref="G95:G120" si="74">IF(B95&gt;0,(1+(E95/B95))^(1/($C$6-$B$6))-1,0)</f>
        <v>3.6887284979837176E-2</v>
      </c>
      <c r="I95" s="87" t="str">
        <f>name!F11</f>
        <v>RQF1 GCSE(below grade C) &amp; equivalent</v>
      </c>
      <c r="J95" s="11"/>
      <c r="K95" s="11"/>
      <c r="L95" s="11"/>
      <c r="M95" s="11"/>
      <c r="N95" s="11"/>
      <c r="P95" s="11"/>
      <c r="Q95" s="11"/>
      <c r="R95" s="11"/>
      <c r="S95" s="341"/>
      <c r="T95" s="341"/>
      <c r="U95" s="341"/>
    </row>
    <row r="96" spans="1:30" x14ac:dyDescent="0.2">
      <c r="A96" t="str">
        <f t="shared" si="71"/>
        <v>21 Science, research, engineering and technology professionals</v>
      </c>
      <c r="B96" s="11">
        <v>8.484863383096318</v>
      </c>
      <c r="C96" s="11">
        <v>11.712657579040988</v>
      </c>
      <c r="D96" s="11">
        <f t="shared" si="72"/>
        <v>3.2277941959446697</v>
      </c>
      <c r="E96" s="11">
        <v>4.1490246926974539</v>
      </c>
      <c r="F96" s="11">
        <f t="shared" si="73"/>
        <v>7.3768188886421235</v>
      </c>
      <c r="G96" s="200">
        <f t="shared" si="74"/>
        <v>2.68952494053043E-2</v>
      </c>
      <c r="I96" s="11" t="str">
        <f>I85</f>
        <v>Managers, directors and senior officials</v>
      </c>
      <c r="J96" s="11">
        <f t="array" ref="J96:J104">MMULT(aggregation!$B$13:$AA$21,B239:B264)</f>
        <v>6.3420965322495073</v>
      </c>
      <c r="K96" s="11">
        <f t="array" ref="K96:K104">MMULT(aggregation!$B$13:$AA$21,C239:C264)</f>
        <v>3.7386575436971681</v>
      </c>
      <c r="L96" s="11">
        <f t="array" ref="L96:L104">MMULT(aggregation!$B$13:$AA$21,D239:D264)</f>
        <v>-2.6034389885523392</v>
      </c>
      <c r="M96" s="11">
        <f t="array" ref="M96:M104">MMULT(aggregation!$B$13:$AA$21,E239:E264)</f>
        <v>2.2154411623526356</v>
      </c>
      <c r="N96" s="11">
        <f t="array" ref="N96:N104">MMULT(aggregation!$B$13:$AA$21,F239:F264)</f>
        <v>-0.38799782619970347</v>
      </c>
      <c r="P96" s="11"/>
      <c r="Q96" s="11"/>
      <c r="R96" s="11"/>
      <c r="S96" s="341"/>
      <c r="T96" s="341"/>
      <c r="U96" s="341"/>
    </row>
    <row r="97" spans="1:21" x14ac:dyDescent="0.2">
      <c r="A97" t="str">
        <f t="shared" si="71"/>
        <v>22 Health professionals</v>
      </c>
      <c r="B97" s="11">
        <v>8.5951494090910519</v>
      </c>
      <c r="C97" s="11">
        <v>10.205841912928857</v>
      </c>
      <c r="D97" s="11">
        <f t="shared" si="72"/>
        <v>1.6106925038378055</v>
      </c>
      <c r="E97" s="11">
        <v>5.4506680425885277</v>
      </c>
      <c r="F97" s="11">
        <f t="shared" si="73"/>
        <v>7.0613605464263332</v>
      </c>
      <c r="G97" s="200">
        <f t="shared" si="74"/>
        <v>3.3283686090540776E-2</v>
      </c>
      <c r="I97" s="11" t="str">
        <f>I86</f>
        <v>Professional occupations</v>
      </c>
      <c r="J97" s="11">
        <v>5.3168243227198904</v>
      </c>
      <c r="K97" s="11">
        <v>3.5307959079328484</v>
      </c>
      <c r="L97" s="11">
        <v>-1.7860284147870416</v>
      </c>
      <c r="M97" s="11">
        <v>1.7932834457431215</v>
      </c>
      <c r="N97" s="11">
        <v>7.2550309560800719E-3</v>
      </c>
      <c r="P97" s="11"/>
      <c r="Q97" s="11"/>
      <c r="R97" s="11"/>
      <c r="S97" s="341"/>
      <c r="T97" s="341"/>
      <c r="U97" s="341"/>
    </row>
    <row r="98" spans="1:21" x14ac:dyDescent="0.2">
      <c r="A98" t="str">
        <f t="shared" si="71"/>
        <v>23 Teaching and other educational professionals</v>
      </c>
      <c r="B98" s="11">
        <v>5.4689732190269336</v>
      </c>
      <c r="C98" s="11">
        <v>3.418037641478779</v>
      </c>
      <c r="D98" s="11">
        <f t="shared" ref="D98" si="75">C98-B98</f>
        <v>-2.0509355775481546</v>
      </c>
      <c r="E98" s="11">
        <v>2.2203170184650318</v>
      </c>
      <c r="F98" s="11">
        <f t="shared" ref="F98" si="76">SUM(D98:E98)</f>
        <v>0.16938144091687724</v>
      </c>
      <c r="G98" s="200">
        <f t="shared" si="74"/>
        <v>2.2975809092412591E-2</v>
      </c>
      <c r="I98" s="11" t="str">
        <f>I87</f>
        <v>Associate professional occupations</v>
      </c>
      <c r="J98" s="11">
        <v>5.7942773567149564</v>
      </c>
      <c r="K98" s="11">
        <v>3.4753293659392206</v>
      </c>
      <c r="L98" s="11">
        <v>-2.3189479907757362</v>
      </c>
      <c r="M98" s="11">
        <v>1.7232399722525129</v>
      </c>
      <c r="N98" s="11">
        <v>-0.59570801852322319</v>
      </c>
      <c r="P98" s="11"/>
      <c r="Q98" s="11"/>
      <c r="R98" s="11"/>
      <c r="S98" s="341"/>
      <c r="T98" s="341"/>
      <c r="U98" s="341"/>
    </row>
    <row r="99" spans="1:21" x14ac:dyDescent="0.2">
      <c r="A99" t="str">
        <f t="shared" si="71"/>
        <v>24 Business, media and public service professionals</v>
      </c>
      <c r="B99" s="11">
        <v>11.149457051925712</v>
      </c>
      <c r="C99" s="11">
        <v>13.156971627316222</v>
      </c>
      <c r="D99" s="11">
        <f t="shared" si="72"/>
        <v>2.0075145753905108</v>
      </c>
      <c r="E99" s="11">
        <v>6.4148510930451828</v>
      </c>
      <c r="F99" s="11">
        <f t="shared" si="73"/>
        <v>8.4223656684356936</v>
      </c>
      <c r="G99" s="200">
        <f t="shared" si="74"/>
        <v>3.0762211420444219E-2</v>
      </c>
      <c r="I99" s="11" t="str">
        <f>I88</f>
        <v>Administrative and secretarial occupations</v>
      </c>
      <c r="J99" s="11">
        <v>6.665833738515957</v>
      </c>
      <c r="K99" s="11">
        <v>1.9836731842656254</v>
      </c>
      <c r="L99" s="11">
        <v>-4.6821605542503324</v>
      </c>
      <c r="M99" s="11">
        <v>1.4860861449059501</v>
      </c>
      <c r="N99" s="11">
        <v>-3.1960744093443818</v>
      </c>
      <c r="P99" s="11"/>
      <c r="Q99" s="11"/>
      <c r="R99" s="11"/>
      <c r="S99" s="341"/>
      <c r="T99" s="341"/>
      <c r="U99" s="341"/>
    </row>
    <row r="100" spans="1:21" x14ac:dyDescent="0.2">
      <c r="A100" t="str">
        <f t="shared" si="71"/>
        <v>31 Science, engineering and technology associate professionals</v>
      </c>
      <c r="B100" s="11">
        <v>2.1446426630365618</v>
      </c>
      <c r="C100" s="11">
        <v>2.4338135075513163</v>
      </c>
      <c r="D100" s="11">
        <f t="shared" si="72"/>
        <v>0.2891708445147545</v>
      </c>
      <c r="E100" s="11">
        <v>0.98113721998138437</v>
      </c>
      <c r="F100" s="11">
        <f t="shared" si="73"/>
        <v>1.2703080644961389</v>
      </c>
      <c r="G100" s="200">
        <f t="shared" si="74"/>
        <v>2.5432072365529246E-2</v>
      </c>
      <c r="I100" s="11" t="str">
        <f t="shared" ref="I100:I104" si="77">I89</f>
        <v>Skilled trades occupations</v>
      </c>
      <c r="J100" s="11">
        <v>7.9812394618338978</v>
      </c>
      <c r="K100" s="11">
        <v>4.3882084485990394</v>
      </c>
      <c r="L100" s="11">
        <v>-3.5930310132348575</v>
      </c>
      <c r="M100" s="11">
        <v>2.4291449575163941</v>
      </c>
      <c r="N100" s="11">
        <v>-1.1638860557184632</v>
      </c>
      <c r="P100" s="11"/>
      <c r="Q100" s="11"/>
      <c r="R100" s="11"/>
      <c r="S100" s="341"/>
      <c r="T100" s="341"/>
      <c r="U100" s="341"/>
    </row>
    <row r="101" spans="1:21" x14ac:dyDescent="0.2">
      <c r="A101" t="str">
        <f t="shared" si="71"/>
        <v>32 Health and social care associate professionals</v>
      </c>
      <c r="B101" s="11">
        <v>2.8617827420405693</v>
      </c>
      <c r="C101" s="11">
        <v>7.1851331613842691</v>
      </c>
      <c r="D101" s="11">
        <f t="shared" si="72"/>
        <v>4.3233504193436998</v>
      </c>
      <c r="E101" s="11">
        <v>3.6310069491693531</v>
      </c>
      <c r="F101" s="11">
        <f t="shared" si="73"/>
        <v>7.9543573685130529</v>
      </c>
      <c r="G101" s="200">
        <f t="shared" si="74"/>
        <v>5.6135510153630719E-2</v>
      </c>
      <c r="I101" s="11" t="str">
        <f t="shared" si="77"/>
        <v>Caring, leisure and other service occupations</v>
      </c>
      <c r="J101" s="11">
        <v>4.1670909367306166</v>
      </c>
      <c r="K101" s="11">
        <v>2.6275672388224049</v>
      </c>
      <c r="L101" s="11">
        <v>-1.5395236979082119</v>
      </c>
      <c r="M101" s="11">
        <v>1.2755599098224377</v>
      </c>
      <c r="N101" s="11">
        <v>-0.26396378808577436</v>
      </c>
      <c r="P101" s="11"/>
      <c r="Q101" s="11"/>
      <c r="R101" s="11"/>
      <c r="S101" s="341"/>
      <c r="T101" s="341"/>
      <c r="U101" s="341"/>
    </row>
    <row r="102" spans="1:21" x14ac:dyDescent="0.2">
      <c r="A102" t="str">
        <f t="shared" si="71"/>
        <v>33 Protective service occupations</v>
      </c>
      <c r="B102" s="11">
        <v>1.336270559191616</v>
      </c>
      <c r="C102" s="11">
        <v>1.6812531531470312</v>
      </c>
      <c r="D102" s="11">
        <f t="shared" si="72"/>
        <v>0.3449825939554152</v>
      </c>
      <c r="E102" s="11">
        <v>0.55405884863530064</v>
      </c>
      <c r="F102" s="11">
        <f t="shared" si="73"/>
        <v>0.89904144259071583</v>
      </c>
      <c r="G102" s="200">
        <f t="shared" si="74"/>
        <v>2.3394014760259374E-2</v>
      </c>
      <c r="I102" s="11" t="str">
        <f t="shared" si="77"/>
        <v>Sales and customer service occupations</v>
      </c>
      <c r="J102" s="11">
        <v>7.0715500940557412</v>
      </c>
      <c r="K102" s="11">
        <v>2.4556504292716199</v>
      </c>
      <c r="L102" s="11">
        <v>-4.6158996647841208</v>
      </c>
      <c r="M102" s="11">
        <v>1.7512170623047665</v>
      </c>
      <c r="N102" s="11">
        <v>-2.8646826024793546</v>
      </c>
      <c r="P102" s="11"/>
      <c r="Q102" s="11"/>
      <c r="R102" s="11"/>
      <c r="S102" s="341"/>
      <c r="T102" s="341"/>
      <c r="U102" s="341"/>
    </row>
    <row r="103" spans="1:21" x14ac:dyDescent="0.2">
      <c r="A103" t="str">
        <f t="shared" si="71"/>
        <v>34 Culture, media and sports occupations</v>
      </c>
      <c r="B103" s="11">
        <v>2.4493624935180351</v>
      </c>
      <c r="C103" s="11">
        <v>2.2689271725625026</v>
      </c>
      <c r="D103" s="11">
        <f t="shared" ref="D103:D104" si="78">C103-B103</f>
        <v>-0.1804353209555325</v>
      </c>
      <c r="E103" s="11">
        <v>1.0824781044464875</v>
      </c>
      <c r="F103" s="11">
        <f t="shared" ref="F103:F104" si="79">SUM(D103:E103)</f>
        <v>0.90204278349095501</v>
      </c>
      <c r="G103" s="200">
        <f t="shared" si="74"/>
        <v>2.4699526218893819E-2</v>
      </c>
      <c r="I103" s="11" t="str">
        <f t="shared" si="77"/>
        <v>Process, plant and machine operatives</v>
      </c>
      <c r="J103" s="11">
        <v>10.860530540594517</v>
      </c>
      <c r="K103" s="11">
        <v>5.2043000361027438</v>
      </c>
      <c r="L103" s="11">
        <v>-5.6562305044917718</v>
      </c>
      <c r="M103" s="11">
        <v>3.4286599973909411</v>
      </c>
      <c r="N103" s="11">
        <v>-2.2275705071008312</v>
      </c>
      <c r="P103" s="11"/>
      <c r="Q103" s="11"/>
      <c r="R103" s="11"/>
      <c r="S103" s="341"/>
      <c r="T103" s="341"/>
      <c r="U103" s="341"/>
    </row>
    <row r="104" spans="1:21" x14ac:dyDescent="0.2">
      <c r="A104" t="str">
        <f t="shared" si="71"/>
        <v>35 Business and public service associate professionals</v>
      </c>
      <c r="B104" s="11">
        <v>7.1967686981432744</v>
      </c>
      <c r="C104" s="11">
        <v>8.4830844966507755</v>
      </c>
      <c r="D104" s="11">
        <f t="shared" si="78"/>
        <v>1.2863157985075011</v>
      </c>
      <c r="E104" s="11">
        <v>3.9998928030392871</v>
      </c>
      <c r="F104" s="11">
        <f t="shared" si="79"/>
        <v>5.2862086015467877</v>
      </c>
      <c r="G104" s="200">
        <f t="shared" si="74"/>
        <v>2.9903973225246627E-2</v>
      </c>
      <c r="I104" s="11" t="str">
        <f t="shared" si="77"/>
        <v>Elementary occupations</v>
      </c>
      <c r="J104" s="11">
        <v>16.137871133383072</v>
      </c>
      <c r="K104" s="11">
        <v>11.443615062776983</v>
      </c>
      <c r="L104" s="11">
        <v>-4.694256070606091</v>
      </c>
      <c r="M104" s="11">
        <v>5.9303394844529107</v>
      </c>
      <c r="N104" s="11">
        <v>1.2360834138468202</v>
      </c>
      <c r="P104" s="11"/>
      <c r="Q104" s="11"/>
      <c r="R104" s="11"/>
      <c r="S104" s="341"/>
      <c r="T104" s="341"/>
      <c r="U104" s="341"/>
    </row>
    <row r="105" spans="1:21" x14ac:dyDescent="0.2">
      <c r="A105" t="str">
        <f t="shared" si="71"/>
        <v>41 Administrative occupations</v>
      </c>
      <c r="B105" s="11">
        <v>7.5959630127852149</v>
      </c>
      <c r="C105" s="11">
        <v>11.255972463413688</v>
      </c>
      <c r="D105" s="11">
        <f t="shared" si="72"/>
        <v>3.6600094506284728</v>
      </c>
      <c r="E105" s="11">
        <v>5.5371483023641623</v>
      </c>
      <c r="F105" s="11">
        <f t="shared" si="73"/>
        <v>9.1971577529926343</v>
      </c>
      <c r="G105" s="200">
        <f t="shared" si="74"/>
        <v>3.7175666099444005E-2</v>
      </c>
      <c r="I105" s="11"/>
      <c r="J105" s="11"/>
      <c r="K105" s="11"/>
      <c r="L105" s="11"/>
      <c r="M105" s="11"/>
      <c r="N105" s="11"/>
      <c r="P105" s="11"/>
      <c r="Q105" s="11"/>
      <c r="R105" s="11"/>
      <c r="S105" s="341"/>
      <c r="T105" s="341"/>
      <c r="U105" s="341"/>
    </row>
    <row r="106" spans="1:21" x14ac:dyDescent="0.2">
      <c r="A106" t="str">
        <f t="shared" si="71"/>
        <v>42 Secretarial and related occupations</v>
      </c>
      <c r="B106" s="11">
        <v>1.3642916171390982</v>
      </c>
      <c r="C106" s="11">
        <v>2.3340956992013617</v>
      </c>
      <c r="D106" s="11">
        <f t="shared" si="72"/>
        <v>0.96980408206226354</v>
      </c>
      <c r="E106" s="11">
        <v>1.1903212393803695</v>
      </c>
      <c r="F106" s="11">
        <f t="shared" si="73"/>
        <v>2.1601253214426333</v>
      </c>
      <c r="G106" s="200">
        <f t="shared" si="74"/>
        <v>4.2704366418250927E-2</v>
      </c>
      <c r="I106" s="87" t="str">
        <f>name!F12</f>
        <v>No Qualification</v>
      </c>
      <c r="J106" s="11"/>
      <c r="K106" s="11"/>
      <c r="L106" s="11"/>
      <c r="M106" s="11"/>
      <c r="N106" s="11"/>
      <c r="O106" s="71"/>
      <c r="P106" s="11"/>
      <c r="Q106" s="11"/>
      <c r="R106" s="11"/>
      <c r="S106" s="341"/>
      <c r="T106" s="341"/>
      <c r="U106" s="341"/>
    </row>
    <row r="107" spans="1:21" x14ac:dyDescent="0.2">
      <c r="A107" t="str">
        <f t="shared" si="71"/>
        <v>51 Skilled agricultural and related trades</v>
      </c>
      <c r="B107" s="11">
        <v>1.7484689387454295</v>
      </c>
      <c r="C107" s="11">
        <v>2.5373534396011883</v>
      </c>
      <c r="D107" s="11">
        <f t="shared" si="72"/>
        <v>0.78888450085575879</v>
      </c>
      <c r="E107" s="11">
        <v>1.360008382196672</v>
      </c>
      <c r="F107" s="11">
        <f t="shared" si="73"/>
        <v>2.1488928830524308</v>
      </c>
      <c r="G107" s="200">
        <f t="shared" si="74"/>
        <v>3.9104722920070945E-2</v>
      </c>
      <c r="I107" s="11" t="str">
        <f>I96</f>
        <v>Managers, directors and senior officials</v>
      </c>
      <c r="J107" s="11">
        <f t="array" ref="J107:J115">MMULT(aggregation!$B$13:$AA$21,B268:B293)</f>
        <v>1.3826713905517796</v>
      </c>
      <c r="K107" s="11">
        <f t="array" ref="K107:K115">MMULT(aggregation!$B$13:$AA$21,C268:C293)</f>
        <v>1.5230600430252412</v>
      </c>
      <c r="L107" s="11">
        <f t="array" ref="L107:L115">MMULT(aggregation!$B$13:$AA$21,D268:D293)</f>
        <v>0.14038865247346155</v>
      </c>
      <c r="M107" s="11">
        <f t="array" ref="M107:M115">MMULT(aggregation!$B$13:$AA$21,E268:E293)</f>
        <v>0.55210333209605178</v>
      </c>
      <c r="N107" s="11">
        <f t="array" ref="N107:N115">MMULT(aggregation!$B$13:$AA$21,F268:F293)</f>
        <v>0.69249198456951333</v>
      </c>
      <c r="P107" s="11"/>
      <c r="Q107" s="11"/>
      <c r="R107" s="11"/>
      <c r="S107" s="341"/>
      <c r="T107" s="341"/>
      <c r="U107" s="341"/>
    </row>
    <row r="108" spans="1:21" x14ac:dyDescent="0.2">
      <c r="A108" t="str">
        <f t="shared" si="71"/>
        <v>52 Skilled metal, electrical and electronic trades</v>
      </c>
      <c r="B108" s="11">
        <v>0.88670012677403687</v>
      </c>
      <c r="C108" s="11">
        <v>1.287397896430128</v>
      </c>
      <c r="D108" s="11">
        <f t="shared" si="72"/>
        <v>0.40069776965609116</v>
      </c>
      <c r="E108" s="11">
        <v>0.5210030047184846</v>
      </c>
      <c r="F108" s="11">
        <f t="shared" si="73"/>
        <v>0.92170077437457576</v>
      </c>
      <c r="G108" s="200">
        <f t="shared" si="74"/>
        <v>3.1293515612985434E-2</v>
      </c>
      <c r="I108" s="11" t="str">
        <f>I97</f>
        <v>Professional occupations</v>
      </c>
      <c r="J108" s="11">
        <v>0.99206977732221113</v>
      </c>
      <c r="K108" s="11">
        <v>1.2109143782283571</v>
      </c>
      <c r="L108" s="11">
        <v>0.21884460090614591</v>
      </c>
      <c r="M108" s="11">
        <v>0.43965388771124952</v>
      </c>
      <c r="N108" s="11">
        <v>0.65849848861739546</v>
      </c>
      <c r="P108" s="85"/>
      <c r="Q108" s="74"/>
      <c r="R108" s="74"/>
      <c r="S108" s="342"/>
      <c r="T108" s="342"/>
      <c r="U108" s="342"/>
    </row>
    <row r="109" spans="1:21" x14ac:dyDescent="0.2">
      <c r="A109" t="str">
        <f t="shared" si="71"/>
        <v>53 Skilled construction and building trades</v>
      </c>
      <c r="B109" s="11">
        <v>0.38558188758244538</v>
      </c>
      <c r="C109" s="11">
        <v>0.51406007542353016</v>
      </c>
      <c r="D109" s="11">
        <f t="shared" ref="D109" si="80">C109-B109</f>
        <v>0.12847818784108478</v>
      </c>
      <c r="E109" s="11">
        <v>0.22735496322711854</v>
      </c>
      <c r="F109" s="11">
        <f t="shared" ref="F109" si="81">SUM(D109:E109)</f>
        <v>0.35583315106820335</v>
      </c>
      <c r="G109" s="200">
        <f t="shared" si="74"/>
        <v>3.1382932870178237E-2</v>
      </c>
      <c r="I109" s="11" t="str">
        <f>I98</f>
        <v>Associate professional occupations</v>
      </c>
      <c r="J109" s="11">
        <v>1.060177416313701</v>
      </c>
      <c r="K109" s="11">
        <v>0.98690585518276497</v>
      </c>
      <c r="L109" s="11">
        <v>-7.3271561130935983E-2</v>
      </c>
      <c r="M109" s="11">
        <v>0.37568003023642588</v>
      </c>
      <c r="N109" s="11">
        <v>0.30240846910548991</v>
      </c>
      <c r="P109" s="11"/>
      <c r="Q109" s="11"/>
      <c r="R109" s="11"/>
      <c r="S109" s="341"/>
      <c r="T109" s="341"/>
      <c r="U109" s="341"/>
    </row>
    <row r="110" spans="1:21" x14ac:dyDescent="0.2">
      <c r="A110" t="str">
        <f t="shared" si="71"/>
        <v>54 Textiles, printing and other skilled trades</v>
      </c>
      <c r="B110" s="11">
        <v>0.66739997336749968</v>
      </c>
      <c r="C110" s="11">
        <v>1.057032418536145</v>
      </c>
      <c r="D110" s="11">
        <f t="shared" si="72"/>
        <v>0.38963244516864537</v>
      </c>
      <c r="E110" s="11">
        <v>0.46968542569638655</v>
      </c>
      <c r="F110" s="11">
        <f t="shared" si="73"/>
        <v>0.85931787086503197</v>
      </c>
      <c r="G110" s="200">
        <f t="shared" si="74"/>
        <v>3.6160724802912325E-2</v>
      </c>
      <c r="I110" s="11" t="str">
        <f>I99</f>
        <v>Administrative and secretarial occupations</v>
      </c>
      <c r="J110" s="11">
        <v>1.3288389694487113</v>
      </c>
      <c r="K110" s="11">
        <v>0.91693231235518968</v>
      </c>
      <c r="L110" s="11">
        <v>-0.4119066570935217</v>
      </c>
      <c r="M110" s="11">
        <v>0.45447297406388065</v>
      </c>
      <c r="N110" s="11">
        <v>4.2566316970358925E-2</v>
      </c>
      <c r="P110" s="11"/>
      <c r="Q110" s="11"/>
      <c r="R110" s="11"/>
      <c r="S110" s="341"/>
      <c r="T110" s="341"/>
      <c r="U110" s="341"/>
    </row>
    <row r="111" spans="1:21" x14ac:dyDescent="0.2">
      <c r="A111" t="str">
        <f t="shared" si="71"/>
        <v>61 Caring personal service occupations</v>
      </c>
      <c r="B111" s="11">
        <v>5.3224859142201293</v>
      </c>
      <c r="C111" s="11">
        <v>8.5021762961630731</v>
      </c>
      <c r="D111" s="11">
        <f>C111-B111</f>
        <v>3.1796903819429438</v>
      </c>
      <c r="E111" s="11">
        <v>4.6293017826370022</v>
      </c>
      <c r="F111" s="11">
        <f>SUM(D111:E111)</f>
        <v>7.808992164579946</v>
      </c>
      <c r="G111" s="200">
        <f t="shared" si="74"/>
        <v>4.2603324610459348E-2</v>
      </c>
      <c r="I111" s="11" t="str">
        <f t="shared" ref="I111:I115" si="82">I100</f>
        <v>Skilled trades occupations</v>
      </c>
      <c r="J111" s="11">
        <v>3.3294603620121137</v>
      </c>
      <c r="K111" s="11">
        <v>1.8483075758380649</v>
      </c>
      <c r="L111" s="11">
        <v>-1.481152786174049</v>
      </c>
      <c r="M111" s="11">
        <v>0.85765668572121756</v>
      </c>
      <c r="N111" s="11">
        <v>-0.62349610045283155</v>
      </c>
      <c r="P111" s="11"/>
      <c r="Q111" s="11"/>
      <c r="R111" s="11"/>
      <c r="S111" s="341"/>
      <c r="T111" s="341"/>
      <c r="U111" s="341"/>
    </row>
    <row r="112" spans="1:21" x14ac:dyDescent="0.2">
      <c r="A112" t="str">
        <f t="shared" si="71"/>
        <v>62 Leisure, travel and related personal service occupations</v>
      </c>
      <c r="B112" s="11">
        <v>1.2053866296179285</v>
      </c>
      <c r="C112" s="11">
        <v>1.9709702231322639</v>
      </c>
      <c r="D112" s="11">
        <f t="shared" ref="D112:D113" si="83">C112-B112</f>
        <v>0.76558359351433536</v>
      </c>
      <c r="E112" s="11">
        <v>0.97160256045896376</v>
      </c>
      <c r="F112" s="11">
        <f t="shared" ref="F112:F113" si="84">SUM(D112:E112)</f>
        <v>1.7371861539732991</v>
      </c>
      <c r="G112" s="200">
        <f t="shared" si="74"/>
        <v>4.0196353165010912E-2</v>
      </c>
      <c r="I112" s="11" t="str">
        <f t="shared" si="82"/>
        <v>Caring, leisure and other service occupations</v>
      </c>
      <c r="J112" s="11">
        <v>0.87589718831054564</v>
      </c>
      <c r="K112" s="11">
        <v>0.74647641327776615</v>
      </c>
      <c r="L112" s="11">
        <v>-0.1294207750327796</v>
      </c>
      <c r="M112" s="11">
        <v>0.25197400168027495</v>
      </c>
      <c r="N112" s="11">
        <v>0.12255322664749539</v>
      </c>
      <c r="P112" s="11"/>
      <c r="Q112" s="11"/>
      <c r="R112" s="11"/>
      <c r="S112" s="341"/>
      <c r="T112" s="341"/>
      <c r="U112" s="341"/>
    </row>
    <row r="113" spans="1:21" x14ac:dyDescent="0.2">
      <c r="A113" t="str">
        <f t="shared" si="71"/>
        <v>63 Community and civil enforcement occupations</v>
      </c>
      <c r="B113" s="11">
        <v>8.3294572968285283E-2</v>
      </c>
      <c r="C113" s="11">
        <v>0.11647289605082468</v>
      </c>
      <c r="D113" s="11">
        <f t="shared" si="83"/>
        <v>3.3178323082539402E-2</v>
      </c>
      <c r="E113" s="11">
        <v>5.7039292990951326E-2</v>
      </c>
      <c r="F113" s="11">
        <f t="shared" si="84"/>
        <v>9.0217616073490728E-2</v>
      </c>
      <c r="G113" s="200">
        <f t="shared" si="74"/>
        <v>3.5387821113306517E-2</v>
      </c>
      <c r="I113" s="11" t="str">
        <f t="shared" si="82"/>
        <v>Sales and customer service occupations</v>
      </c>
      <c r="J113" s="11">
        <v>2.0924623133211488</v>
      </c>
      <c r="K113" s="11">
        <v>1.4249425801555686</v>
      </c>
      <c r="L113" s="11">
        <v>-0.66751973316558</v>
      </c>
      <c r="M113" s="11">
        <v>0.49598765133400491</v>
      </c>
      <c r="N113" s="11">
        <v>-0.17153208183157514</v>
      </c>
      <c r="P113" s="11"/>
      <c r="Q113" s="11"/>
      <c r="R113" s="11"/>
      <c r="S113" s="341"/>
      <c r="T113" s="341"/>
      <c r="U113" s="341"/>
    </row>
    <row r="114" spans="1:21" x14ac:dyDescent="0.2">
      <c r="A114" t="str">
        <f t="shared" si="71"/>
        <v>71 Sales occupations</v>
      </c>
      <c r="B114" s="11">
        <v>4.2115081769632043</v>
      </c>
      <c r="C114" s="11">
        <v>6.6535725286105301</v>
      </c>
      <c r="D114" s="11">
        <f t="shared" si="72"/>
        <v>2.4420643516473257</v>
      </c>
      <c r="E114" s="11">
        <v>2.9628745127957923</v>
      </c>
      <c r="F114" s="11">
        <f t="shared" si="73"/>
        <v>5.4049388644431176</v>
      </c>
      <c r="G114" s="200">
        <f t="shared" si="74"/>
        <v>3.6151180265478589E-2</v>
      </c>
      <c r="I114" s="11" t="str">
        <f t="shared" si="82"/>
        <v>Process, plant and machine operatives</v>
      </c>
      <c r="J114" s="11">
        <v>3.7568611590718737</v>
      </c>
      <c r="K114" s="11">
        <v>1.5111749310287639</v>
      </c>
      <c r="L114" s="11">
        <v>-2.2456862280431098</v>
      </c>
      <c r="M114" s="11">
        <v>0.88122863529725326</v>
      </c>
      <c r="N114" s="11">
        <v>-1.3644575927458562</v>
      </c>
      <c r="P114" s="11"/>
      <c r="Q114" s="11"/>
      <c r="R114" s="11"/>
      <c r="S114" s="341"/>
      <c r="T114" s="341"/>
      <c r="U114" s="341"/>
    </row>
    <row r="115" spans="1:21" x14ac:dyDescent="0.2">
      <c r="A115" t="str">
        <f t="shared" si="71"/>
        <v>72 Customer service occupations</v>
      </c>
      <c r="B115" s="11">
        <v>1.2373343652236091</v>
      </c>
      <c r="C115" s="11">
        <v>2.0972187089313681</v>
      </c>
      <c r="D115" s="11">
        <f t="shared" si="72"/>
        <v>0.85988434370775901</v>
      </c>
      <c r="E115" s="11">
        <v>0.8957496196257746</v>
      </c>
      <c r="F115" s="11">
        <f t="shared" si="73"/>
        <v>1.7556339633335336</v>
      </c>
      <c r="G115" s="200">
        <f t="shared" si="74"/>
        <v>3.6974456504394793E-2</v>
      </c>
      <c r="I115" s="11" t="str">
        <f t="shared" si="82"/>
        <v>Elementary occupations</v>
      </c>
      <c r="J115" s="11">
        <v>4.8065651447726392</v>
      </c>
      <c r="K115" s="11">
        <v>3.1147238112283926</v>
      </c>
      <c r="L115" s="11">
        <v>-1.6918413335442466</v>
      </c>
      <c r="M115" s="11">
        <v>1.2478193819605963</v>
      </c>
      <c r="N115" s="11">
        <v>-0.44402195158365032</v>
      </c>
      <c r="P115" s="11"/>
      <c r="Q115" s="11"/>
      <c r="R115" s="11"/>
      <c r="S115" s="341"/>
      <c r="T115" s="341"/>
      <c r="U115" s="341"/>
    </row>
    <row r="116" spans="1:21" x14ac:dyDescent="0.2">
      <c r="A116" t="str">
        <f t="shared" si="71"/>
        <v>81 Process, plant and machine operatives</v>
      </c>
      <c r="B116" s="11">
        <v>0.73377167436471979</v>
      </c>
      <c r="C116" s="11">
        <v>1.8530828980850129</v>
      </c>
      <c r="D116" s="11">
        <f t="shared" ref="D116:D117" si="85">C116-B116</f>
        <v>1.1193112237202931</v>
      </c>
      <c r="E116" s="11">
        <v>0.67723562270119075</v>
      </c>
      <c r="F116" s="11">
        <f t="shared" ref="F116:F117" si="86">SUM(D116:E116)</f>
        <v>1.7965468464214838</v>
      </c>
      <c r="G116" s="200">
        <f t="shared" si="74"/>
        <v>4.4554780817239292E-2</v>
      </c>
      <c r="I116" s="11"/>
      <c r="J116" s="11"/>
      <c r="K116" s="11"/>
      <c r="L116" s="11"/>
      <c r="M116" s="11"/>
      <c r="N116" s="11"/>
      <c r="P116" s="11"/>
      <c r="Q116" s="11"/>
      <c r="R116" s="11"/>
      <c r="S116" s="341"/>
      <c r="T116" s="341"/>
      <c r="U116" s="341"/>
    </row>
    <row r="117" spans="1:21" x14ac:dyDescent="0.2">
      <c r="A117" t="str">
        <f t="shared" si="71"/>
        <v>82 Transport and mobile machine drivers and operatives</v>
      </c>
      <c r="B117" s="11">
        <v>0.99049843898400181</v>
      </c>
      <c r="C117" s="11">
        <v>1.4568385845416576</v>
      </c>
      <c r="D117" s="11">
        <f t="shared" si="85"/>
        <v>0.46634014555765579</v>
      </c>
      <c r="E117" s="11">
        <v>0.79815781894584426</v>
      </c>
      <c r="F117" s="11">
        <f t="shared" si="86"/>
        <v>1.2644979645035002</v>
      </c>
      <c r="G117" s="200">
        <f t="shared" si="74"/>
        <v>4.0187281727598112E-2</v>
      </c>
      <c r="I117" s="11"/>
      <c r="J117" s="11"/>
      <c r="K117" s="11"/>
      <c r="L117" s="11"/>
      <c r="M117" s="11"/>
      <c r="N117" s="11"/>
      <c r="P117" s="11"/>
      <c r="Q117" s="11"/>
      <c r="R117" s="11"/>
      <c r="S117" s="341"/>
      <c r="T117" s="341"/>
      <c r="U117" s="341"/>
    </row>
    <row r="118" spans="1:21" x14ac:dyDescent="0.2">
      <c r="A118" t="str">
        <f t="shared" si="71"/>
        <v>91 Elementary trades and related occupations</v>
      </c>
      <c r="B118" s="11">
        <v>0.55636093976510481</v>
      </c>
      <c r="C118" s="11">
        <v>1.8426463868841023</v>
      </c>
      <c r="D118" s="11">
        <f t="shared" si="72"/>
        <v>1.2862854471189975</v>
      </c>
      <c r="E118" s="11">
        <v>0.95745946645625457</v>
      </c>
      <c r="F118" s="11">
        <f t="shared" si="73"/>
        <v>2.2437449135752523</v>
      </c>
      <c r="G118" s="200">
        <f t="shared" si="74"/>
        <v>6.9008556909039065E-2</v>
      </c>
      <c r="I118" s="11"/>
      <c r="J118" s="11"/>
      <c r="K118" s="11"/>
      <c r="L118" s="11"/>
      <c r="M118" s="11"/>
      <c r="N118" s="11"/>
      <c r="P118" s="11"/>
      <c r="Q118" s="11"/>
      <c r="R118" s="11"/>
      <c r="S118" s="341"/>
      <c r="T118" s="341"/>
      <c r="U118" s="341"/>
    </row>
    <row r="119" spans="1:21" x14ac:dyDescent="0.2">
      <c r="A119" t="str">
        <f t="shared" si="71"/>
        <v>92 Elementary administration and service occupations</v>
      </c>
      <c r="B119" s="11">
        <v>3.4225763041860628</v>
      </c>
      <c r="C119" s="11">
        <v>4.8492899717137217</v>
      </c>
      <c r="D119" s="11">
        <f t="shared" ref="D119" si="87">C119-B119</f>
        <v>1.4267136675276588</v>
      </c>
      <c r="E119" s="11">
        <v>2.4701105173307116</v>
      </c>
      <c r="F119" s="11">
        <f t="shared" ref="F119" si="88">SUM(D119:E119)</f>
        <v>3.8968241848583705</v>
      </c>
      <c r="G119" s="200">
        <f t="shared" si="74"/>
        <v>3.6885213825769592E-2</v>
      </c>
      <c r="I119" s="11"/>
      <c r="J119" s="11"/>
      <c r="K119" s="11"/>
      <c r="L119" s="11"/>
      <c r="M119" s="11"/>
      <c r="N119" s="11"/>
      <c r="P119" s="11"/>
      <c r="Q119" s="11"/>
      <c r="R119" s="11"/>
      <c r="S119" s="341"/>
      <c r="T119" s="341"/>
      <c r="U119" s="341"/>
    </row>
    <row r="120" spans="1:21" x14ac:dyDescent="0.2">
      <c r="A120" t="str">
        <f t="shared" si="71"/>
        <v>All occupations</v>
      </c>
      <c r="B120" s="11">
        <f>SUM(B94:B119)</f>
        <v>93.903645024450881</v>
      </c>
      <c r="C120" s="11">
        <f t="shared" ref="C120:F120" si="89">SUM(C94:C119)</f>
        <v>125.54968530465658</v>
      </c>
      <c r="D120" s="11">
        <f t="shared" si="89"/>
        <v>31.646040280205746</v>
      </c>
      <c r="E120" s="11">
        <f t="shared" si="89"/>
        <v>60.785232261783889</v>
      </c>
      <c r="F120" s="11">
        <f t="shared" si="89"/>
        <v>92.431272541989628</v>
      </c>
      <c r="G120" s="200">
        <f t="shared" si="74"/>
        <v>3.3836297085182654E-2</v>
      </c>
      <c r="I120" s="11"/>
      <c r="J120" s="11"/>
      <c r="K120" s="11"/>
      <c r="L120" s="11"/>
      <c r="M120" s="11"/>
      <c r="N120" s="11"/>
      <c r="P120" s="11"/>
      <c r="Q120" s="11"/>
      <c r="R120" s="11"/>
      <c r="S120" s="341"/>
      <c r="T120" s="341"/>
      <c r="U120" s="341"/>
    </row>
    <row r="121" spans="1:21" x14ac:dyDescent="0.2">
      <c r="I121" s="11"/>
      <c r="J121" s="11"/>
      <c r="K121" s="11"/>
      <c r="L121" s="11"/>
      <c r="M121" s="11"/>
      <c r="N121" s="11"/>
      <c r="P121" s="11"/>
      <c r="Q121" s="11"/>
      <c r="R121" s="11"/>
      <c r="S121" s="341"/>
      <c r="T121" s="341"/>
      <c r="U121" s="341"/>
    </row>
    <row r="122" spans="1:21" ht="38.25" x14ac:dyDescent="0.2">
      <c r="A122" s="201" t="str">
        <f>CONCATENATE(name!F7," (Constrained)")</f>
        <v>RQF5 Foundation degree;Nursing;Teaching (Constrained)</v>
      </c>
      <c r="B122" s="88">
        <f t="shared" ref="B122:G122" si="90">B35</f>
        <v>2020</v>
      </c>
      <c r="C122" s="88">
        <f t="shared" si="90"/>
        <v>2035</v>
      </c>
      <c r="D122" s="88" t="str">
        <f t="shared" si="90"/>
        <v>Net Change</v>
      </c>
      <c r="E122" s="88" t="str">
        <f t="shared" si="90"/>
        <v>Replacement Demand level</v>
      </c>
      <c r="F122" s="88" t="str">
        <f t="shared" si="90"/>
        <v>Total Requirement</v>
      </c>
      <c r="G122" s="88" t="str">
        <f t="shared" si="90"/>
        <v>Replacement Demand rate</v>
      </c>
      <c r="I122" s="85"/>
      <c r="J122" s="74"/>
      <c r="K122" s="74"/>
      <c r="L122" s="72"/>
      <c r="M122" s="72"/>
      <c r="N122" s="72"/>
      <c r="P122" s="11"/>
      <c r="Q122" s="11"/>
      <c r="R122" s="11"/>
      <c r="S122" s="341"/>
      <c r="T122" s="341"/>
      <c r="U122" s="341"/>
    </row>
    <row r="123" spans="1:21" x14ac:dyDescent="0.2">
      <c r="A123" t="str">
        <f t="shared" ref="A123:A149" si="91">A36</f>
        <v>11 Corporate managers and directors</v>
      </c>
      <c r="B123" s="11">
        <v>2.0099830913093695</v>
      </c>
      <c r="C123" s="11">
        <v>2.0299662824813258</v>
      </c>
      <c r="D123" s="11">
        <f>C123-B123</f>
        <v>1.9983191171956349E-2</v>
      </c>
      <c r="E123" s="11">
        <v>1.0179683966171982</v>
      </c>
      <c r="F123" s="11">
        <f>SUM(D123:E123)</f>
        <v>1.0379515877891545</v>
      </c>
      <c r="G123" s="200">
        <f>IF(B123&gt;0,(1+(E123/B123))^(1/($C$6-$B$6))-1,0)</f>
        <v>2.7693872857264212E-2</v>
      </c>
      <c r="I123" s="11"/>
      <c r="J123" s="11"/>
      <c r="K123" s="11"/>
      <c r="L123" s="11"/>
      <c r="M123" s="11"/>
      <c r="N123" s="11"/>
      <c r="P123" s="11"/>
      <c r="Q123" s="11"/>
      <c r="R123" s="11"/>
      <c r="S123" s="341"/>
      <c r="T123" s="341"/>
      <c r="U123" s="341"/>
    </row>
    <row r="124" spans="1:21" x14ac:dyDescent="0.2">
      <c r="A124" t="str">
        <f t="shared" si="91"/>
        <v>12 Other managers and proprietors</v>
      </c>
      <c r="B124" s="11">
        <v>1.107411270016369</v>
      </c>
      <c r="C124" s="11">
        <v>1.3732970015033099</v>
      </c>
      <c r="D124" s="11">
        <f t="shared" ref="D124:D139" si="92">C124-B124</f>
        <v>0.26588573148694095</v>
      </c>
      <c r="E124" s="11">
        <v>0.72714428277960763</v>
      </c>
      <c r="F124" s="11">
        <f t="shared" ref="F124:F131" si="93">SUM(D124:E124)</f>
        <v>0.99303001426654858</v>
      </c>
      <c r="G124" s="200">
        <f t="shared" ref="G124:G147" si="94">IF(B124&gt;0,(1+(E124/B124))^(1/($C$6-$B$6))-1,0)</f>
        <v>3.4224437024650944E-2</v>
      </c>
      <c r="I124" s="11"/>
      <c r="J124" s="11"/>
      <c r="K124" s="11"/>
      <c r="L124" s="11"/>
      <c r="M124" s="11"/>
      <c r="N124" s="11"/>
      <c r="P124" s="11"/>
      <c r="Q124" s="11"/>
      <c r="R124" s="11"/>
      <c r="S124" s="341"/>
      <c r="T124" s="341"/>
      <c r="U124" s="341"/>
    </row>
    <row r="125" spans="1:21" x14ac:dyDescent="0.2">
      <c r="A125" t="str">
        <f t="shared" si="91"/>
        <v>21 Science, research, engineering and technology professionals</v>
      </c>
      <c r="B125" s="11">
        <v>0.98127955071802453</v>
      </c>
      <c r="C125" s="11">
        <v>1.417208690363009</v>
      </c>
      <c r="D125" s="11">
        <f t="shared" si="92"/>
        <v>0.43592913964498448</v>
      </c>
      <c r="E125" s="11">
        <v>0.48839823433652307</v>
      </c>
      <c r="F125" s="11">
        <f t="shared" si="93"/>
        <v>0.92432737398150755</v>
      </c>
      <c r="G125" s="200">
        <f t="shared" si="94"/>
        <v>2.7295278490743646E-2</v>
      </c>
      <c r="I125" s="11"/>
      <c r="J125" s="11"/>
      <c r="K125" s="11"/>
      <c r="L125" s="11"/>
      <c r="M125" s="11"/>
      <c r="N125" s="11"/>
      <c r="P125" s="11"/>
      <c r="Q125" s="11"/>
      <c r="R125" s="11"/>
      <c r="S125" s="341"/>
      <c r="T125" s="341"/>
      <c r="U125" s="341"/>
    </row>
    <row r="126" spans="1:21" x14ac:dyDescent="0.2">
      <c r="A126" t="str">
        <f t="shared" si="91"/>
        <v>22 Health professionals</v>
      </c>
      <c r="B126" s="11">
        <v>2.7563466086949155</v>
      </c>
      <c r="C126" s="11">
        <v>0.67376300053496574</v>
      </c>
      <c r="D126" s="11">
        <f t="shared" si="92"/>
        <v>-2.0825836081599496</v>
      </c>
      <c r="E126" s="11">
        <v>0.53189768839809493</v>
      </c>
      <c r="F126" s="11">
        <f t="shared" si="93"/>
        <v>-1.5506859197618548</v>
      </c>
      <c r="G126" s="200">
        <f t="shared" si="94"/>
        <v>1.1832635833705751E-2</v>
      </c>
      <c r="I126" s="11"/>
      <c r="J126" s="11"/>
      <c r="K126" s="11"/>
      <c r="L126" s="11"/>
      <c r="M126" s="11"/>
      <c r="N126" s="11"/>
      <c r="P126" s="11"/>
      <c r="Q126" s="11"/>
      <c r="R126" s="11"/>
      <c r="S126" s="341"/>
      <c r="T126" s="341"/>
      <c r="U126" s="341"/>
    </row>
    <row r="127" spans="1:21" x14ac:dyDescent="0.2">
      <c r="A127" t="str">
        <f t="shared" si="91"/>
        <v>23 Teaching and other educational professionals</v>
      </c>
      <c r="B127" s="11">
        <v>0.45639461613226062</v>
      </c>
      <c r="C127" s="11">
        <v>0.24303747919877641</v>
      </c>
      <c r="D127" s="11">
        <f t="shared" si="92"/>
        <v>-0.21335713693348421</v>
      </c>
      <c r="E127" s="11">
        <v>7.5916687804523736E-2</v>
      </c>
      <c r="F127" s="11">
        <f t="shared" si="93"/>
        <v>-0.13744044912896047</v>
      </c>
      <c r="G127" s="200">
        <f>IF(B127&gt;0,(1+(E127/B127))^(1/($C$6-$B$6))-1,0)</f>
        <v>1.0310837725908462E-2</v>
      </c>
      <c r="I127" s="11"/>
      <c r="J127" s="11"/>
      <c r="K127" s="11"/>
      <c r="L127" s="11"/>
      <c r="M127" s="11"/>
      <c r="N127" s="11"/>
      <c r="P127" s="11"/>
      <c r="Q127" s="11"/>
      <c r="R127" s="11"/>
      <c r="S127" s="341"/>
      <c r="T127" s="341"/>
      <c r="U127" s="341"/>
    </row>
    <row r="128" spans="1:21" x14ac:dyDescent="0.2">
      <c r="A128" t="str">
        <f t="shared" si="91"/>
        <v>24 Business, media and public service professionals</v>
      </c>
      <c r="B128" s="11">
        <v>1.1148755065060769</v>
      </c>
      <c r="C128" s="11">
        <v>1.1587802238738163</v>
      </c>
      <c r="D128" s="11">
        <f t="shared" si="92"/>
        <v>4.3904717367739376E-2</v>
      </c>
      <c r="E128" s="11">
        <v>0.42211674790483672</v>
      </c>
      <c r="F128" s="11">
        <f t="shared" si="93"/>
        <v>0.4660214652725761</v>
      </c>
      <c r="G128" s="200">
        <f t="shared" si="94"/>
        <v>2.1636389615096174E-2</v>
      </c>
      <c r="I128" s="11"/>
      <c r="J128" s="11"/>
      <c r="K128" s="11"/>
      <c r="L128" s="11"/>
      <c r="M128" s="11"/>
      <c r="N128" s="11"/>
      <c r="P128" s="11"/>
      <c r="Q128" s="11"/>
      <c r="R128" s="11"/>
      <c r="S128" s="341"/>
      <c r="T128" s="341"/>
      <c r="U128" s="341"/>
    </row>
    <row r="129" spans="1:21" x14ac:dyDescent="0.2">
      <c r="A129" t="str">
        <f t="shared" si="91"/>
        <v>31 Science, engineering and technology associate professionals</v>
      </c>
      <c r="B129" s="11">
        <v>0.39083195813041088</v>
      </c>
      <c r="C129" s="11">
        <v>0.54636012671430978</v>
      </c>
      <c r="D129" s="11">
        <f t="shared" si="92"/>
        <v>0.1555281685838989</v>
      </c>
      <c r="E129" s="11">
        <v>0.20984460738233618</v>
      </c>
      <c r="F129" s="11">
        <f t="shared" si="93"/>
        <v>0.36537277596623507</v>
      </c>
      <c r="G129" s="200">
        <f t="shared" si="94"/>
        <v>2.9066344056350557E-2</v>
      </c>
      <c r="I129" s="11"/>
      <c r="J129" s="11"/>
      <c r="K129" s="11"/>
      <c r="L129" s="11"/>
      <c r="M129" s="11"/>
      <c r="N129" s="11"/>
      <c r="P129" s="11"/>
      <c r="Q129" s="11"/>
      <c r="R129" s="11"/>
      <c r="S129" s="341"/>
      <c r="T129" s="341"/>
      <c r="U129" s="341"/>
    </row>
    <row r="130" spans="1:21" x14ac:dyDescent="0.2">
      <c r="A130" t="str">
        <f t="shared" si="91"/>
        <v>32 Health and social care associate professionals</v>
      </c>
      <c r="B130" s="11">
        <v>1.4201333991890113</v>
      </c>
      <c r="C130" s="11">
        <v>1.0654604037070485</v>
      </c>
      <c r="D130" s="11">
        <f t="shared" si="92"/>
        <v>-0.35467299548196274</v>
      </c>
      <c r="E130" s="11">
        <v>0.6490407014650732</v>
      </c>
      <c r="F130" s="11">
        <f t="shared" si="93"/>
        <v>0.29436770598311046</v>
      </c>
      <c r="G130" s="200">
        <f t="shared" si="94"/>
        <v>2.541073439911834E-2</v>
      </c>
      <c r="I130" s="11"/>
      <c r="J130" s="11"/>
      <c r="K130" s="11"/>
      <c r="L130" s="11"/>
      <c r="M130" s="11"/>
      <c r="N130" s="11"/>
      <c r="P130" s="11"/>
      <c r="Q130" s="11"/>
      <c r="R130" s="11"/>
      <c r="S130" s="341"/>
      <c r="T130" s="341"/>
      <c r="U130" s="341"/>
    </row>
    <row r="131" spans="1:21" x14ac:dyDescent="0.2">
      <c r="A131" t="str">
        <f t="shared" si="91"/>
        <v>33 Protective service occupations</v>
      </c>
      <c r="B131" s="11">
        <v>0.3764903469858773</v>
      </c>
      <c r="C131" s="11">
        <v>0.44278653208814001</v>
      </c>
      <c r="D131" s="11">
        <f t="shared" si="92"/>
        <v>6.6296185102262706E-2</v>
      </c>
      <c r="E131" s="11">
        <v>0.13448700688423568</v>
      </c>
      <c r="F131" s="11">
        <f t="shared" si="93"/>
        <v>0.20078319198649838</v>
      </c>
      <c r="G131" s="200">
        <f t="shared" si="94"/>
        <v>2.0570914616089064E-2</v>
      </c>
      <c r="I131" s="11"/>
      <c r="J131" s="11"/>
      <c r="K131" s="11"/>
      <c r="L131" s="11"/>
      <c r="M131" s="11"/>
      <c r="N131" s="11"/>
      <c r="P131" s="11"/>
      <c r="Q131" s="11"/>
      <c r="R131" s="11"/>
      <c r="S131" s="341"/>
      <c r="T131" s="341"/>
      <c r="U131" s="341"/>
    </row>
    <row r="132" spans="1:21" x14ac:dyDescent="0.2">
      <c r="A132" t="str">
        <f t="shared" si="91"/>
        <v>34 Culture, media and sports occupations</v>
      </c>
      <c r="B132" s="11">
        <v>0.34911832683106159</v>
      </c>
      <c r="C132" s="11">
        <v>0.39079163686536528</v>
      </c>
      <c r="D132" s="11">
        <f t="shared" si="92"/>
        <v>4.167331003430369E-2</v>
      </c>
      <c r="E132" s="11">
        <v>0.159631076079227</v>
      </c>
      <c r="F132" s="11">
        <f t="shared" ref="F132:F133" si="95">SUM(D132:E132)</f>
        <v>0.20130438611353069</v>
      </c>
      <c r="G132" s="200">
        <f t="shared" si="94"/>
        <v>2.5420709700416433E-2</v>
      </c>
      <c r="I132" s="11"/>
      <c r="J132" s="11"/>
      <c r="K132" s="11"/>
      <c r="L132" s="11"/>
      <c r="M132" s="11"/>
      <c r="N132" s="11"/>
      <c r="P132" s="11"/>
      <c r="Q132" s="11"/>
      <c r="R132" s="11"/>
      <c r="S132" s="341"/>
      <c r="T132" s="341"/>
      <c r="U132" s="341"/>
    </row>
    <row r="133" spans="1:21" x14ac:dyDescent="0.2">
      <c r="A133" t="str">
        <f t="shared" si="91"/>
        <v>35 Business and public service associate professionals</v>
      </c>
      <c r="B133" s="11">
        <v>2.214480260503001</v>
      </c>
      <c r="C133" s="11">
        <v>2.8499501628419166</v>
      </c>
      <c r="D133" s="11">
        <f t="shared" si="92"/>
        <v>0.63546990233891565</v>
      </c>
      <c r="E133" s="11">
        <v>1.2202585665667041</v>
      </c>
      <c r="F133" s="11">
        <f t="shared" si="95"/>
        <v>1.8557284689056197</v>
      </c>
      <c r="G133" s="200">
        <f t="shared" si="94"/>
        <v>2.9693869466335343E-2</v>
      </c>
      <c r="I133" s="11"/>
      <c r="J133" s="11"/>
      <c r="K133" s="11"/>
      <c r="L133" s="11"/>
      <c r="M133" s="11"/>
      <c r="N133" s="11"/>
      <c r="P133" s="11"/>
      <c r="Q133" s="11"/>
      <c r="R133" s="11"/>
      <c r="S133" s="341"/>
      <c r="T133" s="341"/>
      <c r="U133" s="341"/>
    </row>
    <row r="134" spans="1:21" x14ac:dyDescent="0.2">
      <c r="A134" t="str">
        <f t="shared" si="91"/>
        <v>41 Administrative occupations</v>
      </c>
      <c r="B134" s="11">
        <v>3.1166708147941167</v>
      </c>
      <c r="C134" s="11">
        <v>4.4503793368073499</v>
      </c>
      <c r="D134" s="11">
        <f t="shared" si="92"/>
        <v>1.3337085220132332</v>
      </c>
      <c r="E134" s="11">
        <v>2.3181898307571176</v>
      </c>
      <c r="F134" s="11">
        <f t="shared" ref="F134:F137" si="96">SUM(D134:E134)</f>
        <v>3.6518983527703508</v>
      </c>
      <c r="G134" s="200">
        <f t="shared" si="94"/>
        <v>3.7766941421198741E-2</v>
      </c>
      <c r="I134" s="11"/>
      <c r="J134" s="11"/>
      <c r="K134" s="11"/>
      <c r="L134" s="11"/>
      <c r="M134" s="11"/>
      <c r="N134" s="11"/>
      <c r="P134" s="11"/>
      <c r="Q134" s="11"/>
      <c r="R134" s="11"/>
      <c r="S134" s="341"/>
      <c r="T134" s="341"/>
      <c r="U134" s="341"/>
    </row>
    <row r="135" spans="1:21" x14ac:dyDescent="0.2">
      <c r="A135" t="str">
        <f t="shared" si="91"/>
        <v>42 Secretarial and related occupations</v>
      </c>
      <c r="B135" s="11">
        <v>0.61648759026252953</v>
      </c>
      <c r="C135" s="11">
        <v>0.74205530545114962</v>
      </c>
      <c r="D135" s="11">
        <f t="shared" si="92"/>
        <v>0.12556771518862009</v>
      </c>
      <c r="E135" s="11">
        <v>0.42211197104127007</v>
      </c>
      <c r="F135" s="11">
        <f t="shared" si="96"/>
        <v>0.54767968622989016</v>
      </c>
      <c r="G135" s="200">
        <f t="shared" si="94"/>
        <v>3.5384326486790574E-2</v>
      </c>
      <c r="I135" s="11"/>
      <c r="J135" s="11"/>
      <c r="K135" s="11"/>
      <c r="L135" s="11"/>
      <c r="M135" s="11"/>
      <c r="N135" s="11"/>
    </row>
    <row r="136" spans="1:21" x14ac:dyDescent="0.2">
      <c r="A136" t="str">
        <f t="shared" si="91"/>
        <v>51 Skilled agricultural and related trades</v>
      </c>
      <c r="B136" s="11">
        <v>0.50082618274613366</v>
      </c>
      <c r="C136" s="11">
        <v>0.61956689296912071</v>
      </c>
      <c r="D136" s="11">
        <f t="shared" si="92"/>
        <v>0.11874071022298704</v>
      </c>
      <c r="E136" s="11">
        <v>0.3872995328939951</v>
      </c>
      <c r="F136" s="11">
        <f t="shared" si="96"/>
        <v>0.50604024311698215</v>
      </c>
      <c r="G136" s="200">
        <f t="shared" si="94"/>
        <v>3.8928901766317914E-2</v>
      </c>
      <c r="I136" s="11"/>
      <c r="J136" s="11"/>
      <c r="K136" s="11"/>
      <c r="L136" s="11"/>
      <c r="M136" s="11"/>
      <c r="N136" s="11"/>
      <c r="O136" s="71"/>
    </row>
    <row r="137" spans="1:21" x14ac:dyDescent="0.2">
      <c r="A137" t="str">
        <f t="shared" si="91"/>
        <v>52 Skilled metal, electrical and electronic trades</v>
      </c>
      <c r="B137" s="11">
        <v>0.3990426220735338</v>
      </c>
      <c r="C137" s="11">
        <v>0.54423966441156713</v>
      </c>
      <c r="D137" s="11">
        <f t="shared" si="92"/>
        <v>0.14519704233803332</v>
      </c>
      <c r="E137" s="11">
        <v>0.2071192219813037</v>
      </c>
      <c r="F137" s="11">
        <f t="shared" si="96"/>
        <v>0.35231626431933705</v>
      </c>
      <c r="G137" s="200">
        <f t="shared" si="94"/>
        <v>2.8263975003692821E-2</v>
      </c>
      <c r="I137" s="11"/>
      <c r="J137" s="11"/>
      <c r="K137" s="11"/>
      <c r="L137" s="11"/>
      <c r="M137" s="11"/>
      <c r="N137" s="11"/>
    </row>
    <row r="138" spans="1:21" x14ac:dyDescent="0.2">
      <c r="A138" t="str">
        <f t="shared" si="91"/>
        <v>53 Skilled construction and building trades</v>
      </c>
      <c r="B138" s="11">
        <v>0.25252420502716877</v>
      </c>
      <c r="C138" s="11">
        <v>0.33718531063820867</v>
      </c>
      <c r="D138" s="11">
        <f t="shared" si="92"/>
        <v>8.46611056110399E-2</v>
      </c>
      <c r="E138" s="11">
        <v>0.15457346333814864</v>
      </c>
      <c r="F138" s="11">
        <f t="shared" ref="F138" si="97">SUM(D138:E138)</f>
        <v>0.23923456894918854</v>
      </c>
      <c r="G138" s="200">
        <f t="shared" si="94"/>
        <v>3.2348600803422167E-2</v>
      </c>
      <c r="I138" s="11"/>
      <c r="J138" s="11"/>
      <c r="K138" s="11"/>
      <c r="L138" s="11"/>
      <c r="M138" s="11"/>
      <c r="N138" s="11"/>
      <c r="P138" s="85"/>
      <c r="Q138" s="74"/>
      <c r="R138" s="74"/>
      <c r="S138" s="342"/>
      <c r="T138" s="342"/>
      <c r="U138" s="342"/>
    </row>
    <row r="139" spans="1:21" x14ac:dyDescent="0.2">
      <c r="A139" t="str">
        <f t="shared" si="91"/>
        <v>54 Textiles, printing and other skilled trades</v>
      </c>
      <c r="B139" s="11">
        <v>0.32292146397860699</v>
      </c>
      <c r="C139" s="11">
        <v>0.47379303418297392</v>
      </c>
      <c r="D139" s="11">
        <f t="shared" si="92"/>
        <v>0.15087157020436692</v>
      </c>
      <c r="E139" s="11">
        <v>0.2083348835042452</v>
      </c>
      <c r="F139" s="11">
        <f t="shared" ref="F139" si="98">SUM(D139:E139)</f>
        <v>0.35920645370861215</v>
      </c>
      <c r="G139" s="200">
        <f t="shared" si="94"/>
        <v>3.3745934610580841E-2</v>
      </c>
      <c r="I139" s="11"/>
      <c r="J139" s="11"/>
      <c r="K139" s="11"/>
      <c r="L139" s="11"/>
      <c r="M139" s="11"/>
      <c r="N139" s="11"/>
      <c r="P139" s="11"/>
      <c r="Q139" s="11"/>
      <c r="R139" s="11"/>
      <c r="S139" s="341"/>
      <c r="T139" s="341"/>
      <c r="U139" s="341"/>
    </row>
    <row r="140" spans="1:21" x14ac:dyDescent="0.2">
      <c r="A140" t="str">
        <f t="shared" si="91"/>
        <v>61 Caring personal service occupations</v>
      </c>
      <c r="B140" s="11">
        <v>4.1144436033435809</v>
      </c>
      <c r="C140" s="11">
        <v>4.6566555182853131</v>
      </c>
      <c r="D140" s="11">
        <f>C140-B140</f>
        <v>0.54221191494173215</v>
      </c>
      <c r="E140" s="11">
        <v>2.5829592258496121</v>
      </c>
      <c r="F140" s="11">
        <f>SUM(D140:E140)</f>
        <v>3.1251711407913443</v>
      </c>
      <c r="G140" s="200">
        <f t="shared" si="94"/>
        <v>3.3014348372326419E-2</v>
      </c>
      <c r="I140" s="11"/>
      <c r="J140" s="11"/>
      <c r="K140" s="11"/>
      <c r="L140" s="11"/>
      <c r="M140" s="11"/>
      <c r="N140" s="11"/>
      <c r="P140" s="11"/>
      <c r="Q140" s="11"/>
      <c r="R140" s="11"/>
      <c r="S140" s="341"/>
      <c r="T140" s="341"/>
      <c r="U140" s="341"/>
    </row>
    <row r="141" spans="1:21" x14ac:dyDescent="0.2">
      <c r="A141" t="str">
        <f t="shared" si="91"/>
        <v>62 Leisure, travel and related personal service occupations</v>
      </c>
      <c r="B141" s="11">
        <v>0.83143641497391674</v>
      </c>
      <c r="C141" s="11">
        <v>1.2444964117358273</v>
      </c>
      <c r="D141" s="11">
        <f t="shared" ref="D141:D147" si="99">C141-B141</f>
        <v>0.41305999676191052</v>
      </c>
      <c r="E141" s="11">
        <v>0.60996649597734975</v>
      </c>
      <c r="F141" s="11">
        <f t="shared" ref="F141:F142" si="100">SUM(D141:E141)</f>
        <v>1.0230264927392603</v>
      </c>
      <c r="G141" s="200">
        <f t="shared" si="94"/>
        <v>3.7362211148912472E-2</v>
      </c>
      <c r="I141" s="11"/>
      <c r="J141" s="11"/>
      <c r="K141" s="11"/>
      <c r="L141" s="11"/>
      <c r="M141" s="11"/>
      <c r="N141" s="11"/>
      <c r="P141" s="11"/>
      <c r="Q141" s="11"/>
      <c r="R141" s="11"/>
      <c r="S141" s="341"/>
      <c r="T141" s="341"/>
      <c r="U141" s="341"/>
    </row>
    <row r="142" spans="1:21" x14ac:dyDescent="0.2">
      <c r="A142" t="str">
        <f t="shared" si="91"/>
        <v>63 Community and civil enforcement occupations</v>
      </c>
      <c r="B142" s="11">
        <v>2.5958509676105728E-2</v>
      </c>
      <c r="C142" s="11">
        <v>2.9182005297270667E-2</v>
      </c>
      <c r="D142" s="11">
        <f t="shared" si="99"/>
        <v>3.2234956211649388E-3</v>
      </c>
      <c r="E142" s="11">
        <v>1.3192577790429915E-2</v>
      </c>
      <c r="F142" s="11">
        <f t="shared" si="100"/>
        <v>1.6416073411594852E-2</v>
      </c>
      <c r="G142" s="200">
        <f t="shared" si="94"/>
        <v>2.7773947903599217E-2</v>
      </c>
      <c r="I142" s="11"/>
      <c r="J142" s="11"/>
      <c r="K142" s="11"/>
      <c r="L142" s="11"/>
      <c r="M142" s="11"/>
      <c r="N142" s="11"/>
      <c r="P142" s="11"/>
      <c r="Q142" s="11"/>
      <c r="R142" s="11"/>
      <c r="S142" s="341"/>
      <c r="T142" s="341"/>
      <c r="U142" s="341"/>
    </row>
    <row r="143" spans="1:21" x14ac:dyDescent="0.2">
      <c r="A143" t="str">
        <f t="shared" si="91"/>
        <v>71 Sales occupations</v>
      </c>
      <c r="B143" s="11">
        <v>1.4819171964666784</v>
      </c>
      <c r="C143" s="11">
        <v>2.2317074422654626</v>
      </c>
      <c r="D143" s="11">
        <f t="shared" si="99"/>
        <v>0.74979024579878417</v>
      </c>
      <c r="E143" s="11">
        <v>1.0397342275866692</v>
      </c>
      <c r="F143" s="11">
        <f t="shared" ref="F143:F144" si="101">SUM(D143:E143)</f>
        <v>1.7895244733854534</v>
      </c>
      <c r="G143" s="200">
        <f t="shared" si="94"/>
        <v>3.6073918049650322E-2</v>
      </c>
      <c r="I143" s="11"/>
      <c r="J143" s="11"/>
      <c r="K143" s="11"/>
      <c r="L143" s="11"/>
      <c r="M143" s="11"/>
      <c r="N143" s="11"/>
      <c r="P143" s="11"/>
      <c r="Q143" s="11"/>
      <c r="R143" s="11"/>
      <c r="S143" s="341"/>
      <c r="T143" s="341"/>
      <c r="U143" s="341"/>
    </row>
    <row r="144" spans="1:21" x14ac:dyDescent="0.2">
      <c r="A144" t="str">
        <f t="shared" si="91"/>
        <v>72 Customer service occupations</v>
      </c>
      <c r="B144" s="11">
        <v>0.44667967882394716</v>
      </c>
      <c r="C144" s="11">
        <v>0.7345997153063194</v>
      </c>
      <c r="D144" s="11">
        <f t="shared" si="99"/>
        <v>0.28792003648237224</v>
      </c>
      <c r="E144" s="11">
        <v>0.32220568336235678</v>
      </c>
      <c r="F144" s="11">
        <f t="shared" si="101"/>
        <v>0.61012571984472896</v>
      </c>
      <c r="G144" s="200">
        <f t="shared" si="94"/>
        <v>3.687012113625121E-2</v>
      </c>
      <c r="I144" s="11"/>
      <c r="J144" s="11"/>
      <c r="K144" s="11"/>
      <c r="L144" s="11"/>
      <c r="M144" s="11"/>
      <c r="N144" s="11"/>
      <c r="P144" s="11"/>
      <c r="Q144" s="11"/>
      <c r="R144" s="11"/>
      <c r="S144" s="341"/>
      <c r="T144" s="341"/>
      <c r="U144" s="341"/>
    </row>
    <row r="145" spans="1:21" x14ac:dyDescent="0.2">
      <c r="A145" t="str">
        <f t="shared" si="91"/>
        <v>81 Process, plant and machine operatives</v>
      </c>
      <c r="B145" s="11">
        <v>0.34117394687299762</v>
      </c>
      <c r="C145" s="11">
        <v>0.575291455731058</v>
      </c>
      <c r="D145" s="11">
        <f t="shared" si="99"/>
        <v>0.23411750885806037</v>
      </c>
      <c r="E145" s="11">
        <v>0.22822999980477837</v>
      </c>
      <c r="F145" s="11">
        <f t="shared" ref="F145:F146" si="102">SUM(D145:E145)</f>
        <v>0.46234750866283875</v>
      </c>
      <c r="G145" s="200">
        <f t="shared" si="94"/>
        <v>3.4736194875422788E-2</v>
      </c>
      <c r="I145" s="11"/>
      <c r="J145" s="11"/>
      <c r="K145" s="11"/>
      <c r="L145" s="11"/>
      <c r="M145" s="11"/>
      <c r="N145" s="11"/>
      <c r="P145" s="11"/>
      <c r="Q145" s="11"/>
      <c r="R145" s="11"/>
      <c r="S145" s="341"/>
      <c r="T145" s="341"/>
      <c r="U145" s="341"/>
    </row>
    <row r="146" spans="1:21" x14ac:dyDescent="0.2">
      <c r="A146" t="str">
        <f t="shared" si="91"/>
        <v>82 Transport and mobile machine drivers and operatives</v>
      </c>
      <c r="B146" s="11">
        <v>0.50471364317463141</v>
      </c>
      <c r="C146" s="11">
        <v>0.72592792285112162</v>
      </c>
      <c r="D146" s="11">
        <f t="shared" si="99"/>
        <v>0.22121427967649021</v>
      </c>
      <c r="E146" s="11">
        <v>0.38660636294735878</v>
      </c>
      <c r="F146" s="11">
        <f t="shared" si="102"/>
        <v>0.60782064262384905</v>
      </c>
      <c r="G146" s="200">
        <f t="shared" si="94"/>
        <v>3.8642064514556207E-2</v>
      </c>
      <c r="I146" s="11"/>
      <c r="J146" s="11"/>
      <c r="K146" s="11"/>
      <c r="L146" s="11"/>
      <c r="M146" s="11"/>
      <c r="N146" s="11"/>
      <c r="P146" s="11"/>
      <c r="Q146" s="11"/>
      <c r="R146" s="11"/>
      <c r="S146" s="341"/>
      <c r="T146" s="341"/>
      <c r="U146" s="341"/>
    </row>
    <row r="147" spans="1:21" x14ac:dyDescent="0.2">
      <c r="A147" t="str">
        <f t="shared" si="91"/>
        <v>91 Elementary trades and related occupations</v>
      </c>
      <c r="B147" s="11">
        <v>0.36636180299034599</v>
      </c>
      <c r="C147" s="11">
        <v>1.2883100429046095</v>
      </c>
      <c r="D147" s="11">
        <f t="shared" si="99"/>
        <v>0.92194823991426356</v>
      </c>
      <c r="E147" s="11">
        <v>0.68009854574656681</v>
      </c>
      <c r="F147" s="11">
        <f t="shared" ref="F147" si="103">SUM(D147:E147)</f>
        <v>1.6020467856608303</v>
      </c>
      <c r="G147" s="200">
        <f t="shared" si="94"/>
        <v>7.2475811578014193E-2</v>
      </c>
      <c r="I147" s="11"/>
      <c r="J147" s="11"/>
      <c r="K147" s="11"/>
      <c r="L147" s="11"/>
      <c r="M147" s="11"/>
      <c r="N147" s="11"/>
      <c r="P147" s="11"/>
      <c r="Q147" s="11"/>
      <c r="R147" s="11"/>
      <c r="S147" s="341"/>
      <c r="T147" s="341"/>
      <c r="U147" s="341"/>
    </row>
    <row r="148" spans="1:21" x14ac:dyDescent="0.2">
      <c r="A148" t="str">
        <f t="shared" si="91"/>
        <v>92 Elementary administration and service occupations</v>
      </c>
      <c r="B148" s="11">
        <v>1.6505259429501387</v>
      </c>
      <c r="C148" s="11">
        <v>2.2421135552412061</v>
      </c>
      <c r="D148" s="11">
        <f t="shared" ref="D148" si="104">C148-B148</f>
        <v>0.59158761229106749</v>
      </c>
      <c r="E148" s="11">
        <v>1.0879664955379507</v>
      </c>
      <c r="F148" s="11">
        <f t="shared" ref="F148" si="105">SUM(D148:E148)</f>
        <v>1.6795541078290182</v>
      </c>
      <c r="G148" s="200">
        <f t="shared" ref="G148:G149" si="106">IF(B148&gt;0,(1+(E148/B148))^(1/($C$6-$B$6))-1,0)</f>
        <v>3.4330376637374593E-2</v>
      </c>
      <c r="I148" s="11"/>
      <c r="J148" s="11"/>
      <c r="K148" s="11"/>
      <c r="L148" s="11"/>
      <c r="M148" s="11"/>
      <c r="N148" s="11"/>
      <c r="P148" s="11"/>
      <c r="Q148" s="11"/>
      <c r="R148" s="11"/>
      <c r="S148" s="341"/>
      <c r="T148" s="341"/>
      <c r="U148" s="341"/>
    </row>
    <row r="149" spans="1:21" x14ac:dyDescent="0.2">
      <c r="A149" t="str">
        <f t="shared" si="91"/>
        <v>All occupations</v>
      </c>
      <c r="B149" s="11">
        <f>SUM(B123:B148)</f>
        <v>28.149028553170815</v>
      </c>
      <c r="C149" s="11">
        <f t="shared" ref="C149:F149" si="107">SUM(C123:C148)</f>
        <v>33.086905154250545</v>
      </c>
      <c r="D149" s="11">
        <f t="shared" si="107"/>
        <v>4.9378766010797319</v>
      </c>
      <c r="E149" s="11">
        <f t="shared" si="107"/>
        <v>16.285292514337513</v>
      </c>
      <c r="F149" s="11">
        <f t="shared" si="107"/>
        <v>21.223169115417242</v>
      </c>
      <c r="G149" s="200">
        <f t="shared" si="106"/>
        <v>3.0901114520957007E-2</v>
      </c>
      <c r="P149" s="11"/>
      <c r="Q149" s="11"/>
      <c r="R149" s="11"/>
      <c r="S149" s="341"/>
      <c r="T149" s="341"/>
      <c r="U149" s="341"/>
    </row>
    <row r="150" spans="1:21" x14ac:dyDescent="0.2">
      <c r="B150" s="11"/>
      <c r="C150" s="11"/>
      <c r="D150" s="11"/>
      <c r="E150" s="11"/>
      <c r="F150" s="11"/>
      <c r="G150" s="11"/>
      <c r="P150" s="11"/>
      <c r="Q150" s="11"/>
      <c r="R150" s="11"/>
      <c r="S150" s="341"/>
      <c r="T150" s="341"/>
      <c r="U150" s="341"/>
    </row>
    <row r="151" spans="1:21" ht="38.25" x14ac:dyDescent="0.2">
      <c r="A151" s="201" t="str">
        <f>CONCATENATE(name!F8," (Constrained)")</f>
        <v>RQF4 HE below degree level (Constrained)</v>
      </c>
      <c r="B151" s="88">
        <f t="shared" ref="B151:G151" si="108">B64</f>
        <v>2020</v>
      </c>
      <c r="C151" s="88">
        <f t="shared" si="108"/>
        <v>2035</v>
      </c>
      <c r="D151" s="88" t="str">
        <f t="shared" si="108"/>
        <v>Net Change</v>
      </c>
      <c r="E151" s="88" t="str">
        <f t="shared" si="108"/>
        <v>Replacement Demand level</v>
      </c>
      <c r="F151" s="88" t="str">
        <f t="shared" si="108"/>
        <v>Total Requirement</v>
      </c>
      <c r="G151" s="88" t="str">
        <f t="shared" si="108"/>
        <v>Replacement Demand rate</v>
      </c>
      <c r="P151" s="11"/>
      <c r="Q151" s="11"/>
      <c r="R151" s="11"/>
      <c r="S151" s="341"/>
      <c r="T151" s="341"/>
      <c r="U151" s="341"/>
    </row>
    <row r="152" spans="1:21" x14ac:dyDescent="0.2">
      <c r="A152" t="str">
        <f t="shared" ref="A152:A178" si="109">A65</f>
        <v>11 Corporate managers and directors</v>
      </c>
      <c r="B152" s="11">
        <v>3.0020866163932811</v>
      </c>
      <c r="C152" s="11">
        <v>2.9873255910566687</v>
      </c>
      <c r="D152" s="11">
        <f>C152-B152</f>
        <v>-1.4761025336612388E-2</v>
      </c>
      <c r="E152" s="11">
        <v>1.4670204112220226</v>
      </c>
      <c r="F152" s="11">
        <f>SUM(D152:E152)</f>
        <v>1.4522593858854103</v>
      </c>
      <c r="G152" s="200">
        <f>IF(B152&gt;0,(1+(E152/B152))^(1/($C$6-$B$6))-1,0)</f>
        <v>2.6880331941009139E-2</v>
      </c>
      <c r="I152" s="85"/>
      <c r="J152" s="74"/>
      <c r="K152" s="74"/>
      <c r="L152" s="72"/>
      <c r="M152" s="72"/>
      <c r="N152" s="72"/>
      <c r="P152" s="11"/>
      <c r="Q152" s="11"/>
      <c r="R152" s="11"/>
      <c r="S152" s="341"/>
      <c r="T152" s="341"/>
      <c r="U152" s="341"/>
    </row>
    <row r="153" spans="1:21" x14ac:dyDescent="0.2">
      <c r="A153" t="str">
        <f t="shared" si="109"/>
        <v>12 Other managers and proprietors</v>
      </c>
      <c r="B153" s="11">
        <v>1.2159975935663756</v>
      </c>
      <c r="C153" s="11">
        <v>1.5974877412705082</v>
      </c>
      <c r="D153" s="11">
        <f t="shared" ref="D153:D168" si="110">C153-B153</f>
        <v>0.38149014770413259</v>
      </c>
      <c r="E153" s="11">
        <v>0.81028432785914284</v>
      </c>
      <c r="F153" s="11">
        <f t="shared" ref="F153:F160" si="111">SUM(D153:E153)</f>
        <v>1.1917744755632755</v>
      </c>
      <c r="G153" s="200">
        <f t="shared" ref="G153:G155" si="112">IF(B153&gt;0,(1+(E153/B153))^(1/($C$6-$B$6))-1,0)</f>
        <v>3.462859429125742E-2</v>
      </c>
      <c r="I153" s="11"/>
      <c r="J153" s="11"/>
      <c r="K153" s="11"/>
      <c r="L153" s="11"/>
      <c r="M153" s="11"/>
      <c r="N153" s="11"/>
      <c r="P153" s="11"/>
      <c r="Q153" s="11"/>
      <c r="R153" s="11"/>
      <c r="S153" s="341"/>
      <c r="T153" s="341"/>
      <c r="U153" s="341"/>
    </row>
    <row r="154" spans="1:21" x14ac:dyDescent="0.2">
      <c r="A154" t="str">
        <f t="shared" si="109"/>
        <v>21 Science, research, engineering and technology professionals</v>
      </c>
      <c r="B154" s="11">
        <v>2.7629090705919492</v>
      </c>
      <c r="C154" s="11">
        <v>3.4250454497380196</v>
      </c>
      <c r="D154" s="11">
        <f t="shared" si="110"/>
        <v>0.66213637914607038</v>
      </c>
      <c r="E154" s="11">
        <v>1.124685617049505</v>
      </c>
      <c r="F154" s="11">
        <f t="shared" si="111"/>
        <v>1.7868219961955754</v>
      </c>
      <c r="G154" s="200">
        <f t="shared" si="112"/>
        <v>2.3028248412797714E-2</v>
      </c>
      <c r="I154" s="11"/>
      <c r="J154" s="11"/>
      <c r="K154" s="11"/>
      <c r="L154" s="11"/>
      <c r="M154" s="11"/>
      <c r="N154" s="11"/>
      <c r="P154" s="11"/>
      <c r="Q154" s="11"/>
      <c r="R154" s="11"/>
      <c r="S154" s="341"/>
      <c r="T154" s="341"/>
      <c r="U154" s="341"/>
    </row>
    <row r="155" spans="1:21" x14ac:dyDescent="0.2">
      <c r="A155" t="str">
        <f t="shared" si="109"/>
        <v>22 Health professionals</v>
      </c>
      <c r="B155" s="11">
        <v>0.62531849444881504</v>
      </c>
      <c r="C155" s="11">
        <v>0.74526376357576807</v>
      </c>
      <c r="D155" s="11">
        <f t="shared" si="110"/>
        <v>0.11994526912695302</v>
      </c>
      <c r="E155" s="11">
        <v>0.35441935429514182</v>
      </c>
      <c r="F155" s="11">
        <f t="shared" si="111"/>
        <v>0.47436462342209484</v>
      </c>
      <c r="G155" s="200">
        <f t="shared" si="112"/>
        <v>3.0387482640939822E-2</v>
      </c>
      <c r="I155" s="11"/>
      <c r="J155" s="11"/>
      <c r="K155" s="11"/>
      <c r="L155" s="11"/>
      <c r="M155" s="11"/>
      <c r="N155" s="11"/>
      <c r="P155" s="11"/>
      <c r="Q155" s="11"/>
      <c r="R155" s="11"/>
      <c r="S155" s="341"/>
      <c r="T155" s="341"/>
      <c r="U155" s="341"/>
    </row>
    <row r="156" spans="1:21" x14ac:dyDescent="0.2">
      <c r="A156" t="str">
        <f t="shared" si="109"/>
        <v>23 Teaching and other educational professionals</v>
      </c>
      <c r="B156" s="11">
        <v>0.27186356080578344</v>
      </c>
      <c r="C156" s="11">
        <v>0.20637999220826261</v>
      </c>
      <c r="D156" s="11">
        <f t="shared" si="110"/>
        <v>-6.548356859752083E-2</v>
      </c>
      <c r="E156" s="11">
        <v>0.10940189355676817</v>
      </c>
      <c r="F156" s="11">
        <f t="shared" si="111"/>
        <v>4.3918324959247343E-2</v>
      </c>
      <c r="G156" s="200">
        <f>IF(B156&gt;0,(1+(E156/B156))^(1/($C$6-$B$6))-1,0)</f>
        <v>2.2802459553908916E-2</v>
      </c>
      <c r="I156" s="11"/>
      <c r="J156" s="11"/>
      <c r="K156" s="11"/>
      <c r="L156" s="11"/>
      <c r="M156" s="11"/>
      <c r="N156" s="11"/>
      <c r="P156" s="11"/>
      <c r="Q156" s="11"/>
      <c r="R156" s="11"/>
      <c r="S156" s="341"/>
      <c r="T156" s="341"/>
      <c r="U156" s="341"/>
    </row>
    <row r="157" spans="1:21" x14ac:dyDescent="0.2">
      <c r="A157" t="str">
        <f t="shared" si="109"/>
        <v>24 Business, media and public service professionals</v>
      </c>
      <c r="B157" s="11">
        <v>1.8735705807770846</v>
      </c>
      <c r="C157" s="11">
        <v>2.2167060448097975</v>
      </c>
      <c r="D157" s="11">
        <f t="shared" si="110"/>
        <v>0.34313546403271289</v>
      </c>
      <c r="E157" s="11">
        <v>0.97564283382000827</v>
      </c>
      <c r="F157" s="11">
        <f t="shared" si="111"/>
        <v>1.3187782978527212</v>
      </c>
      <c r="G157" s="200">
        <f t="shared" ref="G157:G178" si="113">IF(B157&gt;0,(1+(E157/B157))^(1/($C$6-$B$6))-1,0)</f>
        <v>2.8340628987170602E-2</v>
      </c>
      <c r="I157" s="11"/>
      <c r="J157" s="11"/>
      <c r="K157" s="11"/>
      <c r="L157" s="11"/>
      <c r="M157" s="11"/>
      <c r="N157" s="11"/>
      <c r="P157" s="11"/>
      <c r="Q157" s="11"/>
      <c r="R157" s="11"/>
      <c r="S157" s="341"/>
      <c r="T157" s="341"/>
      <c r="U157" s="341"/>
    </row>
    <row r="158" spans="1:21" x14ac:dyDescent="0.2">
      <c r="A158" t="str">
        <f t="shared" si="109"/>
        <v>31 Science, engineering and technology associate professionals</v>
      </c>
      <c r="B158" s="11">
        <v>1.0211445519242559</v>
      </c>
      <c r="C158" s="11">
        <v>0.91723844436893576</v>
      </c>
      <c r="D158" s="11">
        <f t="shared" si="110"/>
        <v>-0.10390610755532015</v>
      </c>
      <c r="E158" s="11">
        <v>0.33707010769853452</v>
      </c>
      <c r="F158" s="11">
        <f t="shared" si="111"/>
        <v>0.23316400014321437</v>
      </c>
      <c r="G158" s="200">
        <f t="shared" si="113"/>
        <v>1.9198429861873478E-2</v>
      </c>
      <c r="I158" s="11"/>
      <c r="J158" s="11"/>
      <c r="K158" s="11"/>
      <c r="L158" s="11"/>
      <c r="M158" s="11"/>
      <c r="N158" s="11"/>
      <c r="P158" s="11"/>
      <c r="Q158" s="11"/>
      <c r="R158" s="11"/>
      <c r="S158" s="341"/>
      <c r="T158" s="341"/>
      <c r="U158" s="341"/>
    </row>
    <row r="159" spans="1:21" x14ac:dyDescent="0.2">
      <c r="A159" t="str">
        <f t="shared" si="109"/>
        <v>32 Health and social care associate professionals</v>
      </c>
      <c r="B159" s="11">
        <v>0.47412825156361654</v>
      </c>
      <c r="C159" s="11">
        <v>0.874351523822812</v>
      </c>
      <c r="D159" s="11">
        <f t="shared" si="110"/>
        <v>0.40022327225919546</v>
      </c>
      <c r="E159" s="11">
        <v>0.43786197962609935</v>
      </c>
      <c r="F159" s="11">
        <f t="shared" si="111"/>
        <v>0.83808525188529481</v>
      </c>
      <c r="G159" s="200">
        <f t="shared" si="113"/>
        <v>4.4574990157874028E-2</v>
      </c>
      <c r="I159" s="11"/>
      <c r="J159" s="11"/>
      <c r="K159" s="11"/>
      <c r="L159" s="11"/>
      <c r="M159" s="11"/>
      <c r="N159" s="11"/>
      <c r="P159" s="11"/>
      <c r="Q159" s="11"/>
      <c r="R159" s="11"/>
      <c r="S159" s="341"/>
      <c r="T159" s="341"/>
      <c r="U159" s="341"/>
    </row>
    <row r="160" spans="1:21" x14ac:dyDescent="0.2">
      <c r="A160" t="str">
        <f t="shared" si="109"/>
        <v>33 Protective service occupations</v>
      </c>
      <c r="B160" s="11">
        <v>0.27335088896490656</v>
      </c>
      <c r="C160" s="11">
        <v>0.23029522017216508</v>
      </c>
      <c r="D160" s="11">
        <f t="shared" si="110"/>
        <v>-4.3055668792741475E-2</v>
      </c>
      <c r="E160" s="11">
        <v>7.6376542536063033E-2</v>
      </c>
      <c r="F160" s="11">
        <f t="shared" si="111"/>
        <v>3.3320873743321558E-2</v>
      </c>
      <c r="G160" s="200">
        <f t="shared" si="113"/>
        <v>1.6562177493270713E-2</v>
      </c>
      <c r="I160" s="11"/>
      <c r="J160" s="11"/>
      <c r="K160" s="11"/>
      <c r="L160" s="11"/>
      <c r="M160" s="11"/>
      <c r="N160" s="11"/>
      <c r="P160" s="11"/>
      <c r="Q160" s="11"/>
      <c r="R160" s="11"/>
      <c r="S160" s="341"/>
      <c r="T160" s="341"/>
      <c r="U160" s="341"/>
    </row>
    <row r="161" spans="1:21" x14ac:dyDescent="0.2">
      <c r="A161" t="str">
        <f t="shared" si="109"/>
        <v>34 Culture, media and sports occupations</v>
      </c>
      <c r="B161" s="11">
        <v>0.40440931898911409</v>
      </c>
      <c r="C161" s="11">
        <v>0.34077051496054356</v>
      </c>
      <c r="D161" s="11">
        <f t="shared" si="110"/>
        <v>-6.3638804028570528E-2</v>
      </c>
      <c r="E161" s="11">
        <v>0.1627138477974191</v>
      </c>
      <c r="F161" s="11">
        <f t="shared" ref="F161:F162" si="114">SUM(D161:E161)</f>
        <v>9.907504376884857E-2</v>
      </c>
      <c r="G161" s="200">
        <f t="shared" si="113"/>
        <v>2.2799284593767677E-2</v>
      </c>
      <c r="I161" s="11"/>
      <c r="J161" s="11"/>
      <c r="K161" s="11"/>
      <c r="L161" s="11"/>
      <c r="M161" s="11"/>
      <c r="N161" s="11"/>
      <c r="P161" s="11"/>
      <c r="Q161" s="11"/>
      <c r="R161" s="11"/>
      <c r="S161" s="341"/>
      <c r="T161" s="341"/>
      <c r="U161" s="341"/>
    </row>
    <row r="162" spans="1:21" x14ac:dyDescent="0.2">
      <c r="A162" t="str">
        <f t="shared" si="109"/>
        <v>35 Business and public service associate professionals</v>
      </c>
      <c r="B162" s="11">
        <v>1.9604676642650976</v>
      </c>
      <c r="C162" s="11">
        <v>2.3716557570603629</v>
      </c>
      <c r="D162" s="11">
        <f t="shared" si="110"/>
        <v>0.41118809279526536</v>
      </c>
      <c r="E162" s="11">
        <v>0.99740929170118142</v>
      </c>
      <c r="F162" s="11">
        <f t="shared" si="114"/>
        <v>1.4085973844964468</v>
      </c>
      <c r="G162" s="200">
        <f t="shared" si="113"/>
        <v>2.7798614783433706E-2</v>
      </c>
      <c r="I162" s="11"/>
      <c r="J162" s="11"/>
      <c r="K162" s="11"/>
      <c r="L162" s="11"/>
      <c r="M162" s="11"/>
      <c r="N162" s="11"/>
      <c r="P162" s="11"/>
      <c r="Q162" s="11"/>
      <c r="R162" s="11"/>
      <c r="S162" s="341"/>
      <c r="T162" s="341"/>
      <c r="U162" s="341"/>
    </row>
    <row r="163" spans="1:21" x14ac:dyDescent="0.2">
      <c r="A163" t="str">
        <f t="shared" si="109"/>
        <v>41 Administrative occupations</v>
      </c>
      <c r="B163" s="11">
        <v>2.804387916677376</v>
      </c>
      <c r="C163" s="11">
        <v>3.7146695558762204</v>
      </c>
      <c r="D163" s="11">
        <f t="shared" si="110"/>
        <v>0.91028163919884442</v>
      </c>
      <c r="E163" s="11">
        <v>1.8675098267802417</v>
      </c>
      <c r="F163" s="11">
        <f t="shared" ref="F163:F166" si="115">SUM(D163:E163)</f>
        <v>2.7777914659790861</v>
      </c>
      <c r="G163" s="200">
        <f t="shared" si="113"/>
        <v>3.4610820298943246E-2</v>
      </c>
      <c r="I163" s="11"/>
      <c r="J163" s="11"/>
      <c r="K163" s="11"/>
      <c r="L163" s="11"/>
      <c r="M163" s="11"/>
      <c r="N163" s="11"/>
      <c r="P163" s="11"/>
      <c r="Q163" s="11"/>
      <c r="R163" s="11"/>
      <c r="S163" s="341"/>
      <c r="T163" s="341"/>
      <c r="U163" s="341"/>
    </row>
    <row r="164" spans="1:21" x14ac:dyDescent="0.2">
      <c r="A164" t="str">
        <f t="shared" si="109"/>
        <v>42 Secretarial and related occupations</v>
      </c>
      <c r="B164" s="11">
        <v>0.4707866002186808</v>
      </c>
      <c r="C164" s="11">
        <v>0.48326938798591573</v>
      </c>
      <c r="D164" s="11">
        <f t="shared" si="110"/>
        <v>1.2482787767234937E-2</v>
      </c>
      <c r="E164" s="11">
        <v>0.29962624740256888</v>
      </c>
      <c r="F164" s="11">
        <f t="shared" si="115"/>
        <v>0.31210903516980382</v>
      </c>
      <c r="G164" s="200">
        <f t="shared" si="113"/>
        <v>3.3379784867320517E-2</v>
      </c>
      <c r="I164" s="11"/>
      <c r="J164" s="11"/>
      <c r="K164" s="11"/>
      <c r="L164" s="11"/>
      <c r="M164" s="11"/>
      <c r="N164" s="11"/>
      <c r="P164" s="11"/>
      <c r="Q164" s="11"/>
      <c r="R164" s="11"/>
      <c r="S164" s="341"/>
      <c r="T164" s="341"/>
      <c r="U164" s="341"/>
    </row>
    <row r="165" spans="1:21" x14ac:dyDescent="0.2">
      <c r="A165" t="str">
        <f t="shared" si="109"/>
        <v>51 Skilled agricultural and related trades</v>
      </c>
      <c r="B165" s="11">
        <v>0.82668019693700112</v>
      </c>
      <c r="C165" s="11">
        <v>1.0527183234196997</v>
      </c>
      <c r="D165" s="11">
        <f t="shared" si="110"/>
        <v>0.22603812648269861</v>
      </c>
      <c r="E165" s="11">
        <v>0.5570747806262174</v>
      </c>
      <c r="F165" s="11">
        <f t="shared" si="115"/>
        <v>0.78311290710891601</v>
      </c>
      <c r="G165" s="200">
        <f t="shared" si="113"/>
        <v>3.4939058426854519E-2</v>
      </c>
      <c r="I165" s="11"/>
      <c r="J165" s="11"/>
      <c r="K165" s="11"/>
      <c r="L165" s="11"/>
      <c r="M165" s="11"/>
      <c r="N165" s="11"/>
      <c r="P165" s="11"/>
      <c r="Q165" s="11"/>
      <c r="R165" s="11"/>
      <c r="S165" s="341"/>
      <c r="T165" s="341"/>
      <c r="U165" s="341"/>
    </row>
    <row r="166" spans="1:21" x14ac:dyDescent="0.2">
      <c r="A166" t="str">
        <f t="shared" si="109"/>
        <v>52 Skilled metal, electrical and electronic trades</v>
      </c>
      <c r="B166" s="11">
        <v>1.3796711498587209</v>
      </c>
      <c r="C166" s="11">
        <v>1.5745540271952683</v>
      </c>
      <c r="D166" s="11">
        <f t="shared" si="110"/>
        <v>0.19488287733654741</v>
      </c>
      <c r="E166" s="11">
        <v>0.62492540295297272</v>
      </c>
      <c r="F166" s="11">
        <f t="shared" si="115"/>
        <v>0.81980828028952013</v>
      </c>
      <c r="G166" s="200">
        <f t="shared" si="113"/>
        <v>2.5219268048452204E-2</v>
      </c>
      <c r="I166" s="11"/>
      <c r="J166" s="11"/>
      <c r="K166" s="11"/>
      <c r="L166" s="11"/>
      <c r="M166" s="11"/>
      <c r="N166" s="11"/>
      <c r="P166" s="11"/>
      <c r="Q166" s="11"/>
      <c r="R166" s="11"/>
      <c r="S166" s="341"/>
      <c r="T166" s="341"/>
      <c r="U166" s="341"/>
    </row>
    <row r="167" spans="1:21" x14ac:dyDescent="0.2">
      <c r="A167" t="str">
        <f t="shared" si="109"/>
        <v>53 Skilled construction and building trades</v>
      </c>
      <c r="B167" s="11">
        <v>0.39787387065722157</v>
      </c>
      <c r="C167" s="11">
        <v>0.4972981607246989</v>
      </c>
      <c r="D167" s="11">
        <f t="shared" si="110"/>
        <v>9.9424290067477328E-2</v>
      </c>
      <c r="E167" s="11">
        <v>0.23117536758002852</v>
      </c>
      <c r="F167" s="11">
        <f t="shared" ref="F167" si="116">SUM(D167:E167)</f>
        <v>0.33059965764750587</v>
      </c>
      <c r="G167" s="200">
        <f t="shared" si="113"/>
        <v>3.1009376034898395E-2</v>
      </c>
      <c r="I167" s="11"/>
      <c r="J167" s="11"/>
      <c r="K167" s="11"/>
      <c r="L167" s="11"/>
      <c r="M167" s="11"/>
      <c r="N167" s="11"/>
      <c r="P167" s="11"/>
      <c r="Q167" s="11"/>
      <c r="R167" s="11"/>
      <c r="S167" s="341"/>
      <c r="T167" s="341"/>
      <c r="U167" s="341"/>
    </row>
    <row r="168" spans="1:21" x14ac:dyDescent="0.2">
      <c r="A168" t="str">
        <f t="shared" si="109"/>
        <v>54 Textiles, printing and other skilled trades</v>
      </c>
      <c r="B168" s="11">
        <v>0.32201856620635472</v>
      </c>
      <c r="C168" s="11">
        <v>0.46953804147861999</v>
      </c>
      <c r="D168" s="11">
        <f t="shared" si="110"/>
        <v>0.14751947527226528</v>
      </c>
      <c r="E168" s="11">
        <v>0.21477192524200439</v>
      </c>
      <c r="F168" s="11">
        <f t="shared" ref="F168" si="117">SUM(D168:E168)</f>
        <v>0.36229140051426967</v>
      </c>
      <c r="G168" s="200">
        <f t="shared" si="113"/>
        <v>3.4653489539568705E-2</v>
      </c>
      <c r="I168" s="11"/>
      <c r="J168" s="11"/>
      <c r="K168" s="11"/>
      <c r="L168" s="11"/>
      <c r="M168" s="11"/>
      <c r="N168" s="11"/>
      <c r="P168" s="11"/>
      <c r="Q168" s="11"/>
      <c r="R168" s="11"/>
      <c r="S168" s="341"/>
      <c r="T168" s="341"/>
      <c r="U168" s="341"/>
    </row>
    <row r="169" spans="1:21" x14ac:dyDescent="0.2">
      <c r="A169" t="str">
        <f t="shared" si="109"/>
        <v>61 Caring personal service occupations</v>
      </c>
      <c r="B169" s="11">
        <v>2.3812856909302922</v>
      </c>
      <c r="C169" s="11">
        <v>2.9582466693610492</v>
      </c>
      <c r="D169" s="11">
        <f>C169-B169</f>
        <v>0.576960978430757</v>
      </c>
      <c r="E169" s="11">
        <v>1.5784763447865107</v>
      </c>
      <c r="F169" s="11">
        <f>SUM(D169:E169)</f>
        <v>2.1554373232172677</v>
      </c>
      <c r="G169" s="200">
        <f t="shared" si="113"/>
        <v>3.4484145396593835E-2</v>
      </c>
      <c r="I169" s="11"/>
      <c r="J169" s="11"/>
      <c r="K169" s="11"/>
      <c r="L169" s="11"/>
      <c r="M169" s="11"/>
      <c r="N169" s="11"/>
      <c r="P169" s="11"/>
      <c r="Q169" s="11"/>
      <c r="R169" s="11"/>
      <c r="S169" s="341"/>
      <c r="T169" s="341"/>
      <c r="U169" s="341"/>
    </row>
    <row r="170" spans="1:21" x14ac:dyDescent="0.2">
      <c r="A170" t="str">
        <f t="shared" si="109"/>
        <v>62 Leisure, travel and related personal service occupations</v>
      </c>
      <c r="B170" s="11">
        <v>1.064033943304717</v>
      </c>
      <c r="C170" s="11">
        <v>1.7241903604050091</v>
      </c>
      <c r="D170" s="11">
        <f t="shared" ref="D170:D176" si="118">C170-B170</f>
        <v>0.66015641710029205</v>
      </c>
      <c r="E170" s="11">
        <v>0.82664898637427187</v>
      </c>
      <c r="F170" s="11">
        <f t="shared" ref="F170:F171" si="119">SUM(D170:E170)</f>
        <v>1.4868054034745639</v>
      </c>
      <c r="G170" s="200">
        <f t="shared" si="113"/>
        <v>3.9068585163645198E-2</v>
      </c>
      <c r="I170" s="11"/>
      <c r="J170" s="11"/>
      <c r="K170" s="11"/>
      <c r="L170" s="11"/>
      <c r="M170" s="11"/>
      <c r="N170" s="11"/>
      <c r="P170" s="11"/>
      <c r="Q170" s="11"/>
      <c r="R170" s="11"/>
      <c r="S170" s="341"/>
      <c r="T170" s="341"/>
      <c r="U170" s="341"/>
    </row>
    <row r="171" spans="1:21" x14ac:dyDescent="0.2">
      <c r="A171" t="str">
        <f t="shared" si="109"/>
        <v>63 Community and civil enforcement occupations</v>
      </c>
      <c r="B171" s="11">
        <v>2.2476763454542713E-2</v>
      </c>
      <c r="C171" s="11">
        <v>1.9432646692547306E-2</v>
      </c>
      <c r="D171" s="11">
        <f t="shared" si="118"/>
        <v>-3.0441167619954072E-3</v>
      </c>
      <c r="E171" s="11">
        <v>1.0241695206466736E-2</v>
      </c>
      <c r="F171" s="11">
        <f t="shared" si="119"/>
        <v>7.1975784444713291E-3</v>
      </c>
      <c r="G171" s="200">
        <f t="shared" si="113"/>
        <v>2.5346383779771609E-2</v>
      </c>
      <c r="I171" s="11"/>
      <c r="J171" s="11"/>
      <c r="K171" s="11"/>
      <c r="L171" s="11"/>
      <c r="M171" s="11"/>
      <c r="N171" s="11"/>
      <c r="P171" s="11"/>
      <c r="Q171" s="11"/>
      <c r="R171" s="11"/>
      <c r="S171" s="341"/>
      <c r="T171" s="341"/>
      <c r="U171" s="341"/>
    </row>
    <row r="172" spans="1:21" x14ac:dyDescent="0.2">
      <c r="A172" t="str">
        <f t="shared" si="109"/>
        <v>71 Sales occupations</v>
      </c>
      <c r="B172" s="11">
        <v>1.2419516963398636</v>
      </c>
      <c r="C172" s="11">
        <v>1.6314296988754229</v>
      </c>
      <c r="D172" s="11">
        <f t="shared" si="118"/>
        <v>0.38947800253555931</v>
      </c>
      <c r="E172" s="11">
        <v>0.65697289051193575</v>
      </c>
      <c r="F172" s="11">
        <f t="shared" ref="F172:F173" si="120">SUM(D172:E172)</f>
        <v>1.0464508930474952</v>
      </c>
      <c r="G172" s="200">
        <f t="shared" si="113"/>
        <v>2.8711356277557387E-2</v>
      </c>
      <c r="I172" s="11"/>
      <c r="J172" s="11"/>
      <c r="K172" s="11"/>
      <c r="L172" s="11"/>
      <c r="M172" s="11"/>
      <c r="N172" s="11"/>
      <c r="P172" s="11"/>
      <c r="Q172" s="11"/>
      <c r="R172" s="11"/>
      <c r="S172" s="341"/>
      <c r="T172" s="341"/>
      <c r="U172" s="341"/>
    </row>
    <row r="173" spans="1:21" x14ac:dyDescent="0.2">
      <c r="A173" t="str">
        <f t="shared" si="109"/>
        <v>72 Customer service occupations</v>
      </c>
      <c r="B173" s="11">
        <v>0.53387418623020244</v>
      </c>
      <c r="C173" s="11">
        <v>0.77561625105660259</v>
      </c>
      <c r="D173" s="11">
        <f t="shared" si="118"/>
        <v>0.24174206482640015</v>
      </c>
      <c r="E173" s="11">
        <v>0.32495521988760978</v>
      </c>
      <c r="F173" s="11">
        <f t="shared" si="120"/>
        <v>0.56669728471400993</v>
      </c>
      <c r="G173" s="200">
        <f t="shared" si="113"/>
        <v>3.2201610266230585E-2</v>
      </c>
      <c r="I173" s="11"/>
      <c r="J173" s="11"/>
      <c r="K173" s="11"/>
      <c r="L173" s="11"/>
      <c r="M173" s="11"/>
      <c r="N173" s="11"/>
      <c r="P173" s="11"/>
      <c r="Q173" s="11"/>
      <c r="R173" s="11"/>
      <c r="S173" s="341"/>
      <c r="T173" s="341"/>
      <c r="U173" s="341"/>
    </row>
    <row r="174" spans="1:21" x14ac:dyDescent="0.2">
      <c r="A174" t="str">
        <f t="shared" si="109"/>
        <v>81 Process, plant and machine operatives</v>
      </c>
      <c r="B174" s="11">
        <v>0.74573242294100228</v>
      </c>
      <c r="C174" s="11">
        <v>1.1991225734251267</v>
      </c>
      <c r="D174" s="11">
        <f t="shared" si="118"/>
        <v>0.45339015048412445</v>
      </c>
      <c r="E174" s="11">
        <v>0.48645284329331134</v>
      </c>
      <c r="F174" s="11">
        <f t="shared" ref="F174:F175" si="121">SUM(D174:E174)</f>
        <v>0.93984299377743574</v>
      </c>
      <c r="G174" s="200">
        <f t="shared" si="113"/>
        <v>3.4045222389776919E-2</v>
      </c>
      <c r="I174" s="11"/>
      <c r="J174" s="11"/>
      <c r="K174" s="11"/>
      <c r="L174" s="11"/>
      <c r="M174" s="11"/>
      <c r="N174" s="11"/>
      <c r="P174" s="11"/>
      <c r="Q174" s="11"/>
      <c r="R174" s="11"/>
      <c r="S174" s="341"/>
      <c r="T174" s="341"/>
      <c r="U174" s="341"/>
    </row>
    <row r="175" spans="1:21" x14ac:dyDescent="0.2">
      <c r="A175" t="str">
        <f t="shared" si="109"/>
        <v>82 Transport and mobile machine drivers and operatives</v>
      </c>
      <c r="B175" s="11">
        <v>0.74101457064578258</v>
      </c>
      <c r="C175" s="11">
        <v>1.0198439377588828</v>
      </c>
      <c r="D175" s="11">
        <f t="shared" si="118"/>
        <v>0.27882936711310025</v>
      </c>
      <c r="E175" s="11">
        <v>0.57054570631394053</v>
      </c>
      <c r="F175" s="11">
        <f t="shared" si="121"/>
        <v>0.84937507342704077</v>
      </c>
      <c r="G175" s="200">
        <f t="shared" si="113"/>
        <v>3.8797192326956331E-2</v>
      </c>
      <c r="I175" s="11"/>
      <c r="J175" s="11"/>
      <c r="K175" s="11"/>
      <c r="L175" s="11"/>
      <c r="M175" s="11"/>
      <c r="N175" s="11"/>
      <c r="P175" s="11"/>
      <c r="Q175" s="11"/>
      <c r="R175" s="11"/>
      <c r="S175" s="341"/>
      <c r="T175" s="341"/>
      <c r="U175" s="341"/>
    </row>
    <row r="176" spans="1:21" x14ac:dyDescent="0.2">
      <c r="A176" t="str">
        <f t="shared" si="109"/>
        <v>91 Elementary trades and related occupations</v>
      </c>
      <c r="B176" s="11">
        <v>0.43113704046772777</v>
      </c>
      <c r="C176" s="11">
        <v>1.281259971662924</v>
      </c>
      <c r="D176" s="11">
        <f t="shared" si="118"/>
        <v>0.85012293119519633</v>
      </c>
      <c r="E176" s="11">
        <v>0.6111451849987577</v>
      </c>
      <c r="F176" s="11">
        <f t="shared" ref="F176" si="122">SUM(D176:E176)</f>
        <v>1.461268116193954</v>
      </c>
      <c r="G176" s="200">
        <f t="shared" si="113"/>
        <v>6.0615573308249182E-2</v>
      </c>
      <c r="I176" s="11"/>
      <c r="J176" s="11"/>
      <c r="K176" s="11"/>
      <c r="L176" s="11"/>
      <c r="M176" s="11"/>
      <c r="N176" s="11"/>
      <c r="P176" s="11"/>
      <c r="Q176" s="11"/>
      <c r="R176" s="11"/>
      <c r="S176" s="341"/>
      <c r="T176" s="341"/>
      <c r="U176" s="341"/>
    </row>
    <row r="177" spans="1:21" x14ac:dyDescent="0.2">
      <c r="A177" t="str">
        <f t="shared" si="109"/>
        <v>92 Elementary administration and service occupations</v>
      </c>
      <c r="B177" s="11">
        <v>1.5285007198061538</v>
      </c>
      <c r="C177" s="11">
        <v>1.9119210579851662</v>
      </c>
      <c r="D177" s="11">
        <f t="shared" ref="D177" si="123">C177-B177</f>
        <v>0.38342033817901244</v>
      </c>
      <c r="E177" s="11">
        <v>0.94852018804250626</v>
      </c>
      <c r="F177" s="11">
        <f t="shared" ref="F177" si="124">SUM(D177:E177)</f>
        <v>1.3319405262215187</v>
      </c>
      <c r="G177" s="200">
        <f t="shared" si="113"/>
        <v>3.2708143392514044E-2</v>
      </c>
      <c r="I177" s="11"/>
      <c r="J177" s="11"/>
      <c r="K177" s="11"/>
      <c r="L177" s="11"/>
      <c r="M177" s="11"/>
      <c r="N177" s="11"/>
      <c r="P177" s="11"/>
      <c r="Q177" s="11"/>
      <c r="R177" s="11"/>
      <c r="S177" s="341"/>
      <c r="T177" s="341"/>
      <c r="U177" s="341"/>
    </row>
    <row r="178" spans="1:21" x14ac:dyDescent="0.2">
      <c r="A178" t="str">
        <f t="shared" si="109"/>
        <v>All occupations</v>
      </c>
      <c r="B178" s="11">
        <f>SUM(B152:B177)</f>
        <v>28.776671926965921</v>
      </c>
      <c r="C178" s="11">
        <f t="shared" ref="C178:F178" si="125">SUM(C152:C177)</f>
        <v>36.225630706947008</v>
      </c>
      <c r="D178" s="11">
        <f t="shared" si="125"/>
        <v>7.4489587799810799</v>
      </c>
      <c r="E178" s="11">
        <f t="shared" si="125"/>
        <v>16.661928817161233</v>
      </c>
      <c r="F178" s="11">
        <f t="shared" si="125"/>
        <v>24.110887597142309</v>
      </c>
      <c r="G178" s="200">
        <f t="shared" si="113"/>
        <v>3.0921567840928699E-2</v>
      </c>
      <c r="I178" s="11"/>
      <c r="J178" s="11"/>
      <c r="K178" s="11"/>
      <c r="L178" s="11"/>
      <c r="M178" s="11"/>
      <c r="N178" s="11"/>
      <c r="P178" s="11"/>
      <c r="Q178" s="11"/>
      <c r="R178" s="11"/>
      <c r="S178" s="341"/>
      <c r="T178" s="341"/>
      <c r="U178" s="341"/>
    </row>
    <row r="179" spans="1:21" x14ac:dyDescent="0.2">
      <c r="I179" s="11"/>
      <c r="J179" s="11"/>
      <c r="K179" s="11"/>
      <c r="L179" s="11"/>
      <c r="M179" s="11"/>
      <c r="N179" s="11"/>
      <c r="P179" s="11"/>
      <c r="Q179" s="11"/>
      <c r="R179" s="11"/>
      <c r="S179" s="341"/>
      <c r="T179" s="341"/>
      <c r="U179" s="341"/>
    </row>
    <row r="180" spans="1:21" ht="38.25" x14ac:dyDescent="0.2">
      <c r="A180" s="201" t="str">
        <f>CONCATENATE(name!F9," (Constrained)")</f>
        <v>RQF3 A level &amp; equivalent (Constrained)</v>
      </c>
      <c r="B180" s="88">
        <f t="shared" ref="B180:G180" si="126">B93</f>
        <v>2020</v>
      </c>
      <c r="C180" s="88">
        <f t="shared" si="126"/>
        <v>2035</v>
      </c>
      <c r="D180" s="88" t="str">
        <f t="shared" si="126"/>
        <v>Net Change</v>
      </c>
      <c r="E180" s="88" t="str">
        <f t="shared" si="126"/>
        <v>Replacement Demand level</v>
      </c>
      <c r="F180" s="88" t="str">
        <f t="shared" si="126"/>
        <v>Total Requirement</v>
      </c>
      <c r="G180" s="88" t="str">
        <f t="shared" si="126"/>
        <v>Replacement Demand rate</v>
      </c>
      <c r="I180" s="11"/>
      <c r="J180" s="11"/>
      <c r="K180" s="11"/>
      <c r="L180" s="11"/>
      <c r="M180" s="11"/>
      <c r="N180" s="11"/>
      <c r="P180" s="11"/>
      <c r="Q180" s="11"/>
      <c r="R180" s="11"/>
      <c r="S180" s="341"/>
      <c r="T180" s="341"/>
      <c r="U180" s="341"/>
    </row>
    <row r="181" spans="1:21" x14ac:dyDescent="0.2">
      <c r="A181" t="str">
        <f t="shared" ref="A181:A207" si="127">A94</f>
        <v>11 Corporate managers and directors</v>
      </c>
      <c r="B181" s="11">
        <v>7.8233317853395645</v>
      </c>
      <c r="C181" s="11">
        <v>7.4708481667728854</v>
      </c>
      <c r="D181" s="11">
        <f>C181-B181</f>
        <v>-0.35248361856667909</v>
      </c>
      <c r="E181" s="11">
        <v>3.2036124224258598</v>
      </c>
      <c r="F181" s="11">
        <f>SUM(D181:E181)</f>
        <v>2.8511288038591807</v>
      </c>
      <c r="G181" s="200">
        <f>IF(B181&gt;0,(1+(E181/B181))^(1/($C$6-$B$6))-1,0)</f>
        <v>2.3145884969568931E-2</v>
      </c>
      <c r="I181" s="11"/>
      <c r="J181" s="11"/>
      <c r="K181" s="11"/>
      <c r="L181" s="11"/>
      <c r="M181" s="11"/>
      <c r="N181" s="11"/>
      <c r="P181" s="82"/>
      <c r="Q181" s="73"/>
    </row>
    <row r="182" spans="1:21" x14ac:dyDescent="0.2">
      <c r="A182" t="str">
        <f t="shared" si="127"/>
        <v>12 Other managers and proprietors</v>
      </c>
      <c r="B182" s="11">
        <v>3.5490332657397783</v>
      </c>
      <c r="C182" s="11">
        <v>3.9921191232210194</v>
      </c>
      <c r="D182" s="11">
        <f t="shared" ref="D182:D197" si="128">C182-B182</f>
        <v>0.44308585748124107</v>
      </c>
      <c r="E182" s="11">
        <v>1.657594684856327</v>
      </c>
      <c r="F182" s="11">
        <f t="shared" ref="F182:F189" si="129">SUM(D182:E182)</f>
        <v>2.1006805423375683</v>
      </c>
      <c r="G182" s="200">
        <f t="shared" ref="G182:G184" si="130">IF(B182&gt;0,(1+(E182/B182))^(1/($C$6-$B$6))-1,0)</f>
        <v>2.5879689520813765E-2</v>
      </c>
      <c r="I182" s="11"/>
      <c r="J182" s="11"/>
      <c r="K182" s="11"/>
      <c r="L182" s="11"/>
      <c r="M182" s="11"/>
      <c r="N182" s="11"/>
    </row>
    <row r="183" spans="1:21" x14ac:dyDescent="0.2">
      <c r="A183" t="str">
        <f t="shared" si="127"/>
        <v>21 Science, research, engineering and technology professionals</v>
      </c>
      <c r="B183" s="11">
        <v>5.2066510036602676</v>
      </c>
      <c r="C183" s="11">
        <v>7.1806299268421654</v>
      </c>
      <c r="D183" s="11">
        <f t="shared" si="128"/>
        <v>1.9739789231818978</v>
      </c>
      <c r="E183" s="11">
        <v>2.0586316103084212</v>
      </c>
      <c r="F183" s="11">
        <f t="shared" si="129"/>
        <v>4.0326105334903186</v>
      </c>
      <c r="G183" s="200">
        <f t="shared" si="130"/>
        <v>2.245986531210642E-2</v>
      </c>
      <c r="I183" s="11"/>
      <c r="J183" s="11"/>
      <c r="K183" s="11"/>
      <c r="L183" s="11"/>
      <c r="M183" s="11"/>
      <c r="N183" s="11"/>
    </row>
    <row r="184" spans="1:21" x14ac:dyDescent="0.2">
      <c r="A184" t="str">
        <f t="shared" si="127"/>
        <v>22 Health professionals</v>
      </c>
      <c r="B184" s="11">
        <v>2.363968544148388</v>
      </c>
      <c r="C184" s="11">
        <v>2.4284459488250336</v>
      </c>
      <c r="D184" s="11">
        <f t="shared" si="128"/>
        <v>6.4477404676645644E-2</v>
      </c>
      <c r="E184" s="11">
        <v>1.2664711178166477</v>
      </c>
      <c r="F184" s="11">
        <f t="shared" si="129"/>
        <v>1.3309485224932933</v>
      </c>
      <c r="G184" s="200">
        <f t="shared" si="130"/>
        <v>2.901372790544543E-2</v>
      </c>
      <c r="I184" s="11"/>
      <c r="J184" s="11"/>
      <c r="K184" s="11"/>
      <c r="L184" s="11"/>
      <c r="M184" s="11"/>
      <c r="N184" s="11"/>
    </row>
    <row r="185" spans="1:21" x14ac:dyDescent="0.2">
      <c r="A185" t="str">
        <f t="shared" si="127"/>
        <v>23 Teaching and other educational professionals</v>
      </c>
      <c r="B185" s="11">
        <v>1.0951048960004408</v>
      </c>
      <c r="C185" s="11">
        <v>1.1305720533346759</v>
      </c>
      <c r="D185" s="11">
        <f t="shared" si="128"/>
        <v>3.5467157334235111E-2</v>
      </c>
      <c r="E185" s="11">
        <v>0.45094211469191525</v>
      </c>
      <c r="F185" s="11">
        <f t="shared" si="129"/>
        <v>0.48640927202615036</v>
      </c>
      <c r="G185" s="200">
        <f>IF(B185&gt;0,(1+(E185/B185))^(1/($C$6-$B$6))-1,0)</f>
        <v>2.3256389034941982E-2</v>
      </c>
      <c r="I185" s="11"/>
      <c r="J185" s="11"/>
      <c r="K185" s="11"/>
      <c r="L185" s="11"/>
      <c r="M185" s="11"/>
      <c r="N185" s="11"/>
    </row>
    <row r="186" spans="1:21" x14ac:dyDescent="0.2">
      <c r="A186" t="str">
        <f t="shared" si="127"/>
        <v>24 Business, media and public service professionals</v>
      </c>
      <c r="B186" s="11">
        <v>4.7946935912585396</v>
      </c>
      <c r="C186" s="11">
        <v>5.4949692782942625</v>
      </c>
      <c r="D186" s="11">
        <f t="shared" si="128"/>
        <v>0.70027568703572296</v>
      </c>
      <c r="E186" s="11">
        <v>2.1521838175753158</v>
      </c>
      <c r="F186" s="11">
        <f t="shared" si="129"/>
        <v>2.8524595046110388</v>
      </c>
      <c r="G186" s="200">
        <f t="shared" ref="G186:G205" si="131">IF(B186&gt;0,(1+(E186/B186))^(1/($C$6-$B$6))-1,0)</f>
        <v>2.5026873904151925E-2</v>
      </c>
      <c r="I186" s="11"/>
      <c r="J186" s="11"/>
      <c r="K186" s="11"/>
      <c r="L186" s="11"/>
      <c r="M186" s="11"/>
      <c r="N186" s="11"/>
    </row>
    <row r="187" spans="1:21" x14ac:dyDescent="0.2">
      <c r="A187" t="str">
        <f t="shared" si="127"/>
        <v>31 Science, engineering and technology associate professionals</v>
      </c>
      <c r="B187" s="11">
        <v>2.4576144055774156</v>
      </c>
      <c r="C187" s="11">
        <v>2.1314395075029076</v>
      </c>
      <c r="D187" s="11">
        <f t="shared" si="128"/>
        <v>-0.32617489807450806</v>
      </c>
      <c r="E187" s="11">
        <v>0.78296308920324398</v>
      </c>
      <c r="F187" s="11">
        <f t="shared" si="129"/>
        <v>0.45678819112873592</v>
      </c>
      <c r="G187" s="200">
        <f t="shared" si="131"/>
        <v>1.8608379406620079E-2</v>
      </c>
      <c r="I187" s="11"/>
      <c r="J187" s="11"/>
      <c r="K187" s="11"/>
      <c r="L187" s="11"/>
      <c r="M187" s="11"/>
      <c r="N187" s="11"/>
    </row>
    <row r="188" spans="1:21" x14ac:dyDescent="0.2">
      <c r="A188" t="str">
        <f t="shared" si="127"/>
        <v>32 Health and social care associate professionals</v>
      </c>
      <c r="B188" s="11">
        <v>2.0645290306702528</v>
      </c>
      <c r="C188" s="11">
        <v>3.9495732116287194</v>
      </c>
      <c r="D188" s="11">
        <f t="shared" si="128"/>
        <v>1.8850441809584666</v>
      </c>
      <c r="E188" s="11">
        <v>1.9467304922175188</v>
      </c>
      <c r="F188" s="11">
        <f t="shared" si="129"/>
        <v>3.8317746731759854</v>
      </c>
      <c r="G188" s="200">
        <f t="shared" si="131"/>
        <v>4.5275211077625777E-2</v>
      </c>
      <c r="I188" s="11"/>
      <c r="J188" s="11"/>
      <c r="K188" s="11"/>
      <c r="L188" s="11"/>
      <c r="M188" s="11"/>
      <c r="N188" s="11"/>
    </row>
    <row r="189" spans="1:21" x14ac:dyDescent="0.2">
      <c r="A189" t="str">
        <f t="shared" si="127"/>
        <v>33 Protective service occupations</v>
      </c>
      <c r="B189" s="11">
        <v>1.3291785008613848</v>
      </c>
      <c r="C189" s="11">
        <v>1.2004895547750127</v>
      </c>
      <c r="D189" s="11">
        <f t="shared" si="128"/>
        <v>-0.12868894608637205</v>
      </c>
      <c r="E189" s="11">
        <v>0.31248581660856645</v>
      </c>
      <c r="F189" s="11">
        <f t="shared" si="129"/>
        <v>0.1837968705221944</v>
      </c>
      <c r="G189" s="200">
        <f t="shared" si="131"/>
        <v>1.417617377513869E-2</v>
      </c>
      <c r="I189" s="11"/>
      <c r="J189" s="11"/>
      <c r="K189" s="11"/>
      <c r="L189" s="11"/>
      <c r="M189" s="11"/>
      <c r="N189" s="11"/>
    </row>
    <row r="190" spans="1:21" x14ac:dyDescent="0.2">
      <c r="A190" t="str">
        <f t="shared" si="127"/>
        <v>34 Culture, media and sports occupations</v>
      </c>
      <c r="B190" s="11">
        <v>1.1298375496592095</v>
      </c>
      <c r="C190" s="11">
        <v>0.90987612639566251</v>
      </c>
      <c r="D190" s="11">
        <f t="shared" si="128"/>
        <v>-0.21996142326354695</v>
      </c>
      <c r="E190" s="11">
        <v>0.34977431739728765</v>
      </c>
      <c r="F190" s="11">
        <f t="shared" ref="F190:F191" si="132">SUM(D190:E190)</f>
        <v>0.1298128941337407</v>
      </c>
      <c r="G190" s="200">
        <f t="shared" si="131"/>
        <v>1.8143016543365365E-2</v>
      </c>
      <c r="I190" s="11"/>
      <c r="J190" s="11"/>
      <c r="K190" s="11"/>
      <c r="L190" s="11"/>
      <c r="M190" s="11"/>
      <c r="N190" s="11"/>
    </row>
    <row r="191" spans="1:21" x14ac:dyDescent="0.2">
      <c r="A191" t="str">
        <f t="shared" si="127"/>
        <v>35 Business and public service associate professionals</v>
      </c>
      <c r="B191" s="11">
        <v>6.1681199091314411</v>
      </c>
      <c r="C191" s="11">
        <v>5.9354171969611338</v>
      </c>
      <c r="D191" s="11">
        <f t="shared" si="128"/>
        <v>-0.23270271217030736</v>
      </c>
      <c r="E191" s="11">
        <v>2.5045234799228022</v>
      </c>
      <c r="F191" s="11">
        <f t="shared" si="132"/>
        <v>2.2718207677524949</v>
      </c>
      <c r="G191" s="200">
        <f t="shared" si="131"/>
        <v>2.2978670832789261E-2</v>
      </c>
      <c r="I191" s="11"/>
      <c r="J191" s="11"/>
      <c r="K191" s="11"/>
      <c r="L191" s="11"/>
      <c r="M191" s="11"/>
      <c r="N191" s="11"/>
    </row>
    <row r="192" spans="1:21" x14ac:dyDescent="0.2">
      <c r="A192" t="str">
        <f t="shared" si="127"/>
        <v>41 Administrative occupations</v>
      </c>
      <c r="B192" s="11">
        <v>9.5716277630280242</v>
      </c>
      <c r="C192" s="11">
        <v>8.9155999669563855</v>
      </c>
      <c r="D192" s="11">
        <f t="shared" si="128"/>
        <v>-0.65602779607163875</v>
      </c>
      <c r="E192" s="11">
        <v>4.4313653918744338</v>
      </c>
      <c r="F192" s="11">
        <f t="shared" ref="F192:F195" si="133">SUM(D192:E192)</f>
        <v>3.775337595802795</v>
      </c>
      <c r="G192" s="200">
        <f t="shared" si="131"/>
        <v>2.5688938048754828E-2</v>
      </c>
      <c r="I192" s="11"/>
      <c r="J192" s="11"/>
      <c r="K192" s="11"/>
      <c r="L192" s="11"/>
      <c r="M192" s="11"/>
      <c r="N192" s="11"/>
    </row>
    <row r="193" spans="1:14" x14ac:dyDescent="0.2">
      <c r="A193" t="str">
        <f t="shared" si="127"/>
        <v>42 Secretarial and related occupations</v>
      </c>
      <c r="B193" s="11">
        <v>1.8430326497894307</v>
      </c>
      <c r="C193" s="11">
        <v>0.68890535945603237</v>
      </c>
      <c r="D193" s="11">
        <f t="shared" si="128"/>
        <v>-1.1541272903333983</v>
      </c>
      <c r="E193" s="11">
        <v>0.64340078230648656</v>
      </c>
      <c r="F193" s="11">
        <f t="shared" si="133"/>
        <v>-0.51072650802691177</v>
      </c>
      <c r="G193" s="200">
        <f t="shared" si="131"/>
        <v>2.0163044630834737E-2</v>
      </c>
      <c r="I193" s="11"/>
      <c r="J193" s="11"/>
      <c r="K193" s="11"/>
      <c r="L193" s="11"/>
      <c r="M193" s="11"/>
      <c r="N193" s="11"/>
    </row>
    <row r="194" spans="1:14" x14ac:dyDescent="0.2">
      <c r="A194" t="str">
        <f t="shared" si="127"/>
        <v>51 Skilled agricultural and related trades</v>
      </c>
      <c r="B194" s="11">
        <v>1.729974251825271</v>
      </c>
      <c r="C194" s="11">
        <v>1.4886890514438949</v>
      </c>
      <c r="D194" s="11">
        <f t="shared" si="128"/>
        <v>-0.24128520038137613</v>
      </c>
      <c r="E194" s="11">
        <v>0.81896467499488879</v>
      </c>
      <c r="F194" s="11">
        <f t="shared" si="133"/>
        <v>0.57767947461351266</v>
      </c>
      <c r="G194" s="200">
        <f t="shared" si="131"/>
        <v>2.6174738516395513E-2</v>
      </c>
      <c r="I194" s="11"/>
      <c r="J194" s="11"/>
      <c r="K194" s="11"/>
      <c r="L194" s="11"/>
      <c r="M194" s="11"/>
      <c r="N194" s="11"/>
    </row>
    <row r="195" spans="1:14" x14ac:dyDescent="0.2">
      <c r="A195" t="str">
        <f t="shared" si="127"/>
        <v>52 Skilled metal, electrical and electronic trades</v>
      </c>
      <c r="B195" s="11">
        <v>7.968263194825763</v>
      </c>
      <c r="C195" s="11">
        <v>7.6223354158364769</v>
      </c>
      <c r="D195" s="11">
        <f t="shared" si="128"/>
        <v>-0.34592777898928606</v>
      </c>
      <c r="E195" s="11">
        <v>2.808396024408963</v>
      </c>
      <c r="F195" s="11">
        <f t="shared" si="133"/>
        <v>2.4624682454196769</v>
      </c>
      <c r="G195" s="200">
        <f t="shared" si="131"/>
        <v>2.0331666202233922E-2</v>
      </c>
      <c r="I195" s="82"/>
      <c r="J195" s="73"/>
    </row>
    <row r="196" spans="1:14" x14ac:dyDescent="0.2">
      <c r="A196" t="str">
        <f t="shared" si="127"/>
        <v>53 Skilled construction and building trades</v>
      </c>
      <c r="B196" s="11">
        <v>3.7934232585021608</v>
      </c>
      <c r="C196" s="11">
        <v>3.2046828856799934</v>
      </c>
      <c r="D196" s="11">
        <f t="shared" si="128"/>
        <v>-0.5887403728221674</v>
      </c>
      <c r="E196" s="11">
        <v>1.3262924216202781</v>
      </c>
      <c r="F196" s="11">
        <f t="shared" ref="F196" si="134">SUM(D196:E196)</f>
        <v>0.73755204879811065</v>
      </c>
      <c r="G196" s="200">
        <f t="shared" si="131"/>
        <v>2.0189781920191496E-2</v>
      </c>
    </row>
    <row r="197" spans="1:14" x14ac:dyDescent="0.2">
      <c r="A197" t="str">
        <f t="shared" si="127"/>
        <v>54 Textiles, printing and other skilled trades</v>
      </c>
      <c r="B197" s="11">
        <v>1.9874115724300216</v>
      </c>
      <c r="C197" s="11">
        <v>1.9518924912999016</v>
      </c>
      <c r="D197" s="11">
        <f t="shared" si="128"/>
        <v>-3.5519081130120034E-2</v>
      </c>
      <c r="E197" s="11">
        <v>0.84068086122491859</v>
      </c>
      <c r="F197" s="11">
        <f t="shared" ref="F197" si="135">SUM(D197:E197)</f>
        <v>0.80516178009479855</v>
      </c>
      <c r="G197" s="200">
        <f t="shared" si="131"/>
        <v>2.3796685101394877E-2</v>
      </c>
    </row>
    <row r="198" spans="1:14" x14ac:dyDescent="0.2">
      <c r="A198" t="str">
        <f t="shared" si="127"/>
        <v>61 Caring personal service occupations</v>
      </c>
      <c r="B198" s="11">
        <v>16.298747255851165</v>
      </c>
      <c r="C198" s="11">
        <v>19.112063200436204</v>
      </c>
      <c r="D198" s="11">
        <f>C198-B198</f>
        <v>2.8133159445850389</v>
      </c>
      <c r="E198" s="11">
        <v>9.6560197722676584</v>
      </c>
      <c r="F198" s="11">
        <f>SUM(D198:E198)</f>
        <v>12.469335716852697</v>
      </c>
      <c r="G198" s="200">
        <f t="shared" si="131"/>
        <v>3.1503867507786998E-2</v>
      </c>
    </row>
    <row r="199" spans="1:14" x14ac:dyDescent="0.2">
      <c r="A199" t="str">
        <f t="shared" si="127"/>
        <v>62 Leisure, travel and related personal service occupations</v>
      </c>
      <c r="B199" s="11">
        <v>3.4157720179335165</v>
      </c>
      <c r="C199" s="11">
        <v>2.7137897948452001</v>
      </c>
      <c r="D199" s="11">
        <f t="shared" ref="D199:D205" si="136">C199-B199</f>
        <v>-0.70198222308831637</v>
      </c>
      <c r="E199" s="11">
        <v>1.3034232694784591</v>
      </c>
      <c r="F199" s="11">
        <f t="shared" ref="F199:F200" si="137">SUM(D199:E199)</f>
        <v>0.60144104639014273</v>
      </c>
      <c r="G199" s="200">
        <f t="shared" si="131"/>
        <v>2.1782840182749785E-2</v>
      </c>
    </row>
    <row r="200" spans="1:14" x14ac:dyDescent="0.2">
      <c r="A200" t="str">
        <f t="shared" si="127"/>
        <v>63 Community and civil enforcement occupations</v>
      </c>
      <c r="B200" s="11">
        <v>0.10350418259535203</v>
      </c>
      <c r="C200" s="11">
        <v>9.079739796249145E-2</v>
      </c>
      <c r="D200" s="11">
        <f t="shared" si="136"/>
        <v>-1.2706784632860582E-2</v>
      </c>
      <c r="E200" s="11">
        <v>2.9375416599300493E-2</v>
      </c>
      <c r="F200" s="11">
        <f t="shared" si="137"/>
        <v>1.666863196643991E-2</v>
      </c>
      <c r="G200" s="200">
        <f t="shared" si="131"/>
        <v>1.6794903280416218E-2</v>
      </c>
    </row>
    <row r="201" spans="1:14" x14ac:dyDescent="0.2">
      <c r="A201" t="str">
        <f t="shared" si="127"/>
        <v>71 Sales occupations</v>
      </c>
      <c r="B201" s="11">
        <v>9.6753294178669069</v>
      </c>
      <c r="C201" s="11">
        <v>10.395735374333414</v>
      </c>
      <c r="D201" s="11">
        <f t="shared" si="136"/>
        <v>0.72040595646650729</v>
      </c>
      <c r="E201" s="11">
        <v>4.4992247908581851</v>
      </c>
      <c r="F201" s="11">
        <f t="shared" ref="F201:F202" si="138">SUM(D201:E201)</f>
        <v>5.2196307473246923</v>
      </c>
      <c r="G201" s="200">
        <f t="shared" si="131"/>
        <v>2.5784761765919262E-2</v>
      </c>
    </row>
    <row r="202" spans="1:14" x14ac:dyDescent="0.2">
      <c r="A202" t="str">
        <f t="shared" si="127"/>
        <v>72 Customer service occupations</v>
      </c>
      <c r="B202" s="11">
        <v>2.1943385335765111</v>
      </c>
      <c r="C202" s="11">
        <v>2.6497624881726192</v>
      </c>
      <c r="D202" s="11">
        <f t="shared" si="136"/>
        <v>0.45542395459610807</v>
      </c>
      <c r="E202" s="11">
        <v>1.068846239298511</v>
      </c>
      <c r="F202" s="11">
        <f t="shared" si="138"/>
        <v>1.524270193894619</v>
      </c>
      <c r="G202" s="200">
        <f t="shared" si="131"/>
        <v>2.6807902475215473E-2</v>
      </c>
    </row>
    <row r="203" spans="1:14" x14ac:dyDescent="0.2">
      <c r="A203" t="str">
        <f t="shared" si="127"/>
        <v>81 Process, plant and machine operatives</v>
      </c>
      <c r="B203" s="11">
        <v>4.8716896425293159</v>
      </c>
      <c r="C203" s="11">
        <v>6.0943367060343769</v>
      </c>
      <c r="D203" s="11">
        <f t="shared" si="136"/>
        <v>1.222647063505061</v>
      </c>
      <c r="E203" s="11">
        <v>2.1439340029062617</v>
      </c>
      <c r="F203" s="11">
        <f t="shared" ref="F203:F204" si="139">SUM(D203:E203)</f>
        <v>3.3665810664113227</v>
      </c>
      <c r="G203" s="200">
        <f t="shared" si="131"/>
        <v>2.4611229496773523E-2</v>
      </c>
    </row>
    <row r="204" spans="1:14" x14ac:dyDescent="0.2">
      <c r="A204" t="str">
        <f t="shared" si="127"/>
        <v>82 Transport and mobile machine drivers and operatives</v>
      </c>
      <c r="B204" s="11">
        <v>4.4439960507142464</v>
      </c>
      <c r="C204" s="11">
        <v>5.7725752684384855</v>
      </c>
      <c r="D204" s="11">
        <f t="shared" si="136"/>
        <v>1.328579217724239</v>
      </c>
      <c r="E204" s="11">
        <v>2.6958523898743247</v>
      </c>
      <c r="F204" s="11">
        <f t="shared" si="139"/>
        <v>4.0244316075985633</v>
      </c>
      <c r="G204" s="200">
        <f t="shared" si="131"/>
        <v>3.2114046451779732E-2</v>
      </c>
    </row>
    <row r="205" spans="1:14" x14ac:dyDescent="0.2">
      <c r="A205" t="str">
        <f t="shared" si="127"/>
        <v>91 Elementary trades and related occupations</v>
      </c>
      <c r="B205" s="11">
        <v>1.6360682317403661</v>
      </c>
      <c r="C205" s="11">
        <v>3.9139198396807089</v>
      </c>
      <c r="D205" s="11">
        <f t="shared" si="136"/>
        <v>2.2778516079403426</v>
      </c>
      <c r="E205" s="11">
        <v>1.4471775314362203</v>
      </c>
      <c r="F205" s="11">
        <f t="shared" ref="F205" si="140">SUM(D205:E205)</f>
        <v>3.7250291393765629</v>
      </c>
      <c r="G205" s="200">
        <f t="shared" si="131"/>
        <v>4.3150847988187468E-2</v>
      </c>
    </row>
    <row r="206" spans="1:14" x14ac:dyDescent="0.2">
      <c r="A206" t="str">
        <f t="shared" si="127"/>
        <v>92 Elementary administration and service occupations</v>
      </c>
      <c r="B206" s="11">
        <v>8.6218250896044726</v>
      </c>
      <c r="C206" s="11">
        <v>7.3379246840849026</v>
      </c>
      <c r="D206" s="11">
        <f t="shared" ref="D206" si="141">C206-B206</f>
        <v>-1.28390040551957</v>
      </c>
      <c r="E206" s="11">
        <v>3.4208924113239991</v>
      </c>
      <c r="F206" s="11">
        <f t="shared" ref="F206" si="142">SUM(D206:E206)</f>
        <v>2.1369920058044292</v>
      </c>
      <c r="G206" s="200">
        <f t="shared" ref="G206:G207" si="143">IF(B206&gt;0,(1+(E206/B206))^(1/($C$6-$B$6))-1,0)</f>
        <v>2.2527553123233623E-2</v>
      </c>
    </row>
    <row r="207" spans="1:14" x14ac:dyDescent="0.2">
      <c r="A207" t="str">
        <f t="shared" si="127"/>
        <v>All occupations</v>
      </c>
      <c r="B207" s="11">
        <f>SUM(B181:B206)</f>
        <v>116.13706559485922</v>
      </c>
      <c r="C207" s="11">
        <f t="shared" ref="C207:F207" si="144">SUM(C181:C206)</f>
        <v>123.77739001921452</v>
      </c>
      <c r="D207" s="11">
        <f t="shared" si="144"/>
        <v>7.6403244243553603</v>
      </c>
      <c r="E207" s="11">
        <f t="shared" si="144"/>
        <v>53.819758943496787</v>
      </c>
      <c r="F207" s="11">
        <f t="shared" si="144"/>
        <v>61.46008336785215</v>
      </c>
      <c r="G207" s="200">
        <f t="shared" si="143"/>
        <v>2.5709829193376166E-2</v>
      </c>
    </row>
    <row r="209" spans="1:7" ht="38.25" x14ac:dyDescent="0.2">
      <c r="A209" s="201" t="str">
        <f>CONCATENATE(name!F10," (Constrained)")</f>
        <v>RQF2 GCSE(A-C) &amp; equivalent (Constrained)</v>
      </c>
      <c r="B209" s="88">
        <f t="shared" ref="B209:G209" si="145">B122</f>
        <v>2020</v>
      </c>
      <c r="C209" s="88">
        <f t="shared" si="145"/>
        <v>2035</v>
      </c>
      <c r="D209" s="88" t="str">
        <f t="shared" si="145"/>
        <v>Net Change</v>
      </c>
      <c r="E209" s="88" t="str">
        <f t="shared" si="145"/>
        <v>Replacement Demand level</v>
      </c>
      <c r="F209" s="88" t="str">
        <f t="shared" si="145"/>
        <v>Total Requirement</v>
      </c>
      <c r="G209" s="88" t="str">
        <f t="shared" si="145"/>
        <v>Replacement Demand rate</v>
      </c>
    </row>
    <row r="210" spans="1:7" x14ac:dyDescent="0.2">
      <c r="A210" t="str">
        <f t="shared" ref="A210:A236" si="146">A123</f>
        <v>11 Corporate managers and directors</v>
      </c>
      <c r="B210" s="11">
        <v>5.4757474605823431</v>
      </c>
      <c r="C210" s="11">
        <v>3.1816994263442395</v>
      </c>
      <c r="D210" s="11">
        <f>C210-B210</f>
        <v>-2.2940480342381036</v>
      </c>
      <c r="E210" s="11">
        <v>1.8011984770783944</v>
      </c>
      <c r="F210" s="11">
        <f>SUM(D210:E210)</f>
        <v>-0.49284955715970913</v>
      </c>
      <c r="G210" s="200">
        <f>IF(B210&gt;0,(1+(E210/B210))^(1/($C$6-$B$6))-1,0)</f>
        <v>1.9139691217487487E-2</v>
      </c>
    </row>
    <row r="211" spans="1:7" x14ac:dyDescent="0.2">
      <c r="A211" t="str">
        <f t="shared" si="146"/>
        <v>12 Other managers and proprietors</v>
      </c>
      <c r="B211" s="11">
        <v>3.4400075515962465</v>
      </c>
      <c r="C211" s="11">
        <v>2.8165742884153424</v>
      </c>
      <c r="D211" s="11">
        <f t="shared" ref="D211:D226" si="147">C211-B211</f>
        <v>-0.62343326318090408</v>
      </c>
      <c r="E211" s="11">
        <v>1.6179932697180039</v>
      </c>
      <c r="F211" s="11">
        <f t="shared" ref="F211:F218" si="148">SUM(D211:E211)</f>
        <v>0.99456000653709986</v>
      </c>
      <c r="G211" s="200">
        <f t="shared" ref="G211:G213" si="149">IF(B211&gt;0,(1+(E211/B211))^(1/($C$6-$B$6))-1,0)</f>
        <v>2.6032931214904576E-2</v>
      </c>
    </row>
    <row r="212" spans="1:7" x14ac:dyDescent="0.2">
      <c r="A212" t="str">
        <f t="shared" si="146"/>
        <v>21 Science, research, engineering and technology professionals</v>
      </c>
      <c r="B212" s="11">
        <v>2.9786324461879756</v>
      </c>
      <c r="C212" s="11">
        <v>2.949904234679297</v>
      </c>
      <c r="D212" s="11">
        <f t="shared" si="147"/>
        <v>-2.8728211508678658E-2</v>
      </c>
      <c r="E212" s="11">
        <v>1.042127770316726</v>
      </c>
      <c r="F212" s="11">
        <f t="shared" si="148"/>
        <v>1.0133995588080473</v>
      </c>
      <c r="G212" s="200">
        <f t="shared" si="149"/>
        <v>2.0201796317008691E-2</v>
      </c>
    </row>
    <row r="213" spans="1:7" x14ac:dyDescent="0.2">
      <c r="A213" t="str">
        <f t="shared" si="146"/>
        <v>22 Health professionals</v>
      </c>
      <c r="B213" s="11">
        <v>1.7208496416992762</v>
      </c>
      <c r="C213" s="11">
        <v>1.1800673692667123</v>
      </c>
      <c r="D213" s="11">
        <f t="shared" si="147"/>
        <v>-0.54078227243256394</v>
      </c>
      <c r="E213" s="11">
        <v>0.7094566640400537</v>
      </c>
      <c r="F213" s="11">
        <f t="shared" si="148"/>
        <v>0.16867439160748976</v>
      </c>
      <c r="G213" s="200">
        <f t="shared" si="149"/>
        <v>2.3280125517409322E-2</v>
      </c>
    </row>
    <row r="214" spans="1:7" x14ac:dyDescent="0.2">
      <c r="A214" t="str">
        <f t="shared" si="146"/>
        <v>23 Teaching and other educational professionals</v>
      </c>
      <c r="B214" s="11">
        <v>0.73412841755982594</v>
      </c>
      <c r="C214" s="11">
        <v>0.4564158698607016</v>
      </c>
      <c r="D214" s="11">
        <f t="shared" si="147"/>
        <v>-0.27771254769912435</v>
      </c>
      <c r="E214" s="11">
        <v>0.26746086880964515</v>
      </c>
      <c r="F214" s="11">
        <f t="shared" si="148"/>
        <v>-1.0251678889479199E-2</v>
      </c>
      <c r="G214" s="200">
        <f>IF(B214&gt;0,(1+(E214/B214))^(1/($C$6-$B$6))-1,0)</f>
        <v>2.0926575513914303E-2</v>
      </c>
    </row>
    <row r="215" spans="1:7" x14ac:dyDescent="0.2">
      <c r="A215" t="str">
        <f t="shared" si="146"/>
        <v>24 Business, media and public service professionals</v>
      </c>
      <c r="B215" s="11">
        <v>3.117450697312159</v>
      </c>
      <c r="C215" s="11">
        <v>2.2910145399224886</v>
      </c>
      <c r="D215" s="11">
        <f t="shared" si="147"/>
        <v>-0.82643615738967036</v>
      </c>
      <c r="E215" s="11">
        <v>1.1063982526167646</v>
      </c>
      <c r="F215" s="11">
        <f t="shared" si="148"/>
        <v>0.27996209522709425</v>
      </c>
      <c r="G215" s="200">
        <f t="shared" ref="G215:G234" si="150">IF(B215&gt;0,(1+(E215/B215))^(1/($C$6-$B$6))-1,0)</f>
        <v>2.0455143422308364E-2</v>
      </c>
    </row>
    <row r="216" spans="1:7" x14ac:dyDescent="0.2">
      <c r="A216" t="str">
        <f t="shared" si="146"/>
        <v>31 Science, engineering and technology associate professionals</v>
      </c>
      <c r="B216" s="11">
        <v>1.5733118436514835</v>
      </c>
      <c r="C216" s="11">
        <v>1.2799309982185303</v>
      </c>
      <c r="D216" s="11">
        <f t="shared" si="147"/>
        <v>-0.29338084543295317</v>
      </c>
      <c r="E216" s="11">
        <v>0.50779338584287792</v>
      </c>
      <c r="F216" s="11">
        <f t="shared" si="148"/>
        <v>0.21441254040992475</v>
      </c>
      <c r="G216" s="200">
        <f t="shared" si="150"/>
        <v>1.8822705836864628E-2</v>
      </c>
    </row>
    <row r="217" spans="1:7" x14ac:dyDescent="0.2">
      <c r="A217" t="str">
        <f t="shared" si="146"/>
        <v>32 Health and social care associate professionals</v>
      </c>
      <c r="B217" s="11">
        <v>1.522421541011507</v>
      </c>
      <c r="C217" s="11">
        <v>1.7252342502211273</v>
      </c>
      <c r="D217" s="11">
        <f t="shared" si="147"/>
        <v>0.20281270920962036</v>
      </c>
      <c r="E217" s="11">
        <v>1.0802982985563812</v>
      </c>
      <c r="F217" s="11">
        <f t="shared" si="148"/>
        <v>1.2831110077660015</v>
      </c>
      <c r="G217" s="200">
        <f t="shared" si="150"/>
        <v>3.6397046853703818E-2</v>
      </c>
    </row>
    <row r="218" spans="1:7" x14ac:dyDescent="0.2">
      <c r="A218" t="str">
        <f t="shared" si="146"/>
        <v>33 Protective service occupations</v>
      </c>
      <c r="B218" s="11">
        <v>1.31375376856002</v>
      </c>
      <c r="C218" s="11">
        <v>0.78760830955088845</v>
      </c>
      <c r="D218" s="11">
        <f t="shared" si="147"/>
        <v>-0.52614545900913157</v>
      </c>
      <c r="E218" s="11">
        <v>0.27273030205591048</v>
      </c>
      <c r="F218" s="11">
        <f t="shared" si="148"/>
        <v>-0.25341515695322109</v>
      </c>
      <c r="G218" s="200">
        <f t="shared" si="150"/>
        <v>1.2654855468809734E-2</v>
      </c>
    </row>
    <row r="219" spans="1:7" x14ac:dyDescent="0.2">
      <c r="A219" t="str">
        <f t="shared" si="146"/>
        <v>34 Culture, media and sports occupations</v>
      </c>
      <c r="B219" s="11">
        <v>0.47949200588278107</v>
      </c>
      <c r="C219" s="11">
        <v>0.17935577120863191</v>
      </c>
      <c r="D219" s="11">
        <f t="shared" si="147"/>
        <v>-0.30013623467414918</v>
      </c>
      <c r="E219" s="11">
        <v>0.1100364292058624</v>
      </c>
      <c r="F219" s="11">
        <f t="shared" ref="F219:F220" si="151">SUM(D219:E219)</f>
        <v>-0.19009980546828678</v>
      </c>
      <c r="G219" s="200">
        <f t="shared" si="150"/>
        <v>1.3868334214527822E-2</v>
      </c>
    </row>
    <row r="220" spans="1:7" x14ac:dyDescent="0.2">
      <c r="A220" t="str">
        <f t="shared" si="146"/>
        <v>35 Business and public service associate professionals</v>
      </c>
      <c r="B220" s="11">
        <v>4.6602124500013931</v>
      </c>
      <c r="C220" s="11">
        <v>3.2875516087083705</v>
      </c>
      <c r="D220" s="11">
        <f t="shared" si="147"/>
        <v>-1.3726608412930226</v>
      </c>
      <c r="E220" s="11">
        <v>1.5557636504992594</v>
      </c>
      <c r="F220" s="11">
        <f t="shared" si="151"/>
        <v>0.18310280920623678</v>
      </c>
      <c r="G220" s="200">
        <f t="shared" si="150"/>
        <v>1.9389700519507169E-2</v>
      </c>
    </row>
    <row r="221" spans="1:7" x14ac:dyDescent="0.2">
      <c r="A221" t="str">
        <f t="shared" si="146"/>
        <v>41 Administrative occupations</v>
      </c>
      <c r="B221" s="11">
        <v>10.591895118542745</v>
      </c>
      <c r="C221" s="11">
        <v>6.6843394795852769</v>
      </c>
      <c r="D221" s="11">
        <f t="shared" si="147"/>
        <v>-3.9075556389574677</v>
      </c>
      <c r="E221" s="11">
        <v>3.9902452204501486</v>
      </c>
      <c r="F221" s="11">
        <f t="shared" ref="F221:F224" si="152">SUM(D221:E221)</f>
        <v>8.2689581492680908E-2</v>
      </c>
      <c r="G221" s="200">
        <f t="shared" si="150"/>
        <v>2.1542657990744729E-2</v>
      </c>
    </row>
    <row r="222" spans="1:7" x14ac:dyDescent="0.2">
      <c r="A222" t="str">
        <f t="shared" si="146"/>
        <v>42 Secretarial and related occupations</v>
      </c>
      <c r="B222" s="11">
        <v>2.2521171657572658</v>
      </c>
      <c r="C222" s="11">
        <v>0.60787360536135504</v>
      </c>
      <c r="D222" s="11">
        <f t="shared" si="147"/>
        <v>-1.6442435603959109</v>
      </c>
      <c r="E222" s="11">
        <v>0.65875930156578599</v>
      </c>
      <c r="F222" s="11">
        <f t="shared" si="152"/>
        <v>-0.98548425883012492</v>
      </c>
      <c r="G222" s="200">
        <f t="shared" si="150"/>
        <v>1.7252704024449006E-2</v>
      </c>
    </row>
    <row r="223" spans="1:7" x14ac:dyDescent="0.2">
      <c r="A223" t="str">
        <f t="shared" si="146"/>
        <v>51 Skilled agricultural and related trades</v>
      </c>
      <c r="B223" s="11">
        <v>2.3819531426796625</v>
      </c>
      <c r="C223" s="11">
        <v>1.9893129178142144</v>
      </c>
      <c r="D223" s="11">
        <f t="shared" si="147"/>
        <v>-0.39264022486544814</v>
      </c>
      <c r="E223" s="11">
        <v>1.1138478262886964</v>
      </c>
      <c r="F223" s="11">
        <f t="shared" si="152"/>
        <v>0.72120760142324825</v>
      </c>
      <c r="G223" s="200">
        <f t="shared" si="150"/>
        <v>2.5905990186449568E-2</v>
      </c>
    </row>
    <row r="224" spans="1:7" x14ac:dyDescent="0.2">
      <c r="A224" t="str">
        <f t="shared" si="146"/>
        <v>52 Skilled metal, electrical and electronic trades</v>
      </c>
      <c r="B224" s="11">
        <v>4.3527028416633966</v>
      </c>
      <c r="C224" s="11">
        <v>3.1957561364494373</v>
      </c>
      <c r="D224" s="11">
        <f t="shared" si="147"/>
        <v>-1.1569467052139593</v>
      </c>
      <c r="E224" s="11">
        <v>1.3300475986180991</v>
      </c>
      <c r="F224" s="11">
        <f t="shared" si="152"/>
        <v>0.17310089340413981</v>
      </c>
      <c r="G224" s="200">
        <f t="shared" si="150"/>
        <v>1.7934821649908672E-2</v>
      </c>
    </row>
    <row r="225" spans="1:7" x14ac:dyDescent="0.2">
      <c r="A225" t="str">
        <f t="shared" si="146"/>
        <v>53 Skilled construction and building trades</v>
      </c>
      <c r="B225" s="11">
        <v>3.6022915746835626</v>
      </c>
      <c r="C225" s="11">
        <v>3.2082217410459344</v>
      </c>
      <c r="D225" s="11">
        <f t="shared" si="147"/>
        <v>-0.39406983363762826</v>
      </c>
      <c r="E225" s="11">
        <v>1.4481686586651619</v>
      </c>
      <c r="F225" s="11">
        <f t="shared" ref="F225" si="153">SUM(D225:E225)</f>
        <v>1.0540988250275336</v>
      </c>
      <c r="G225" s="200">
        <f t="shared" si="150"/>
        <v>2.2782934141630795E-2</v>
      </c>
    </row>
    <row r="226" spans="1:7" x14ac:dyDescent="0.2">
      <c r="A226" t="str">
        <f t="shared" si="146"/>
        <v>54 Textiles, printing and other skilled trades</v>
      </c>
      <c r="B226" s="11">
        <v>2.4730116880845285</v>
      </c>
      <c r="C226" s="11">
        <v>1.8477178322174537</v>
      </c>
      <c r="D226" s="11">
        <f t="shared" si="147"/>
        <v>-0.62529385586707487</v>
      </c>
      <c r="E226" s="11">
        <v>0.83334860471837446</v>
      </c>
      <c r="F226" s="11">
        <f t="shared" ref="F226" si="154">SUM(D226:E226)</f>
        <v>0.2080547488512996</v>
      </c>
      <c r="G226" s="200">
        <f t="shared" si="150"/>
        <v>1.9549385413055731E-2</v>
      </c>
    </row>
    <row r="227" spans="1:7" x14ac:dyDescent="0.2">
      <c r="A227" t="str">
        <f t="shared" si="146"/>
        <v>61 Caring personal service occupations</v>
      </c>
      <c r="B227" s="11">
        <v>11.452557361223693</v>
      </c>
      <c r="C227" s="11">
        <v>8.029889151023335</v>
      </c>
      <c r="D227" s="11">
        <f>C227-B227</f>
        <v>-3.4226682102003583</v>
      </c>
      <c r="E227" s="11">
        <v>5.0037315983224069</v>
      </c>
      <c r="F227" s="11">
        <f>SUM(D227:E227)</f>
        <v>1.5810633881220486</v>
      </c>
      <c r="G227" s="200">
        <f t="shared" si="150"/>
        <v>2.4460682212281482E-2</v>
      </c>
    </row>
    <row r="228" spans="1:7" x14ac:dyDescent="0.2">
      <c r="A228" t="str">
        <f t="shared" si="146"/>
        <v>62 Leisure, travel and related personal service occupations</v>
      </c>
      <c r="B228" s="11">
        <v>3.442681394748162</v>
      </c>
      <c r="C228" s="11">
        <v>2.0939993130372025</v>
      </c>
      <c r="D228" s="11">
        <f t="shared" ref="D228:D234" si="155">C228-B228</f>
        <v>-1.3486820817109595</v>
      </c>
      <c r="E228" s="11">
        <v>1.2551188832310785</v>
      </c>
      <c r="F228" s="11">
        <f t="shared" ref="F228:F229" si="156">SUM(D228:E228)</f>
        <v>-9.3563198479881038E-2</v>
      </c>
      <c r="G228" s="200">
        <f t="shared" si="150"/>
        <v>2.0939125880150566E-2</v>
      </c>
    </row>
    <row r="229" spans="1:7" x14ac:dyDescent="0.2">
      <c r="A229" t="str">
        <f t="shared" si="146"/>
        <v>63 Community and civil enforcement occupations</v>
      </c>
      <c r="B229" s="11">
        <v>0.14612243505159064</v>
      </c>
      <c r="C229" s="11">
        <v>0.1095657847214426</v>
      </c>
      <c r="D229" s="11">
        <f t="shared" si="155"/>
        <v>-3.6556650330148044E-2</v>
      </c>
      <c r="E229" s="11">
        <v>4.5600175066160133E-2</v>
      </c>
      <c r="F229" s="11">
        <f t="shared" si="156"/>
        <v>9.0435247360120888E-3</v>
      </c>
      <c r="G229" s="200">
        <f t="shared" si="150"/>
        <v>1.8271906777466818E-2</v>
      </c>
    </row>
    <row r="230" spans="1:7" x14ac:dyDescent="0.2">
      <c r="A230" t="str">
        <f t="shared" si="146"/>
        <v>71 Sales occupations</v>
      </c>
      <c r="B230" s="11">
        <v>9.2413950726999055</v>
      </c>
      <c r="C230" s="11">
        <v>7.063941812485834</v>
      </c>
      <c r="D230" s="11">
        <f t="shared" si="155"/>
        <v>-2.1774532602140715</v>
      </c>
      <c r="E230" s="11">
        <v>4.0754412818226866</v>
      </c>
      <c r="F230" s="11">
        <f t="shared" ref="F230:F231" si="157">SUM(D230:E230)</f>
        <v>1.8979880216086151</v>
      </c>
      <c r="G230" s="200">
        <f t="shared" si="150"/>
        <v>2.4654775349551405E-2</v>
      </c>
    </row>
    <row r="231" spans="1:7" x14ac:dyDescent="0.2">
      <c r="A231" t="str">
        <f t="shared" si="146"/>
        <v>72 Customer service occupations</v>
      </c>
      <c r="B231" s="11">
        <v>2.0937871861011872</v>
      </c>
      <c r="C231" s="11">
        <v>1.8588750394463376</v>
      </c>
      <c r="D231" s="11">
        <f t="shared" si="155"/>
        <v>-0.23491214665484961</v>
      </c>
      <c r="E231" s="11">
        <v>1.0153515741052681</v>
      </c>
      <c r="F231" s="11">
        <f t="shared" si="157"/>
        <v>0.7804394274504185</v>
      </c>
      <c r="G231" s="200">
        <f t="shared" si="150"/>
        <v>2.6708532258809425E-2</v>
      </c>
    </row>
    <row r="232" spans="1:7" x14ac:dyDescent="0.2">
      <c r="A232" t="str">
        <f t="shared" si="146"/>
        <v>81 Process, plant and machine operatives</v>
      </c>
      <c r="B232" s="11">
        <v>6.3872324735890222</v>
      </c>
      <c r="C232" s="11">
        <v>5.9032708271614158</v>
      </c>
      <c r="D232" s="11">
        <f t="shared" si="155"/>
        <v>-0.48396164642760642</v>
      </c>
      <c r="E232" s="11">
        <v>2.590054006726739</v>
      </c>
      <c r="F232" s="11">
        <f t="shared" ref="F232:F233" si="158">SUM(D232:E232)</f>
        <v>2.1060923602991326</v>
      </c>
      <c r="G232" s="200">
        <f t="shared" si="150"/>
        <v>2.2952553444746782E-2</v>
      </c>
    </row>
    <row r="233" spans="1:7" x14ac:dyDescent="0.2">
      <c r="A233" t="str">
        <f t="shared" si="146"/>
        <v>82 Transport and mobile machine drivers and operatives</v>
      </c>
      <c r="B233" s="11">
        <v>6.5569181969405941</v>
      </c>
      <c r="C233" s="11">
        <v>6.415059969145295</v>
      </c>
      <c r="D233" s="11">
        <f t="shared" si="155"/>
        <v>-0.14185822779529911</v>
      </c>
      <c r="E233" s="11">
        <v>3.4897533425548177</v>
      </c>
      <c r="F233" s="11">
        <f t="shared" si="158"/>
        <v>3.3478951147595186</v>
      </c>
      <c r="G233" s="200">
        <f t="shared" si="150"/>
        <v>2.8856555822926122E-2</v>
      </c>
    </row>
    <row r="234" spans="1:7" x14ac:dyDescent="0.2">
      <c r="A234" t="str">
        <f t="shared" si="146"/>
        <v>91 Elementary trades and related occupations</v>
      </c>
      <c r="B234" s="11">
        <v>2.6246513422731237</v>
      </c>
      <c r="C234" s="11">
        <v>4.1953134203057791</v>
      </c>
      <c r="D234" s="11">
        <f t="shared" si="155"/>
        <v>1.5706620780326555</v>
      </c>
      <c r="E234" s="11">
        <v>1.7804308105502922</v>
      </c>
      <c r="F234" s="11">
        <f t="shared" ref="F234" si="159">SUM(D234:E234)</f>
        <v>3.3510928885829476</v>
      </c>
      <c r="G234" s="200">
        <f t="shared" si="150"/>
        <v>3.5123478940876085E-2</v>
      </c>
    </row>
    <row r="235" spans="1:7" x14ac:dyDescent="0.2">
      <c r="A235" t="str">
        <f t="shared" si="146"/>
        <v>92 Elementary administration and service occupations</v>
      </c>
      <c r="B235" s="11">
        <v>14.135416753762819</v>
      </c>
      <c r="C235" s="11">
        <v>10.990987885025167</v>
      </c>
      <c r="D235" s="11">
        <f t="shared" ref="D235" si="160">C235-B235</f>
        <v>-3.144428868737652</v>
      </c>
      <c r="E235" s="11">
        <v>5.7147049511753121</v>
      </c>
      <c r="F235" s="11">
        <f t="shared" ref="F235" si="161">SUM(D235:E235)</f>
        <v>2.57027608243766</v>
      </c>
      <c r="G235" s="200">
        <f t="shared" ref="G235:G236" si="162">IF(B235&gt;0,(1+(E235/B235))^(1/($C$6-$B$6))-1,0)</f>
        <v>2.2893228874799609E-2</v>
      </c>
    </row>
    <row r="236" spans="1:7" x14ac:dyDescent="0.2">
      <c r="A236" t="str">
        <f t="shared" si="146"/>
        <v>All occupations</v>
      </c>
      <c r="B236" s="11">
        <f>SUM(B210:B235)</f>
        <v>108.75074157184628</v>
      </c>
      <c r="C236" s="11">
        <f t="shared" ref="C236:F236" si="163">SUM(C210:C235)</f>
        <v>84.329481581221799</v>
      </c>
      <c r="D236" s="11">
        <f t="shared" si="163"/>
        <v>-24.421259990624456</v>
      </c>
      <c r="E236" s="11">
        <f t="shared" si="163"/>
        <v>44.415861202600908</v>
      </c>
      <c r="F236" s="11">
        <f t="shared" si="163"/>
        <v>19.994601211976452</v>
      </c>
      <c r="G236" s="200">
        <f t="shared" si="162"/>
        <v>2.3093809475763116E-2</v>
      </c>
    </row>
    <row r="238" spans="1:7" ht="38.25" x14ac:dyDescent="0.2">
      <c r="A238" s="201" t="str">
        <f>CONCATENATE(name!F11," (Constrained)")</f>
        <v>RQF1 GCSE(below grade C) &amp; equivalent (Constrained)</v>
      </c>
      <c r="B238" s="88">
        <f t="shared" ref="B238:G238" si="164">B151</f>
        <v>2020</v>
      </c>
      <c r="C238" s="88">
        <f t="shared" si="164"/>
        <v>2035</v>
      </c>
      <c r="D238" s="88" t="str">
        <f t="shared" si="164"/>
        <v>Net Change</v>
      </c>
      <c r="E238" s="88" t="str">
        <f t="shared" si="164"/>
        <v>Replacement Demand level</v>
      </c>
      <c r="F238" s="88" t="str">
        <f t="shared" si="164"/>
        <v>Total Requirement</v>
      </c>
      <c r="G238" s="88" t="str">
        <f t="shared" si="164"/>
        <v>Replacement Demand rate</v>
      </c>
    </row>
    <row r="239" spans="1:7" x14ac:dyDescent="0.2">
      <c r="A239" t="str">
        <f t="shared" ref="A239:A265" si="165">A152</f>
        <v>11 Corporate managers and directors</v>
      </c>
      <c r="B239" s="11">
        <v>4.0699578940993204</v>
      </c>
      <c r="C239" s="11">
        <v>2.3349458291549166</v>
      </c>
      <c r="D239" s="11">
        <f>C239-B239</f>
        <v>-1.7350120649444039</v>
      </c>
      <c r="E239" s="11">
        <v>1.3588811406471153</v>
      </c>
      <c r="F239" s="11">
        <f>SUM(D239:E239)</f>
        <v>-0.37613092429728856</v>
      </c>
      <c r="G239" s="200">
        <f>IF(B239&gt;0,(1+(E239/B239))^(1/($C$6-$B$6))-1,0)</f>
        <v>1.9391801848435586E-2</v>
      </c>
    </row>
    <row r="240" spans="1:7" x14ac:dyDescent="0.2">
      <c r="A240" t="str">
        <f t="shared" si="165"/>
        <v>12 Other managers and proprietors</v>
      </c>
      <c r="B240" s="11">
        <v>2.2721386381501869</v>
      </c>
      <c r="C240" s="11">
        <v>1.4037117145422517</v>
      </c>
      <c r="D240" s="11">
        <f t="shared" ref="D240:D255" si="166">C240-B240</f>
        <v>-0.86842692360793516</v>
      </c>
      <c r="E240" s="11">
        <v>0.85656002170552026</v>
      </c>
      <c r="F240" s="11">
        <f t="shared" ref="F240:F247" si="167">SUM(D240:E240)</f>
        <v>-1.1866901902414906E-2</v>
      </c>
      <c r="G240" s="200">
        <f t="shared" ref="G240:G242" si="168">IF(B240&gt;0,(1+(E240/B240))^(1/($C$6-$B$6))-1,0)</f>
        <v>2.1555408073383076E-2</v>
      </c>
    </row>
    <row r="241" spans="1:7" x14ac:dyDescent="0.2">
      <c r="A241" t="str">
        <f t="shared" si="165"/>
        <v>21 Science, research, engineering and technology professionals</v>
      </c>
      <c r="B241" s="11">
        <v>1.7472019807772543</v>
      </c>
      <c r="C241" s="11">
        <v>1.2461517091737078</v>
      </c>
      <c r="D241" s="11">
        <f t="shared" si="166"/>
        <v>-0.50105027160354654</v>
      </c>
      <c r="E241" s="11">
        <v>0.52333531666930511</v>
      </c>
      <c r="F241" s="11">
        <f t="shared" si="167"/>
        <v>2.2285045065758569E-2</v>
      </c>
      <c r="G241" s="200">
        <f t="shared" si="168"/>
        <v>1.7620159132847979E-2</v>
      </c>
    </row>
    <row r="242" spans="1:7" x14ac:dyDescent="0.2">
      <c r="A242" t="str">
        <f t="shared" si="165"/>
        <v>22 Health professionals</v>
      </c>
      <c r="B242" s="11">
        <v>0.9322508015506018</v>
      </c>
      <c r="C242" s="11">
        <v>0.6513560174970211</v>
      </c>
      <c r="D242" s="11">
        <f t="shared" si="166"/>
        <v>-0.2808947840535807</v>
      </c>
      <c r="E242" s="11">
        <v>0.36128137086486567</v>
      </c>
      <c r="F242" s="11">
        <f t="shared" si="167"/>
        <v>8.0386586811284966E-2</v>
      </c>
      <c r="G242" s="200">
        <f t="shared" si="168"/>
        <v>2.2075468500004414E-2</v>
      </c>
    </row>
    <row r="243" spans="1:7" x14ac:dyDescent="0.2">
      <c r="A243" t="str">
        <f t="shared" si="165"/>
        <v>23 Teaching and other educational professionals</v>
      </c>
      <c r="B243" s="11">
        <v>0.53365107742351248</v>
      </c>
      <c r="C243" s="11">
        <v>0.31923340850186532</v>
      </c>
      <c r="D243" s="11">
        <f t="shared" si="166"/>
        <v>-0.21441766892164715</v>
      </c>
      <c r="E243" s="11">
        <v>0.18908145158552994</v>
      </c>
      <c r="F243" s="11">
        <f t="shared" si="167"/>
        <v>-2.5336217336117212E-2</v>
      </c>
      <c r="G243" s="200">
        <f>IF(B243&gt;0,(1+(E243/B243))^(1/($C$6-$B$6))-1,0)</f>
        <v>2.0425604609955128E-2</v>
      </c>
    </row>
    <row r="244" spans="1:7" x14ac:dyDescent="0.2">
      <c r="A244" t="str">
        <f t="shared" si="165"/>
        <v>24 Business, media and public service professionals</v>
      </c>
      <c r="B244" s="11">
        <v>2.1037204629685213</v>
      </c>
      <c r="C244" s="11">
        <v>1.3140547727602543</v>
      </c>
      <c r="D244" s="11">
        <f t="shared" si="166"/>
        <v>-0.78966569020826705</v>
      </c>
      <c r="E244" s="11">
        <v>0.7195853066234208</v>
      </c>
      <c r="F244" s="11">
        <f t="shared" si="167"/>
        <v>-7.0080383584846251E-2</v>
      </c>
      <c r="G244" s="200">
        <f t="shared" ref="G244:G263" si="169">IF(B244&gt;0,(1+(E244/B244))^(1/($C$6-$B$6))-1,0)</f>
        <v>1.9807008516982805E-2</v>
      </c>
    </row>
    <row r="245" spans="1:7" x14ac:dyDescent="0.2">
      <c r="A245" t="str">
        <f t="shared" si="165"/>
        <v>31 Science, engineering and technology associate professionals</v>
      </c>
      <c r="B245" s="11">
        <v>1.3303917183502367</v>
      </c>
      <c r="C245" s="11">
        <v>0.86961588159735737</v>
      </c>
      <c r="D245" s="11">
        <f t="shared" si="166"/>
        <v>-0.46077583675287936</v>
      </c>
      <c r="E245" s="11">
        <v>0.38597005348949442</v>
      </c>
      <c r="F245" s="11">
        <f t="shared" si="167"/>
        <v>-7.480578326338494E-2</v>
      </c>
      <c r="G245" s="200">
        <f>IF(B245&gt;0,(1+(E245/B245))^(1/($C$6-$B$6))-1,0)</f>
        <v>1.7127242907591267E-2</v>
      </c>
    </row>
    <row r="246" spans="1:7" x14ac:dyDescent="0.2">
      <c r="A246" t="str">
        <f t="shared" si="165"/>
        <v>32 Health and social care associate professionals</v>
      </c>
      <c r="B246" s="11">
        <v>0.44585420428295058</v>
      </c>
      <c r="C246" s="11">
        <v>0.45265736033703302</v>
      </c>
      <c r="D246" s="11">
        <f t="shared" si="166"/>
        <v>6.8031560540824376E-3</v>
      </c>
      <c r="E246" s="11">
        <v>0.24750987218334849</v>
      </c>
      <c r="F246" s="11">
        <f t="shared" si="167"/>
        <v>0.25431302823743096</v>
      </c>
      <c r="G246" s="200">
        <f t="shared" si="169"/>
        <v>2.9875115822896925E-2</v>
      </c>
    </row>
    <row r="247" spans="1:7" x14ac:dyDescent="0.2">
      <c r="A247" t="str">
        <f t="shared" si="165"/>
        <v>33 Protective service occupations</v>
      </c>
      <c r="B247" s="11">
        <v>0.70521900208186394</v>
      </c>
      <c r="C247" s="11">
        <v>0.3772911420890705</v>
      </c>
      <c r="D247" s="11">
        <f t="shared" si="166"/>
        <v>-0.32792785999279345</v>
      </c>
      <c r="E247" s="11">
        <v>0.1609295595840998</v>
      </c>
      <c r="F247" s="11">
        <f t="shared" si="167"/>
        <v>-0.16699830040869365</v>
      </c>
      <c r="G247" s="200">
        <f t="shared" si="169"/>
        <v>1.3797522373935278E-2</v>
      </c>
    </row>
    <row r="248" spans="1:7" x14ac:dyDescent="0.2">
      <c r="A248" t="str">
        <f t="shared" si="165"/>
        <v>34 Culture, media and sports occupations</v>
      </c>
      <c r="B248" s="11">
        <v>0.44285011612719072</v>
      </c>
      <c r="C248" s="11">
        <v>0.19955940006463685</v>
      </c>
      <c r="D248" s="11">
        <f t="shared" si="166"/>
        <v>-0.24329071606255387</v>
      </c>
      <c r="E248" s="11">
        <v>0.11044494251848871</v>
      </c>
      <c r="F248" s="11">
        <f t="shared" ref="F248:F249" si="170">SUM(D248:E248)</f>
        <v>-0.13284577354406515</v>
      </c>
      <c r="G248" s="200">
        <f t="shared" si="169"/>
        <v>1.495472235246309E-2</v>
      </c>
    </row>
    <row r="249" spans="1:7" x14ac:dyDescent="0.2">
      <c r="A249" t="str">
        <f t="shared" si="165"/>
        <v>35 Business and public service associate professionals</v>
      </c>
      <c r="B249" s="11">
        <v>2.8699623158727148</v>
      </c>
      <c r="C249" s="11">
        <v>1.5762055818511229</v>
      </c>
      <c r="D249" s="11">
        <f t="shared" si="166"/>
        <v>-1.2937567340215919</v>
      </c>
      <c r="E249" s="11">
        <v>0.81838554447708145</v>
      </c>
      <c r="F249" s="11">
        <f t="shared" si="170"/>
        <v>-0.47537118954451041</v>
      </c>
      <c r="G249" s="200">
        <f t="shared" si="169"/>
        <v>1.6865966073282168E-2</v>
      </c>
    </row>
    <row r="250" spans="1:7" x14ac:dyDescent="0.2">
      <c r="A250" t="str">
        <f t="shared" si="165"/>
        <v>41 Administrative occupations</v>
      </c>
      <c r="B250" s="11">
        <v>4.8507406659395258</v>
      </c>
      <c r="C250" s="11">
        <v>1.5782038503102922</v>
      </c>
      <c r="D250" s="11">
        <f t="shared" si="166"/>
        <v>-3.2725368156292336</v>
      </c>
      <c r="E250" s="11">
        <v>1.1130212689143901</v>
      </c>
      <c r="F250" s="11">
        <f t="shared" ref="F250:F253" si="171">SUM(D250:E250)</f>
        <v>-2.1595155467148435</v>
      </c>
      <c r="G250" s="200">
        <f t="shared" si="169"/>
        <v>1.3866599744987163E-2</v>
      </c>
    </row>
    <row r="251" spans="1:7" x14ac:dyDescent="0.2">
      <c r="A251" t="str">
        <f t="shared" si="165"/>
        <v>42 Secretarial and related occupations</v>
      </c>
      <c r="B251" s="11">
        <v>1.8150930725764316</v>
      </c>
      <c r="C251" s="11">
        <v>0.40546933395533324</v>
      </c>
      <c r="D251" s="11">
        <f t="shared" si="166"/>
        <v>-1.4096237386210984</v>
      </c>
      <c r="E251" s="11">
        <v>0.37306487599156002</v>
      </c>
      <c r="F251" s="11">
        <f t="shared" si="171"/>
        <v>-1.0365588626295383</v>
      </c>
      <c r="G251" s="200">
        <f t="shared" si="169"/>
        <v>1.2539523673583464E-2</v>
      </c>
    </row>
    <row r="252" spans="1:7" x14ac:dyDescent="0.2">
      <c r="A252" t="str">
        <f t="shared" si="165"/>
        <v>51 Skilled agricultural and related trades</v>
      </c>
      <c r="B252" s="11">
        <v>1.7018197955948795</v>
      </c>
      <c r="C252" s="11">
        <v>0.74439045765683587</v>
      </c>
      <c r="D252" s="11">
        <f t="shared" si="166"/>
        <v>-0.95742933793804363</v>
      </c>
      <c r="E252" s="11">
        <v>0.53223426079087988</v>
      </c>
      <c r="F252" s="11">
        <f t="shared" si="171"/>
        <v>-0.42519507714716376</v>
      </c>
      <c r="G252" s="200">
        <f t="shared" si="169"/>
        <v>1.8306870020374788E-2</v>
      </c>
    </row>
    <row r="253" spans="1:7" x14ac:dyDescent="0.2">
      <c r="A253" t="str">
        <f t="shared" si="165"/>
        <v>52 Skilled metal, electrical and electronic trades</v>
      </c>
      <c r="B253" s="11">
        <v>2.173735555223534</v>
      </c>
      <c r="C253" s="11">
        <v>0.92406737598304134</v>
      </c>
      <c r="D253" s="11">
        <f t="shared" si="166"/>
        <v>-1.2496681792404927</v>
      </c>
      <c r="E253" s="11">
        <v>0.55752458495379342</v>
      </c>
      <c r="F253" s="11">
        <f t="shared" si="171"/>
        <v>-0.69214359428669925</v>
      </c>
      <c r="G253" s="200">
        <f t="shared" si="169"/>
        <v>1.5337493762517029E-2</v>
      </c>
    </row>
    <row r="254" spans="1:7" x14ac:dyDescent="0.2">
      <c r="A254" t="str">
        <f t="shared" si="165"/>
        <v>53 Skilled construction and building trades</v>
      </c>
      <c r="B254" s="11">
        <v>1.8778341405325634</v>
      </c>
      <c r="C254" s="11">
        <v>1.0876958030393273</v>
      </c>
      <c r="D254" s="11">
        <f t="shared" si="166"/>
        <v>-0.79013833749323603</v>
      </c>
      <c r="E254" s="11">
        <v>0.6084383595358146</v>
      </c>
      <c r="F254" s="11">
        <f t="shared" ref="F254" si="172">SUM(D254:E254)</f>
        <v>-0.18169997795742143</v>
      </c>
      <c r="G254" s="200">
        <f t="shared" si="169"/>
        <v>1.8887184435479654E-2</v>
      </c>
    </row>
    <row r="255" spans="1:7" x14ac:dyDescent="0.2">
      <c r="A255" t="str">
        <f t="shared" si="165"/>
        <v>54 Textiles, printing and other skilled trades</v>
      </c>
      <c r="B255" s="11">
        <v>2.2278499704829202</v>
      </c>
      <c r="C255" s="11">
        <v>1.632054811919835</v>
      </c>
      <c r="D255" s="11">
        <f t="shared" si="166"/>
        <v>-0.59579515856308518</v>
      </c>
      <c r="E255" s="11">
        <v>0.73094775223590625</v>
      </c>
      <c r="F255" s="11">
        <f t="shared" ref="F255" si="173">SUM(D255:E255)</f>
        <v>0.13515259367282106</v>
      </c>
      <c r="G255" s="200">
        <f t="shared" si="169"/>
        <v>1.9096450595392556E-2</v>
      </c>
    </row>
    <row r="256" spans="1:7" x14ac:dyDescent="0.2">
      <c r="A256" t="str">
        <f t="shared" si="165"/>
        <v>61 Caring personal service occupations</v>
      </c>
      <c r="B256" s="11">
        <v>1.7639788276190278</v>
      </c>
      <c r="C256" s="11">
        <v>0.86194475934348846</v>
      </c>
      <c r="D256" s="11">
        <f>C256-B256</f>
        <v>-0.90203406827553934</v>
      </c>
      <c r="E256" s="11">
        <v>0.39263712880689411</v>
      </c>
      <c r="F256" s="11">
        <f>SUM(D256:E256)</f>
        <v>-0.50939693946864528</v>
      </c>
      <c r="G256" s="200">
        <f t="shared" si="169"/>
        <v>1.3488043989484222E-2</v>
      </c>
    </row>
    <row r="257" spans="1:7" x14ac:dyDescent="0.2">
      <c r="A257" t="str">
        <f t="shared" si="165"/>
        <v>62 Leisure, travel and related personal service occupations</v>
      </c>
      <c r="B257" s="11">
        <v>2.2755612825461231</v>
      </c>
      <c r="C257" s="11">
        <v>1.696236008713768</v>
      </c>
      <c r="D257" s="11">
        <f t="shared" ref="D257:D263" si="174">C257-B257</f>
        <v>-0.5793252738323551</v>
      </c>
      <c r="E257" s="11">
        <v>0.84899287189075545</v>
      </c>
      <c r="F257" s="11">
        <f t="shared" ref="F257:F258" si="175">SUM(D257:E257)</f>
        <v>0.26966759805840035</v>
      </c>
      <c r="G257" s="200">
        <f t="shared" si="169"/>
        <v>2.1362640212513329E-2</v>
      </c>
    </row>
    <row r="258" spans="1:7" x14ac:dyDescent="0.2">
      <c r="A258" t="str">
        <f t="shared" si="165"/>
        <v>63 Community and civil enforcement occupations</v>
      </c>
      <c r="B258" s="11">
        <v>0.1275508265654661</v>
      </c>
      <c r="C258" s="11">
        <v>6.9386470765148506E-2</v>
      </c>
      <c r="D258" s="11">
        <f t="shared" si="174"/>
        <v>-5.8164355800317591E-2</v>
      </c>
      <c r="E258" s="11">
        <v>3.392990912478816E-2</v>
      </c>
      <c r="F258" s="11">
        <f t="shared" si="175"/>
        <v>-2.4234446675529431E-2</v>
      </c>
      <c r="G258" s="200">
        <f t="shared" si="169"/>
        <v>1.5849012599834289E-2</v>
      </c>
    </row>
    <row r="259" spans="1:7" x14ac:dyDescent="0.2">
      <c r="A259" t="str">
        <f t="shared" si="165"/>
        <v>71 Sales occupations</v>
      </c>
      <c r="B259" s="11">
        <v>6.0969765563409259</v>
      </c>
      <c r="C259" s="11">
        <v>1.8443573598584828</v>
      </c>
      <c r="D259" s="11">
        <f t="shared" si="174"/>
        <v>-4.2526191964824429</v>
      </c>
      <c r="E259" s="11">
        <v>1.4858401346171524</v>
      </c>
      <c r="F259" s="11">
        <f t="shared" ref="F259:F260" si="176">SUM(D259:E259)</f>
        <v>-2.7667790618652903</v>
      </c>
      <c r="G259" s="200">
        <f t="shared" si="169"/>
        <v>1.4645660170356845E-2</v>
      </c>
    </row>
    <row r="260" spans="1:7" x14ac:dyDescent="0.2">
      <c r="A260" t="str">
        <f t="shared" si="165"/>
        <v>72 Customer service occupations</v>
      </c>
      <c r="B260" s="11">
        <v>0.97457353771481536</v>
      </c>
      <c r="C260" s="11">
        <v>0.6112930694131371</v>
      </c>
      <c r="D260" s="11">
        <f t="shared" si="174"/>
        <v>-0.36328046830167826</v>
      </c>
      <c r="E260" s="11">
        <v>0.26537692768761412</v>
      </c>
      <c r="F260" s="11">
        <f t="shared" si="176"/>
        <v>-9.7903540614064144E-2</v>
      </c>
      <c r="G260" s="200">
        <f t="shared" si="169"/>
        <v>1.6184691386575301E-2</v>
      </c>
    </row>
    <row r="261" spans="1:7" x14ac:dyDescent="0.2">
      <c r="A261" t="str">
        <f t="shared" si="165"/>
        <v>81 Process, plant and machine operatives</v>
      </c>
      <c r="B261" s="11">
        <v>5.1054479639738597</v>
      </c>
      <c r="C261" s="11">
        <v>1.9911821808490866</v>
      </c>
      <c r="D261" s="11">
        <f t="shared" si="174"/>
        <v>-3.1142657831247731</v>
      </c>
      <c r="E261" s="11">
        <v>1.3130744297216852</v>
      </c>
      <c r="F261" s="11">
        <f t="shared" ref="F261:F262" si="177">SUM(D261:E261)</f>
        <v>-1.8011913534030879</v>
      </c>
      <c r="G261" s="200">
        <f t="shared" si="169"/>
        <v>1.5375656664961657E-2</v>
      </c>
    </row>
    <row r="262" spans="1:7" x14ac:dyDescent="0.2">
      <c r="A262" t="str">
        <f t="shared" si="165"/>
        <v>82 Transport and mobile machine drivers and operatives</v>
      </c>
      <c r="B262" s="11">
        <v>5.7550825766206568</v>
      </c>
      <c r="C262" s="11">
        <v>3.2131178552536577</v>
      </c>
      <c r="D262" s="11">
        <f t="shared" si="174"/>
        <v>-2.5419647213669991</v>
      </c>
      <c r="E262" s="11">
        <v>2.1155855676692559</v>
      </c>
      <c r="F262" s="11">
        <f t="shared" si="177"/>
        <v>-0.42637915369774326</v>
      </c>
      <c r="G262" s="200">
        <f t="shared" si="169"/>
        <v>2.1089952562449055E-2</v>
      </c>
    </row>
    <row r="263" spans="1:7" x14ac:dyDescent="0.2">
      <c r="A263" t="str">
        <f t="shared" si="165"/>
        <v>91 Elementary trades and related occupations</v>
      </c>
      <c r="B263" s="11">
        <v>3.5201928013955572</v>
      </c>
      <c r="C263" s="11">
        <v>4.6704127325759988</v>
      </c>
      <c r="D263" s="11">
        <f t="shared" si="174"/>
        <v>1.1502199311804415</v>
      </c>
      <c r="E263" s="11">
        <v>2.1364744607492465</v>
      </c>
      <c r="F263" s="11">
        <f t="shared" ref="F263" si="178">SUM(D263:E263)</f>
        <v>3.286694391929688</v>
      </c>
      <c r="G263" s="200">
        <f t="shared" si="169"/>
        <v>3.2126539813476018E-2</v>
      </c>
    </row>
    <row r="264" spans="1:7" x14ac:dyDescent="0.2">
      <c r="A264" t="str">
        <f t="shared" si="165"/>
        <v>92 Elementary administration and service occupations</v>
      </c>
      <c r="B264" s="11">
        <v>12.617678331987516</v>
      </c>
      <c r="C264" s="11">
        <v>6.7732023302009843</v>
      </c>
      <c r="D264" s="11">
        <f t="shared" ref="D264" si="179">C264-B264</f>
        <v>-5.844476001786532</v>
      </c>
      <c r="E264" s="11">
        <v>3.7938650237036642</v>
      </c>
      <c r="F264" s="11">
        <f>SUM(D264:E264)</f>
        <v>-2.0506109780828679</v>
      </c>
      <c r="G264" s="200">
        <f t="shared" ref="G264:G265" si="180">IF(B264&gt;0,(1+(E264/B264))^(1/($C$6-$B$6))-1,0)</f>
        <v>1.7680215379421993E-2</v>
      </c>
    </row>
    <row r="265" spans="1:7" x14ac:dyDescent="0.2">
      <c r="A265" t="str">
        <f t="shared" si="165"/>
        <v>All occupations</v>
      </c>
      <c r="B265" s="11">
        <f>SUM(B239:B264)</f>
        <v>70.337314116798154</v>
      </c>
      <c r="C265" s="11">
        <f t="shared" ref="C265:F265" si="181">SUM(C239:C264)</f>
        <v>38.84779721740766</v>
      </c>
      <c r="D265" s="11">
        <f t="shared" si="181"/>
        <v>-31.489516899390498</v>
      </c>
      <c r="E265" s="11">
        <f t="shared" si="181"/>
        <v>22.032972136741666</v>
      </c>
      <c r="F265" s="11">
        <f t="shared" si="181"/>
        <v>-9.4565447626488321</v>
      </c>
      <c r="G265" s="200">
        <f t="shared" si="180"/>
        <v>1.8332881752351815E-2</v>
      </c>
    </row>
    <row r="267" spans="1:7" ht="38.25" x14ac:dyDescent="0.2">
      <c r="A267" s="201" t="str">
        <f>CONCATENATE(name!F12," (Constrained)")</f>
        <v>No Qualification (Constrained)</v>
      </c>
      <c r="B267" s="88">
        <f t="shared" ref="B267:G267" si="182">B180</f>
        <v>2020</v>
      </c>
      <c r="C267" s="88">
        <f t="shared" si="182"/>
        <v>2035</v>
      </c>
      <c r="D267" s="88" t="str">
        <f t="shared" si="182"/>
        <v>Net Change</v>
      </c>
      <c r="E267" s="88" t="str">
        <f t="shared" si="182"/>
        <v>Replacement Demand level</v>
      </c>
      <c r="F267" s="88" t="str">
        <f t="shared" si="182"/>
        <v>Total Requirement</v>
      </c>
      <c r="G267" s="88" t="str">
        <f t="shared" si="182"/>
        <v>Replacement Demand rate</v>
      </c>
    </row>
    <row r="268" spans="1:7" x14ac:dyDescent="0.2">
      <c r="A268" t="str">
        <f t="shared" ref="A268:A294" si="183">A181</f>
        <v>11 Corporate managers and directors</v>
      </c>
      <c r="B268" s="11">
        <v>0.67050060133760592</v>
      </c>
      <c r="C268" s="11">
        <v>0.59067090914645171</v>
      </c>
      <c r="D268" s="11">
        <f>C268-B268</f>
        <v>-7.9829692191154211E-2</v>
      </c>
      <c r="E268" s="11">
        <v>0.22458348304178513</v>
      </c>
      <c r="F268" s="11">
        <f>SUM(D268:E268)</f>
        <v>0.14475379085063092</v>
      </c>
      <c r="G268" s="200">
        <f>IF(B268&gt;0,(1+(E268/B268))^(1/($C$6-$B$6))-1,0)</f>
        <v>1.9446198859013553E-2</v>
      </c>
    </row>
    <row r="269" spans="1:7" x14ac:dyDescent="0.2">
      <c r="A269" t="str">
        <f t="shared" si="183"/>
        <v>12 Other managers and proprietors</v>
      </c>
      <c r="B269" s="11">
        <v>0.71217078921417365</v>
      </c>
      <c r="C269" s="11">
        <v>0.93238913387878941</v>
      </c>
      <c r="D269" s="11">
        <f t="shared" ref="D269:D284" si="184">C269-B269</f>
        <v>0.22021834466461576</v>
      </c>
      <c r="E269" s="11">
        <v>0.32751984905426668</v>
      </c>
      <c r="F269" s="11">
        <f t="shared" ref="F269:F276" si="185">SUM(D269:E269)</f>
        <v>0.54773819371888244</v>
      </c>
      <c r="G269" s="200">
        <f t="shared" ref="G269:G271" si="186">IF(B269&gt;0,(1+(E269/B269))^(1/($C$6-$B$6))-1,0)</f>
        <v>2.5544866714992231E-2</v>
      </c>
    </row>
    <row r="270" spans="1:7" x14ac:dyDescent="0.2">
      <c r="A270" t="str">
        <f t="shared" si="183"/>
        <v>21 Science, research, engineering and technology professionals</v>
      </c>
      <c r="B270" s="11">
        <v>0.34438228305067559</v>
      </c>
      <c r="C270" s="11">
        <v>0.50807025944670969</v>
      </c>
      <c r="D270" s="11">
        <f t="shared" si="184"/>
        <v>0.16368797639603411</v>
      </c>
      <c r="E270" s="11">
        <v>0.14458888299456238</v>
      </c>
      <c r="F270" s="11">
        <f t="shared" si="185"/>
        <v>0.30827685939059646</v>
      </c>
      <c r="G270" s="200">
        <f t="shared" si="186"/>
        <v>2.364529972110474E-2</v>
      </c>
    </row>
    <row r="271" spans="1:7" x14ac:dyDescent="0.2">
      <c r="A271" t="str">
        <f t="shared" si="183"/>
        <v>22 Health professionals</v>
      </c>
      <c r="B271" s="11">
        <v>0.10299641085245206</v>
      </c>
      <c r="C271" s="11">
        <v>0.11559269330834007</v>
      </c>
      <c r="D271" s="11">
        <f t="shared" si="184"/>
        <v>1.2596282455888008E-2</v>
      </c>
      <c r="E271" s="11">
        <v>4.6441737031095352E-2</v>
      </c>
      <c r="F271" s="11">
        <f t="shared" si="185"/>
        <v>5.903801948698336E-2</v>
      </c>
      <c r="G271" s="200">
        <f t="shared" si="186"/>
        <v>2.5122956145023023E-2</v>
      </c>
    </row>
    <row r="272" spans="1:7" x14ac:dyDescent="0.2">
      <c r="A272" t="str">
        <f t="shared" si="183"/>
        <v>23 Teaching and other educational professionals</v>
      </c>
      <c r="B272" s="11">
        <v>0.14869741903873604</v>
      </c>
      <c r="C272" s="11">
        <v>0.16757281954446884</v>
      </c>
      <c r="D272" s="11">
        <f t="shared" si="184"/>
        <v>1.8875400505732803E-2</v>
      </c>
      <c r="E272" s="11">
        <v>7.8077087287822061E-2</v>
      </c>
      <c r="F272" s="11">
        <f t="shared" si="185"/>
        <v>9.6952487793554865E-2</v>
      </c>
      <c r="G272" s="200">
        <f>IF(B272&gt;0,(1+(E272/B272))^(1/($C$6-$B$6))-1,0)</f>
        <v>2.8535738350858653E-2</v>
      </c>
    </row>
    <row r="273" spans="1:7" x14ac:dyDescent="0.2">
      <c r="A273" t="str">
        <f t="shared" si="183"/>
        <v>24 Business, media and public service professionals</v>
      </c>
      <c r="B273" s="11">
        <v>0.3959936643803475</v>
      </c>
      <c r="C273" s="11">
        <v>0.41967860592883849</v>
      </c>
      <c r="D273" s="11">
        <f t="shared" si="184"/>
        <v>2.368494154849099E-2</v>
      </c>
      <c r="E273" s="11">
        <v>0.17054618039776975</v>
      </c>
      <c r="F273" s="11">
        <f t="shared" si="185"/>
        <v>0.19423112194626074</v>
      </c>
      <c r="G273" s="200">
        <f t="shared" ref="G273" si="187">IF(B273&gt;0,(1+(E273/B273))^(1/($C$6-$B$6))-1,0)</f>
        <v>2.4163941981363513E-2</v>
      </c>
    </row>
    <row r="274" spans="1:7" x14ac:dyDescent="0.2">
      <c r="A274" t="str">
        <f t="shared" si="183"/>
        <v>31 Science, engineering and technology associate professionals</v>
      </c>
      <c r="B274" s="11">
        <v>0.2453096750615131</v>
      </c>
      <c r="C274" s="11">
        <v>0.30242487209061225</v>
      </c>
      <c r="D274" s="11">
        <f t="shared" si="184"/>
        <v>5.7115197029099146E-2</v>
      </c>
      <c r="E274" s="11">
        <v>0.10805300042570755</v>
      </c>
      <c r="F274" s="11">
        <f t="shared" si="185"/>
        <v>0.16516819745480671</v>
      </c>
      <c r="G274" s="200">
        <f>IF(B274&gt;0,(1+(E274/B274))^(1/($C$6-$B$6))-1,0)</f>
        <v>2.4629997908774515E-2</v>
      </c>
    </row>
    <row r="275" spans="1:7" x14ac:dyDescent="0.2">
      <c r="A275" t="str">
        <f t="shared" si="183"/>
        <v>32 Health and social care associate professionals</v>
      </c>
      <c r="B275" s="11">
        <v>6.2897593381535583E-2</v>
      </c>
      <c r="C275" s="11">
        <v>0.12225770132720087</v>
      </c>
      <c r="D275" s="11">
        <f t="shared" si="184"/>
        <v>5.9360107945665291E-2</v>
      </c>
      <c r="E275" s="11">
        <v>4.9044496256533204E-2</v>
      </c>
      <c r="F275" s="11">
        <f t="shared" si="185"/>
        <v>0.1084046042021985</v>
      </c>
      <c r="G275" s="200">
        <f t="shared" ref="G275:G292" si="188">IF(B275&gt;0,(1+(E275/B275))^(1/($C$6-$B$6))-1,0)</f>
        <v>3.9179630716338787E-2</v>
      </c>
    </row>
    <row r="276" spans="1:7" x14ac:dyDescent="0.2">
      <c r="A276" t="str">
        <f t="shared" si="183"/>
        <v>33 Protective service occupations</v>
      </c>
      <c r="B276" s="11">
        <v>9.3520246564536808E-2</v>
      </c>
      <c r="C276" s="11">
        <v>3.0983071681913398E-2</v>
      </c>
      <c r="D276" s="11">
        <f t="shared" si="184"/>
        <v>-6.2537174882623406E-2</v>
      </c>
      <c r="E276" s="11">
        <v>1.4611683693830263E-2</v>
      </c>
      <c r="F276" s="11">
        <f t="shared" si="185"/>
        <v>-4.7925491188793141E-2</v>
      </c>
      <c r="G276" s="200">
        <f t="shared" si="188"/>
        <v>9.7252595770267458E-3</v>
      </c>
    </row>
    <row r="277" spans="1:7" x14ac:dyDescent="0.2">
      <c r="A277" t="str">
        <f t="shared" si="183"/>
        <v>34 Culture, media and sports occupations</v>
      </c>
      <c r="B277" s="11">
        <v>0.14825515914203705</v>
      </c>
      <c r="C277" s="11">
        <v>0.1317894961339858</v>
      </c>
      <c r="D277" s="11">
        <f t="shared" si="184"/>
        <v>-1.6465663008051246E-2</v>
      </c>
      <c r="E277" s="11">
        <v>5.2524980706046824E-2</v>
      </c>
      <c r="F277" s="11">
        <f t="shared" ref="F277:F278" si="189">SUM(D277:E277)</f>
        <v>3.6059317697995578E-2</v>
      </c>
      <c r="G277" s="200">
        <f t="shared" si="188"/>
        <v>2.0424151857807438E-2</v>
      </c>
    </row>
    <row r="278" spans="1:7" x14ac:dyDescent="0.2">
      <c r="A278" t="str">
        <f t="shared" si="183"/>
        <v>35 Business and public service associate professionals</v>
      </c>
      <c r="B278" s="11">
        <v>0.51019474216407845</v>
      </c>
      <c r="C278" s="11">
        <v>0.39945071394905268</v>
      </c>
      <c r="D278" s="11">
        <f t="shared" si="184"/>
        <v>-0.11074402821502577</v>
      </c>
      <c r="E278" s="11">
        <v>0.15144586915430802</v>
      </c>
      <c r="F278" s="11">
        <f t="shared" si="189"/>
        <v>4.0701840939282252E-2</v>
      </c>
      <c r="G278" s="200">
        <f t="shared" si="188"/>
        <v>1.7479680733637926E-2</v>
      </c>
    </row>
    <row r="279" spans="1:7" x14ac:dyDescent="0.2">
      <c r="A279" t="str">
        <f t="shared" si="183"/>
        <v>41 Administrative occupations</v>
      </c>
      <c r="B279" s="11">
        <v>0.95596887245197026</v>
      </c>
      <c r="C279" s="11">
        <v>0.55787832456626241</v>
      </c>
      <c r="D279" s="11">
        <f t="shared" si="184"/>
        <v>-0.39809054788570786</v>
      </c>
      <c r="E279" s="11">
        <v>0.27074525710306901</v>
      </c>
      <c r="F279" s="11">
        <f t="shared" ref="F279:F282" si="190">SUM(D279:E279)</f>
        <v>-0.12734529078263884</v>
      </c>
      <c r="G279" s="200">
        <f t="shared" si="188"/>
        <v>1.6763563190839603E-2</v>
      </c>
    </row>
    <row r="280" spans="1:7" x14ac:dyDescent="0.2">
      <c r="A280" t="str">
        <f t="shared" si="183"/>
        <v>42 Secretarial and related occupations</v>
      </c>
      <c r="B280" s="11">
        <v>0.37287009699674112</v>
      </c>
      <c r="C280" s="11">
        <v>0.35905398778892728</v>
      </c>
      <c r="D280" s="11">
        <f t="shared" si="184"/>
        <v>-1.3816109207813843E-2</v>
      </c>
      <c r="E280" s="11">
        <v>0.18372771696081161</v>
      </c>
      <c r="F280" s="11">
        <f t="shared" si="190"/>
        <v>0.16991160775299777</v>
      </c>
      <c r="G280" s="200">
        <f t="shared" si="188"/>
        <v>2.7067364086379886E-2</v>
      </c>
    </row>
    <row r="281" spans="1:7" x14ac:dyDescent="0.2">
      <c r="A281" t="str">
        <f t="shared" si="183"/>
        <v>51 Skilled agricultural and related trades</v>
      </c>
      <c r="B281" s="11">
        <v>1.0347930505290741</v>
      </c>
      <c r="C281" s="11">
        <v>0.64602945403287626</v>
      </c>
      <c r="D281" s="11">
        <f t="shared" si="184"/>
        <v>-0.38876359649619785</v>
      </c>
      <c r="E281" s="11">
        <v>0.30916052751343703</v>
      </c>
      <c r="F281" s="11">
        <f t="shared" si="190"/>
        <v>-7.9603068982760816E-2</v>
      </c>
      <c r="G281" s="200">
        <f t="shared" si="188"/>
        <v>1.7580363342254435E-2</v>
      </c>
    </row>
    <row r="282" spans="1:7" x14ac:dyDescent="0.2">
      <c r="A282" t="str">
        <f t="shared" si="183"/>
        <v>52 Skilled metal, electrical and electronic trades</v>
      </c>
      <c r="B282" s="11">
        <v>0.80588607528651823</v>
      </c>
      <c r="C282" s="11">
        <v>0.62011643531946947</v>
      </c>
      <c r="D282" s="11">
        <f t="shared" si="184"/>
        <v>-0.18576963996704876</v>
      </c>
      <c r="E282" s="11">
        <v>0.23588041619478797</v>
      </c>
      <c r="F282" s="11">
        <f t="shared" si="190"/>
        <v>5.0110776227739212E-2</v>
      </c>
      <c r="G282" s="200">
        <f t="shared" si="188"/>
        <v>1.7262688273640414E-2</v>
      </c>
    </row>
    <row r="283" spans="1:7" x14ac:dyDescent="0.2">
      <c r="A283" t="str">
        <f t="shared" si="183"/>
        <v>53 Skilled construction and building trades</v>
      </c>
      <c r="B283" s="11">
        <v>0.76749619767815502</v>
      </c>
      <c r="C283" s="11">
        <v>0.21815674997919779</v>
      </c>
      <c r="D283" s="11">
        <f t="shared" si="184"/>
        <v>-0.54933944769895726</v>
      </c>
      <c r="E283" s="11">
        <v>0.14803175067417396</v>
      </c>
      <c r="F283" s="11">
        <f t="shared" ref="F283" si="191">SUM(D283:E283)</f>
        <v>-0.40130769702478331</v>
      </c>
      <c r="G283" s="200">
        <f t="shared" si="188"/>
        <v>1.1827219350680318E-2</v>
      </c>
    </row>
    <row r="284" spans="1:7" x14ac:dyDescent="0.2">
      <c r="A284" t="str">
        <f t="shared" si="183"/>
        <v>54 Textiles, printing and other skilled trades</v>
      </c>
      <c r="B284" s="11">
        <v>0.72128503851836634</v>
      </c>
      <c r="C284" s="11">
        <v>0.3640049365065211</v>
      </c>
      <c r="D284" s="11">
        <f t="shared" si="184"/>
        <v>-0.35728010201184524</v>
      </c>
      <c r="E284" s="11">
        <v>0.16458399133881862</v>
      </c>
      <c r="F284" s="11">
        <f t="shared" ref="F284" si="192">SUM(D284:E284)</f>
        <v>-0.19269611067302661</v>
      </c>
      <c r="G284" s="200">
        <f t="shared" si="188"/>
        <v>1.3796621692491406E-2</v>
      </c>
    </row>
    <row r="285" spans="1:7" x14ac:dyDescent="0.2">
      <c r="A285" t="str">
        <f t="shared" si="183"/>
        <v>61 Caring personal service occupations</v>
      </c>
      <c r="B285" s="11">
        <v>0.35576059852997477</v>
      </c>
      <c r="C285" s="11">
        <v>0.55240333167130395</v>
      </c>
      <c r="D285" s="11">
        <f>C285-B285</f>
        <v>0.19664273314132918</v>
      </c>
      <c r="E285" s="11">
        <v>0.14721216640530202</v>
      </c>
      <c r="F285" s="11">
        <f>SUM(D285:E285)</f>
        <v>0.34385489954663118</v>
      </c>
      <c r="G285" s="200">
        <f t="shared" si="188"/>
        <v>2.3353725214108723E-2</v>
      </c>
    </row>
    <row r="286" spans="1:7" x14ac:dyDescent="0.2">
      <c r="A286" t="str">
        <f t="shared" si="183"/>
        <v>62 Leisure, travel and related personal service occupations</v>
      </c>
      <c r="B286" s="11">
        <v>0.49276766034611624</v>
      </c>
      <c r="C286" s="11">
        <v>0.18466484099635128</v>
      </c>
      <c r="D286" s="11">
        <f t="shared" ref="D286:D292" si="193">C286-B286</f>
        <v>-0.30810281934976497</v>
      </c>
      <c r="E286" s="11">
        <v>0.10133287735864165</v>
      </c>
      <c r="F286" s="11">
        <f t="shared" ref="F286:F287" si="194">SUM(D286:E286)</f>
        <v>-0.20676994199112331</v>
      </c>
      <c r="G286" s="200">
        <f t="shared" si="188"/>
        <v>1.2545426810545601E-2</v>
      </c>
    </row>
    <row r="287" spans="1:7" x14ac:dyDescent="0.2">
      <c r="A287" t="str">
        <f t="shared" si="183"/>
        <v>63 Community and civil enforcement occupations</v>
      </c>
      <c r="B287" s="11">
        <v>2.7368929434454691E-2</v>
      </c>
      <c r="C287" s="11">
        <v>9.4082406101108872E-3</v>
      </c>
      <c r="D287" s="11">
        <f t="shared" si="193"/>
        <v>-1.7960688824343804E-2</v>
      </c>
      <c r="E287" s="11">
        <v>3.4289579163313266E-3</v>
      </c>
      <c r="F287" s="11">
        <f t="shared" si="194"/>
        <v>-1.4531730908012477E-2</v>
      </c>
      <c r="G287" s="200">
        <f t="shared" si="188"/>
        <v>7.9002225250854874E-3</v>
      </c>
    </row>
    <row r="288" spans="1:7" x14ac:dyDescent="0.2">
      <c r="A288" t="str">
        <f t="shared" si="183"/>
        <v>71 Sales occupations</v>
      </c>
      <c r="B288" s="11">
        <v>1.8072933599954772</v>
      </c>
      <c r="C288" s="11">
        <v>1.0043177265346939</v>
      </c>
      <c r="D288" s="11">
        <f t="shared" si="193"/>
        <v>-0.80297563346078338</v>
      </c>
      <c r="E288" s="11">
        <v>0.36918179684863833</v>
      </c>
      <c r="F288" s="11">
        <f t="shared" ref="F288:F289" si="195">SUM(D288:E288)</f>
        <v>-0.43379383661214505</v>
      </c>
      <c r="G288" s="200">
        <f t="shared" si="188"/>
        <v>1.2468850770628759E-2</v>
      </c>
    </row>
    <row r="289" spans="1:7" x14ac:dyDescent="0.2">
      <c r="A289" t="str">
        <f t="shared" si="183"/>
        <v>72 Customer service occupations</v>
      </c>
      <c r="B289" s="11">
        <v>0.28516895332567138</v>
      </c>
      <c r="C289" s="11">
        <v>0.42062485362087471</v>
      </c>
      <c r="D289" s="11">
        <f t="shared" si="193"/>
        <v>0.13545590029520332</v>
      </c>
      <c r="E289" s="11">
        <v>0.12680585448536655</v>
      </c>
      <c r="F289" s="11">
        <f t="shared" si="195"/>
        <v>0.2622617547805699</v>
      </c>
      <c r="G289" s="200">
        <f t="shared" si="188"/>
        <v>2.4828578933019374E-2</v>
      </c>
    </row>
    <row r="290" spans="1:7" x14ac:dyDescent="0.2">
      <c r="A290" t="str">
        <f t="shared" si="183"/>
        <v>81 Process, plant and machine operatives</v>
      </c>
      <c r="B290" s="11">
        <v>1.6139610978481269</v>
      </c>
      <c r="C290" s="11">
        <v>0.35115150627520908</v>
      </c>
      <c r="D290" s="11">
        <f t="shared" si="193"/>
        <v>-1.2628095915729178</v>
      </c>
      <c r="E290" s="11">
        <v>0.19165630748641274</v>
      </c>
      <c r="F290" s="11">
        <f t="shared" ref="F290:F291" si="196">SUM(D290:E290)</f>
        <v>-1.071153284086505</v>
      </c>
      <c r="G290" s="200">
        <f t="shared" si="188"/>
        <v>7.5087919482488275E-3</v>
      </c>
    </row>
    <row r="291" spans="1:7" x14ac:dyDescent="0.2">
      <c r="A291" t="str">
        <f t="shared" si="183"/>
        <v>82 Transport and mobile machine drivers and operatives</v>
      </c>
      <c r="B291" s="11">
        <v>2.1429000612237465</v>
      </c>
      <c r="C291" s="11">
        <v>1.1600234247535548</v>
      </c>
      <c r="D291" s="11">
        <f t="shared" si="193"/>
        <v>-0.98287663647019174</v>
      </c>
      <c r="E291" s="11">
        <v>0.68957232781084055</v>
      </c>
      <c r="F291" s="11">
        <f t="shared" si="196"/>
        <v>-0.2933043086593512</v>
      </c>
      <c r="G291" s="200">
        <f t="shared" si="188"/>
        <v>1.8773370525322797E-2</v>
      </c>
    </row>
    <row r="292" spans="1:7" x14ac:dyDescent="0.2">
      <c r="A292" t="str">
        <f t="shared" si="183"/>
        <v>91 Elementary trades and related occupations</v>
      </c>
      <c r="B292" s="11">
        <v>1.3415615447017244</v>
      </c>
      <c r="C292" s="11">
        <v>1.6997506731924579</v>
      </c>
      <c r="D292" s="11">
        <f t="shared" si="193"/>
        <v>0.35818912849073348</v>
      </c>
      <c r="E292" s="11">
        <v>0.64849641187396878</v>
      </c>
      <c r="F292" s="11">
        <f t="shared" ref="F292" si="197">SUM(D292:E292)</f>
        <v>1.0066855403647024</v>
      </c>
      <c r="G292" s="200">
        <f t="shared" si="188"/>
        <v>2.6637227086818038E-2</v>
      </c>
    </row>
    <row r="293" spans="1:7" x14ac:dyDescent="0.2">
      <c r="A293" t="str">
        <f t="shared" si="183"/>
        <v>92 Elementary administration and service occupations</v>
      </c>
      <c r="B293" s="11">
        <v>3.465003600070915</v>
      </c>
      <c r="C293" s="11">
        <v>1.4149731380359349</v>
      </c>
      <c r="D293" s="11">
        <f t="shared" ref="D293" si="198">C293-B293</f>
        <v>-2.0500304620349801</v>
      </c>
      <c r="E293" s="11">
        <v>0.59932297008662749</v>
      </c>
      <c r="F293" s="11">
        <f t="shared" ref="F293" si="199">SUM(D293:E293)</f>
        <v>-1.4507074919483527</v>
      </c>
      <c r="G293" s="200">
        <f t="shared" ref="G293:G294" si="200">IF(B293&gt;0,(1+(E293/B293))^(1/($C$6-$B$6))-1,0)</f>
        <v>1.069238546729312E-2</v>
      </c>
    </row>
    <row r="294" spans="1:7" x14ac:dyDescent="0.2">
      <c r="A294" s="24" t="str">
        <f t="shared" si="183"/>
        <v>All occupations</v>
      </c>
      <c r="B294" s="34">
        <f>SUM(B268:B293)</f>
        <v>19.625003721124724</v>
      </c>
      <c r="C294" s="34">
        <f t="shared" ref="C294:F294" si="201">SUM(C268:C293)</f>
        <v>13.283437900320108</v>
      </c>
      <c r="D294" s="34">
        <f t="shared" si="201"/>
        <v>-6.3415658208046146</v>
      </c>
      <c r="E294" s="34">
        <f t="shared" si="201"/>
        <v>5.5565765801009546</v>
      </c>
      <c r="F294" s="34">
        <f t="shared" si="201"/>
        <v>-0.7849892407036605</v>
      </c>
      <c r="G294" s="234">
        <f t="shared" si="200"/>
        <v>1.6759445411743012E-2</v>
      </c>
    </row>
  </sheetData>
  <mergeCells count="4">
    <mergeCell ref="A1:G2"/>
    <mergeCell ref="I1:N2"/>
    <mergeCell ref="P1:V2"/>
    <mergeCell ref="X1:AD2"/>
  </mergeCells>
  <phoneticPr fontId="4" type="noConversion"/>
  <pageMargins left="0.39370078740157483" right="0.39370078740157483" top="0.39370078740157483" bottom="0.39370078740157483" header="0.51181102362204722" footer="0.51181102362204722"/>
  <pageSetup paperSize="9" scale="63" orientation="portrait" r:id="rId1"/>
  <headerFooter alignWithMargins="0"/>
  <rowBreaks count="5" manualBreakCount="5">
    <brk id="61" min="8" max="14" man="1"/>
    <brk id="62" max="7" man="1"/>
    <brk id="120" max="7" man="1"/>
    <brk id="178" max="7" man="1"/>
    <brk id="236" max="7" man="1"/>
  </rowBreaks>
  <colBreaks count="1" manualBreakCount="1">
    <brk id="8" max="1048575" man="1"/>
  </colBreaks>
  <drawing r:id="rId2"/>
</worksheet>
</file>

<file path=xl/worksheets/sheet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D00-000000000000}">
  <sheetPr codeName="Sheet20"/>
  <dimension ref="A1:Q65"/>
  <sheetViews>
    <sheetView zoomScale="85" zoomScaleNormal="85" workbookViewId="0"/>
  </sheetViews>
  <sheetFormatPr defaultRowHeight="12.75" x14ac:dyDescent="0.2"/>
  <cols>
    <col min="1" max="14" width="9.140625" style="81"/>
    <col min="15" max="15" width="44.140625" customWidth="1"/>
    <col min="16" max="17" width="16.85546875" customWidth="1"/>
  </cols>
  <sheetData>
    <row r="1" spans="1:17" ht="15.75" x14ac:dyDescent="0.25">
      <c r="A1" s="80" t="str">
        <f>CONCATENATE("Replacement Demand Figure 1  Replacement Demand by Occupation Group (SOC 2020), ",P4,", ",Info!B5)</f>
        <v>Replacement Demand Figure 1  Replacement Demand by Occupation Group (SOC 2020), 2020-2035, Greater Lincolnshire</v>
      </c>
    </row>
    <row r="2" spans="1:17" x14ac:dyDescent="0.2">
      <c r="A2" s="364" t="s">
        <v>519</v>
      </c>
    </row>
    <row r="3" spans="1:17" x14ac:dyDescent="0.2">
      <c r="O3" s="46" t="s">
        <v>415</v>
      </c>
    </row>
    <row r="4" spans="1:17" x14ac:dyDescent="0.2">
      <c r="P4" s="16" t="str">
        <f>'Occ T1'!H4</f>
        <v>2020-2035</v>
      </c>
    </row>
    <row r="5" spans="1:17" x14ac:dyDescent="0.2">
      <c r="P5" s="16" t="str">
        <f>CONCATENATE('Occ T1'!H5," ",'Occ T1'!H6)</f>
        <v>Net Change</v>
      </c>
      <c r="Q5" s="16" t="str">
        <f>CONCATENATE('Occ T1'!J5," ",'Occ T1'!J6)</f>
        <v>Total Requirement</v>
      </c>
    </row>
    <row r="6" spans="1:17" x14ac:dyDescent="0.2">
      <c r="P6" s="11"/>
      <c r="Q6" s="11"/>
    </row>
    <row r="7" spans="1:17" x14ac:dyDescent="0.2">
      <c r="O7" t="str">
        <f>name!E12</f>
        <v>Elementary occupations</v>
      </c>
      <c r="P7" s="11">
        <f>'Occ T1'!H16</f>
        <v>-0.58030546248888726</v>
      </c>
      <c r="Q7" s="11">
        <f>'Occ T1'!J16</f>
        <v>26.448018092752484</v>
      </c>
    </row>
    <row r="8" spans="1:17" x14ac:dyDescent="0.2">
      <c r="O8" t="str">
        <f>name!E11</f>
        <v>Process, plant and machine operatives</v>
      </c>
      <c r="P8" s="11">
        <f>'Occ T1'!H15</f>
        <v>-2.2685466546564825</v>
      </c>
      <c r="Q8" s="11">
        <f>'Occ T1'!J15</f>
        <v>16.675661588018862</v>
      </c>
    </row>
    <row r="9" spans="1:17" x14ac:dyDescent="0.2">
      <c r="O9" t="str">
        <f>name!E10</f>
        <v>Sales and customer service occupations</v>
      </c>
      <c r="P9" s="11">
        <f>'Occ T1'!H14</f>
        <v>-0.30597570141706143</v>
      </c>
      <c r="Q9" s="11">
        <f>'Occ T1'!J14</f>
        <v>19.659036551660179</v>
      </c>
    </row>
    <row r="10" spans="1:17" x14ac:dyDescent="0.2">
      <c r="O10" t="str">
        <f>name!E9</f>
        <v>Caring, leisure and other service occupations</v>
      </c>
      <c r="P10" s="11">
        <f>'Occ T1'!H13</f>
        <v>3.5811481962912879</v>
      </c>
      <c r="Q10" s="11">
        <f>'Occ T1'!J13</f>
        <v>35.171174379665068</v>
      </c>
    </row>
    <row r="11" spans="1:17" x14ac:dyDescent="0.2">
      <c r="O11" t="str">
        <f>name!E8</f>
        <v>Skilled trades occupations</v>
      </c>
      <c r="P11" s="11">
        <f>'Occ T1'!H12</f>
        <v>-5.2980505259916129</v>
      </c>
      <c r="Q11" s="11">
        <f>'Occ T1'!J12</f>
        <v>14.247051746782827</v>
      </c>
    </row>
    <row r="12" spans="1:17" x14ac:dyDescent="0.2">
      <c r="O12" t="str">
        <f>name!E7</f>
        <v>Administrative and secretarial occupations</v>
      </c>
      <c r="P12" s="11">
        <f>'Occ T1'!H11</f>
        <v>-2.9755141227320436</v>
      </c>
      <c r="Q12" s="11">
        <f>'Occ T1'!J11</f>
        <v>22.426326149377196</v>
      </c>
    </row>
    <row r="13" spans="1:17" x14ac:dyDescent="0.2">
      <c r="O13" t="str">
        <f>name!E6</f>
        <v>Associate professional occupations</v>
      </c>
      <c r="P13" s="11">
        <f>'Occ T1'!H10</f>
        <v>8.3615330189357735</v>
      </c>
      <c r="Q13" s="11">
        <f>'Occ T1'!J10</f>
        <v>38.89908591550045</v>
      </c>
    </row>
    <row r="14" spans="1:17" x14ac:dyDescent="0.2">
      <c r="O14" t="str">
        <f>name!E5</f>
        <v>Professional occupations</v>
      </c>
      <c r="P14" s="11">
        <f>'Occ T1'!H9</f>
        <v>16.517490590159241</v>
      </c>
      <c r="Q14" s="11">
        <f>'Occ T1'!J9</f>
        <v>65.760557711882441</v>
      </c>
    </row>
    <row r="15" spans="1:17" x14ac:dyDescent="0.2">
      <c r="O15" t="str">
        <f>name!E4</f>
        <v>Managers, directors and senior officials</v>
      </c>
      <c r="P15" s="11">
        <f>'Occ T1'!H8</f>
        <v>1.0352206618994799</v>
      </c>
      <c r="Q15" s="11">
        <f>'Occ T1'!J8</f>
        <v>28.31743888931123</v>
      </c>
    </row>
    <row r="34" spans="1:17" ht="15.75" x14ac:dyDescent="0.25">
      <c r="A34" s="80" t="str">
        <f>CONCATENATE("Replacement Demand Figure 1.1  Replacement Demand by Occupation (SOC 2020), ",P35,", ",Info!B5)</f>
        <v>Replacement Demand Figure 1.1  Replacement Demand by Occupation (SOC 2020), 2020-2035, Greater Lincolnshire</v>
      </c>
      <c r="O34" s="46" t="s">
        <v>415</v>
      </c>
    </row>
    <row r="35" spans="1:17" x14ac:dyDescent="0.2">
      <c r="P35" s="16" t="str">
        <f>'Occ T1'!H4</f>
        <v>2020-2035</v>
      </c>
    </row>
    <row r="36" spans="1:17" x14ac:dyDescent="0.2">
      <c r="P36" s="16" t="str">
        <f>CONCATENATE('Occ T1'!H5," ",'Occ T1'!H6)</f>
        <v>Net Change</v>
      </c>
      <c r="Q36" s="16" t="str">
        <f>CONCATENATE('Occ T1'!J5," ",'Occ T1'!J6)</f>
        <v>Total Requirement</v>
      </c>
    </row>
    <row r="37" spans="1:17" x14ac:dyDescent="0.2">
      <c r="O37" s="10" t="str">
        <f>name!D4</f>
        <v>11 Corporate managers and directors</v>
      </c>
      <c r="P37" s="11">
        <f>'Occ T2'!H8</f>
        <v>-1.5122374746346736</v>
      </c>
      <c r="Q37" s="11">
        <f>'Occ T2'!J8</f>
        <v>15.874129639220463</v>
      </c>
    </row>
    <row r="38" spans="1:17" x14ac:dyDescent="0.2">
      <c r="O38" s="10" t="str">
        <f>name!D5</f>
        <v>12 Other managers and proprietors</v>
      </c>
      <c r="P38" s="11">
        <f>'Occ T2'!H9</f>
        <v>2.54745813653415</v>
      </c>
      <c r="Q38" s="11">
        <f>'Occ T2'!J9</f>
        <v>12.443309250090763</v>
      </c>
    </row>
    <row r="39" spans="1:17" x14ac:dyDescent="0.2">
      <c r="O39" s="10" t="str">
        <f>name!D6</f>
        <v>21 Science, research, engineering and technology professionals</v>
      </c>
      <c r="P39" s="11">
        <f>'Occ T2'!H10</f>
        <v>11.504705147656846</v>
      </c>
      <c r="Q39" s="11">
        <f>'Occ T2'!J10</f>
        <v>24.461021465265205</v>
      </c>
    </row>
    <row r="40" spans="1:17" x14ac:dyDescent="0.2">
      <c r="O40" s="10" t="str">
        <f>name!D7</f>
        <v>22 Health professionals</v>
      </c>
      <c r="P40" s="11">
        <f>'Occ T2'!H11</f>
        <v>0.99863054774898075</v>
      </c>
      <c r="Q40" s="11">
        <f>'Occ T2'!J11</f>
        <v>12.592021938011236</v>
      </c>
    </row>
    <row r="41" spans="1:17" x14ac:dyDescent="0.2">
      <c r="O41" s="10" t="str">
        <f>name!D8</f>
        <v>23 Teaching and other educational professionals</v>
      </c>
      <c r="P41" s="11">
        <f>'Occ T2'!H12</f>
        <v>-0.86812649724724267</v>
      </c>
      <c r="Q41" s="11">
        <f>'Occ T2'!J12</f>
        <v>7.9888539887299377</v>
      </c>
    </row>
    <row r="42" spans="1:17" x14ac:dyDescent="0.2">
      <c r="O42" s="10" t="str">
        <f>name!D9</f>
        <v>24 Business, media and public service professionals</v>
      </c>
      <c r="P42" s="11">
        <f>'Occ T2'!H13</f>
        <v>4.8822813920006674</v>
      </c>
      <c r="Q42" s="11">
        <f>'Occ T2'!J13</f>
        <v>20.718660319876079</v>
      </c>
    </row>
    <row r="43" spans="1:17" x14ac:dyDescent="0.2">
      <c r="O43" s="10" t="str">
        <f>name!D10</f>
        <v>31 Science, engineering and technology associate professionals</v>
      </c>
      <c r="P43" s="11">
        <f>'Occ T2'!H14</f>
        <v>-5.2150216649019754E-2</v>
      </c>
      <c r="Q43" s="11">
        <f>'Occ T2'!J14</f>
        <v>3.8241574758025783</v>
      </c>
    </row>
    <row r="44" spans="1:17" x14ac:dyDescent="0.2">
      <c r="O44" s="10" t="str">
        <f>name!D11</f>
        <v>32 Health and social care associate professionals</v>
      </c>
      <c r="P44" s="11">
        <f>'Occ T2'!H15</f>
        <v>8.3345936317451699</v>
      </c>
      <c r="Q44" s="11">
        <f>'Occ T2'!J15</f>
        <v>17.439248724971392</v>
      </c>
    </row>
    <row r="45" spans="1:17" x14ac:dyDescent="0.2">
      <c r="O45" s="10" t="str">
        <f>name!D12</f>
        <v>33 Protective service occupations</v>
      </c>
      <c r="P45" s="11">
        <f>'Occ T2'!H16</f>
        <v>-0.49900293981924815</v>
      </c>
      <c r="Q45" s="11">
        <f>'Occ T2'!J16</f>
        <v>1.1487963395088319</v>
      </c>
    </row>
    <row r="46" spans="1:17" x14ac:dyDescent="0.2">
      <c r="O46" s="10" t="str">
        <f>name!D13</f>
        <v>34 Culture, media and sports occupations</v>
      </c>
      <c r="P46" s="11">
        <f>'Occ T2'!H17</f>
        <v>-0.68696758629196086</v>
      </c>
      <c r="Q46" s="11">
        <f>'Occ T2'!J17</f>
        <v>1.9482153523382268</v>
      </c>
    </row>
    <row r="47" spans="1:17" x14ac:dyDescent="0.2">
      <c r="O47" s="10" t="str">
        <f>name!D14</f>
        <v>35 Business and public service associate professionals</v>
      </c>
      <c r="P47" s="11">
        <f>'Occ T2'!H18</f>
        <v>1.2650601299508288</v>
      </c>
      <c r="Q47" s="11">
        <f>'Occ T2'!J18</f>
        <v>14.538668022879419</v>
      </c>
    </row>
    <row r="48" spans="1:17" x14ac:dyDescent="0.2">
      <c r="O48" s="10" t="str">
        <f>name!D15</f>
        <v>41 Administrative occupations</v>
      </c>
      <c r="P48" s="11">
        <f>'Occ T2'!H19</f>
        <v>-0.22647347361322545</v>
      </c>
      <c r="Q48" s="11">
        <f>'Occ T2'!J19</f>
        <v>21.088994006103967</v>
      </c>
    </row>
    <row r="49" spans="15:17" x14ac:dyDescent="0.2">
      <c r="O49" s="10" t="str">
        <f>name!D16</f>
        <v>42 Secretarial and related occupations</v>
      </c>
      <c r="P49" s="11">
        <f>'Occ T2'!H20</f>
        <v>-2.7490406491188173</v>
      </c>
      <c r="Q49" s="11">
        <f>'Occ T2'!J20</f>
        <v>1.3373321432732288</v>
      </c>
    </row>
    <row r="50" spans="15:17" x14ac:dyDescent="0.2">
      <c r="O50" s="10" t="str">
        <f>name!D17</f>
        <v>51 Skilled agricultural and related trades</v>
      </c>
      <c r="P50" s="11">
        <f>'Occ T2'!H21</f>
        <v>-0.80349844858393205</v>
      </c>
      <c r="Q50" s="11">
        <f>'Occ T2'!J21</f>
        <v>4.3542064508781193</v>
      </c>
    </row>
    <row r="51" spans="15:17" x14ac:dyDescent="0.2">
      <c r="O51" s="10" t="str">
        <f>name!D18</f>
        <v>52 Skilled metal, electrical and electronic trades</v>
      </c>
      <c r="P51" s="11">
        <f>'Occ T2'!H22</f>
        <v>-1.8689754160394614</v>
      </c>
      <c r="Q51" s="11">
        <f>'Occ T2'!J22</f>
        <v>4.6268767766520558</v>
      </c>
    </row>
    <row r="52" spans="15:17" x14ac:dyDescent="0.2">
      <c r="O52" s="10" t="str">
        <f>name!D19</f>
        <v>53 Skilled construction and building trades</v>
      </c>
      <c r="P52" s="11">
        <f>'Occ T2'!H23</f>
        <v>-1.9545292325523675</v>
      </c>
      <c r="Q52" s="11">
        <f>'Occ T2'!J23</f>
        <v>2.2484306670683853</v>
      </c>
    </row>
    <row r="53" spans="15:17" x14ac:dyDescent="0.2">
      <c r="O53" s="10" t="str">
        <f>name!D20</f>
        <v>54 Textiles, printing and other skilled trades</v>
      </c>
      <c r="P53" s="11">
        <f>'Occ T2'!H24</f>
        <v>-0.67104742881584301</v>
      </c>
      <c r="Q53" s="11">
        <f>'Occ T2'!J24</f>
        <v>3.0175378521842742</v>
      </c>
    </row>
    <row r="54" spans="15:17" x14ac:dyDescent="0.2">
      <c r="O54" s="10" t="str">
        <f>name!D21</f>
        <v>61 Caring personal service occupations</v>
      </c>
      <c r="P54" s="11">
        <f>'Occ T2'!H25</f>
        <v>4.6133615373514871</v>
      </c>
      <c r="Q54" s="11">
        <f>'Occ T2'!J25</f>
        <v>29.919980207305876</v>
      </c>
    </row>
    <row r="55" spans="15:17" x14ac:dyDescent="0.2">
      <c r="O55" s="10" t="str">
        <f>name!D22</f>
        <v>62 Leisure, travel and related personal service occupations</v>
      </c>
      <c r="P55" s="11">
        <f>'Occ T2'!H26</f>
        <v>-0.95194037749309146</v>
      </c>
      <c r="Q55" s="11">
        <f>'Occ T2'!J26</f>
        <v>5.1271998357619113</v>
      </c>
    </row>
    <row r="56" spans="15:17" x14ac:dyDescent="0.2">
      <c r="O56" s="10" t="str">
        <f>name!D23</f>
        <v>63 Community and civil enforcement occupations</v>
      </c>
      <c r="P56" s="11">
        <f>'Occ T2'!H27</f>
        <v>-8.0272963567101896E-2</v>
      </c>
      <c r="Q56" s="11">
        <f>'Occ T2'!J27</f>
        <v>0.12399433659728687</v>
      </c>
    </row>
    <row r="57" spans="15:17" x14ac:dyDescent="0.2">
      <c r="O57" s="10" t="str">
        <f>name!D24</f>
        <v>71 Sales occupations</v>
      </c>
      <c r="P57" s="11">
        <f>'Occ T2'!H28</f>
        <v>-2.0180228862945455</v>
      </c>
      <c r="Q57" s="11">
        <f>'Occ T2'!J28</f>
        <v>13.713412141986909</v>
      </c>
    </row>
    <row r="58" spans="15:17" x14ac:dyDescent="0.2">
      <c r="O58" s="10" t="str">
        <f>name!D25</f>
        <v>72 Customer service occupations</v>
      </c>
      <c r="P58" s="11">
        <f>'Occ T2'!H29</f>
        <v>1.7120471848774823</v>
      </c>
      <c r="Q58" s="11">
        <f>'Occ T2'!J29</f>
        <v>5.9456244096732664</v>
      </c>
    </row>
    <row r="59" spans="15:17" x14ac:dyDescent="0.2">
      <c r="O59" s="10" t="str">
        <f>name!D26</f>
        <v>81 Process, plant and machine operatives</v>
      </c>
      <c r="P59" s="11">
        <f>'Occ T2'!H30</f>
        <v>-1.1306554681072321</v>
      </c>
      <c r="Q59" s="11">
        <f>'Occ T2'!J30</f>
        <v>6.8258529098488392</v>
      </c>
    </row>
    <row r="60" spans="15:17" x14ac:dyDescent="0.2">
      <c r="O60" s="10" t="str">
        <f>name!D27</f>
        <v>82 Transport and mobile machine drivers and operatives</v>
      </c>
      <c r="P60" s="11">
        <f>'Occ T2'!H31</f>
        <v>-1.1378911865492469</v>
      </c>
      <c r="Q60" s="11">
        <f>'Occ T2'!J31</f>
        <v>9.8498086781700245</v>
      </c>
    </row>
    <row r="61" spans="15:17" x14ac:dyDescent="0.2">
      <c r="O61" s="10" t="str">
        <f>name!D28</f>
        <v>91 Elementary trades and related occupations</v>
      </c>
      <c r="P61" s="11">
        <f>'Occ T2'!H32</f>
        <v>8.7056909196960977</v>
      </c>
      <c r="Q61" s="11">
        <f>'Occ T2'!J32</f>
        <v>17.133047996881508</v>
      </c>
    </row>
    <row r="62" spans="15:17" x14ac:dyDescent="0.2">
      <c r="O62" s="10" t="str">
        <f>name!D29</f>
        <v>92 Elementary administration and service occupations</v>
      </c>
      <c r="P62" s="11">
        <f>'Occ T2'!H33</f>
        <v>-9.2859963821849902</v>
      </c>
      <c r="Q62" s="11">
        <f>'Occ T2'!J33</f>
        <v>9.3149700958709722</v>
      </c>
    </row>
    <row r="63" spans="15:17" x14ac:dyDescent="0.2">
      <c r="O63" s="10"/>
      <c r="P63" s="11"/>
      <c r="Q63" s="11"/>
    </row>
    <row r="64" spans="15:17" x14ac:dyDescent="0.2">
      <c r="O64" s="10" t="str">
        <f>name!D3</f>
        <v>All occupations</v>
      </c>
      <c r="P64" s="11">
        <f>'Occ T2'!H35</f>
        <v>18.066999999999666</v>
      </c>
      <c r="Q64" s="11">
        <f>'Occ T2'!J35</f>
        <v>267.60435102495074</v>
      </c>
    </row>
    <row r="65" spans="15:15" x14ac:dyDescent="0.2">
      <c r="O65" s="10" t="str">
        <f>name!D31</f>
        <v xml:space="preserve"> </v>
      </c>
    </row>
  </sheetData>
  <phoneticPr fontId="4" type="noConversion"/>
  <pageMargins left="0.75" right="0.75" top="1" bottom="1" header="0.5" footer="0.5"/>
  <pageSetup paperSize="9" scale="80" orientation="landscape" r:id="rId1"/>
  <headerFooter alignWithMargins="0"/>
  <rowBreaks count="1" manualBreakCount="1">
    <brk id="33" max="13" man="1"/>
  </rowBreaks>
  <colBreaks count="1" manualBreakCount="1">
    <brk id="14" max="1048575" man="1"/>
  </colBreaks>
  <drawing r:id="rId2"/>
</worksheet>
</file>

<file path=xl/worksheets/sheet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E00-000000000000}">
  <sheetPr codeName="Sheet25"/>
  <dimension ref="A1:AN101"/>
  <sheetViews>
    <sheetView showGridLines="0" zoomScale="85" zoomScaleNormal="85" workbookViewId="0"/>
  </sheetViews>
  <sheetFormatPr defaultColWidth="9.140625" defaultRowHeight="12.75" x14ac:dyDescent="0.2"/>
  <cols>
    <col min="1" max="1" width="37.5703125" style="13" customWidth="1"/>
    <col min="2" max="40" width="7.7109375" style="13" customWidth="1"/>
    <col min="41" max="16384" width="9.140625" style="13"/>
  </cols>
  <sheetData>
    <row r="1" spans="1:40" ht="15.75" x14ac:dyDescent="0.25">
      <c r="A1" s="19" t="str">
        <f>CONCATENATE("Basic Table 1  Employment by Industry Sector, Occupation Group and Qualification, ",B$5,"-",D$5,", ",Info!B5)</f>
        <v>Basic Table 1  Employment by Industry Sector, Occupation Group and Qualification, 2020-2035, Greater Lincolnshire</v>
      </c>
    </row>
    <row r="2" spans="1:40" ht="12.75" customHeight="1" x14ac:dyDescent="0.2">
      <c r="A2" s="182" t="s">
        <v>523</v>
      </c>
    </row>
    <row r="3" spans="1:40" ht="12.75" customHeight="1" x14ac:dyDescent="0.25">
      <c r="A3" s="19"/>
      <c r="AN3" s="38" t="s">
        <v>36</v>
      </c>
    </row>
    <row r="4" spans="1:40" ht="24.75" customHeight="1" x14ac:dyDescent="0.2">
      <c r="A4" s="78"/>
      <c r="B4" s="382" t="str">
        <f>name!F3</f>
        <v>All qualifications</v>
      </c>
      <c r="C4" s="382"/>
      <c r="D4" s="382"/>
      <c r="E4" s="78"/>
      <c r="F4" s="383" t="str">
        <f>name!F4</f>
        <v>RQF8 Doctorate</v>
      </c>
      <c r="G4" s="383"/>
      <c r="H4" s="383"/>
      <c r="I4" s="78"/>
      <c r="J4" s="383" t="str">
        <f>name!F5</f>
        <v>RQF7 Other higher degree</v>
      </c>
      <c r="K4" s="383"/>
      <c r="L4" s="383"/>
      <c r="M4" s="78"/>
      <c r="N4" s="383" t="str">
        <f>name!F6</f>
        <v>RQF6 First degree</v>
      </c>
      <c r="O4" s="383"/>
      <c r="P4" s="383"/>
      <c r="Q4" s="78"/>
      <c r="R4" s="383" t="str">
        <f>name!F7</f>
        <v>RQF5 Foundation degree;Nursing;Teaching</v>
      </c>
      <c r="S4" s="383"/>
      <c r="T4" s="383"/>
      <c r="U4" s="78"/>
      <c r="V4" s="383" t="str">
        <f>name!F8</f>
        <v>RQF4 HE below degree level</v>
      </c>
      <c r="W4" s="383"/>
      <c r="X4" s="383"/>
      <c r="Y4" s="78"/>
      <c r="Z4" s="383" t="str">
        <f>name!F9</f>
        <v>RQF3 A level &amp; equivalent</v>
      </c>
      <c r="AA4" s="383"/>
      <c r="AB4" s="383"/>
      <c r="AC4" s="78"/>
      <c r="AD4" s="383" t="str">
        <f>name!F10</f>
        <v>RQF2 GCSE(A-C) &amp; equivalent</v>
      </c>
      <c r="AE4" s="383"/>
      <c r="AF4" s="383"/>
      <c r="AG4" s="78"/>
      <c r="AH4" s="383" t="str">
        <f>name!F11</f>
        <v>RQF1 GCSE(below grade C) &amp; equivalent</v>
      </c>
      <c r="AI4" s="383"/>
      <c r="AJ4" s="383"/>
      <c r="AK4" s="78"/>
      <c r="AL4" s="383" t="str">
        <f>name!F12</f>
        <v>No Qualification</v>
      </c>
      <c r="AM4" s="383"/>
      <c r="AN4" s="383"/>
    </row>
    <row r="5" spans="1:40" x14ac:dyDescent="0.2">
      <c r="A5" s="39"/>
      <c r="B5" s="42">
        <v>2020</v>
      </c>
      <c r="C5" s="42">
        <v>2025</v>
      </c>
      <c r="D5" s="42">
        <v>2035</v>
      </c>
      <c r="E5" s="39"/>
      <c r="F5" s="35">
        <f>B5</f>
        <v>2020</v>
      </c>
      <c r="G5" s="35">
        <f>C5</f>
        <v>2025</v>
      </c>
      <c r="H5" s="35">
        <f>D5</f>
        <v>2035</v>
      </c>
      <c r="I5" s="39"/>
      <c r="J5" s="35">
        <f>B5</f>
        <v>2020</v>
      </c>
      <c r="K5" s="35">
        <f>C5</f>
        <v>2025</v>
      </c>
      <c r="L5" s="35">
        <f>D5</f>
        <v>2035</v>
      </c>
      <c r="M5" s="39"/>
      <c r="N5" s="35">
        <f>B5</f>
        <v>2020</v>
      </c>
      <c r="O5" s="35">
        <f>C5</f>
        <v>2025</v>
      </c>
      <c r="P5" s="35">
        <f>D5</f>
        <v>2035</v>
      </c>
      <c r="Q5" s="39"/>
      <c r="R5" s="35">
        <f>F5</f>
        <v>2020</v>
      </c>
      <c r="S5" s="35">
        <f>G5</f>
        <v>2025</v>
      </c>
      <c r="T5" s="35">
        <f>H5</f>
        <v>2035</v>
      </c>
      <c r="U5" s="39"/>
      <c r="V5" s="35">
        <f>J5</f>
        <v>2020</v>
      </c>
      <c r="W5" s="35">
        <f>K5</f>
        <v>2025</v>
      </c>
      <c r="X5" s="35">
        <f>L5</f>
        <v>2035</v>
      </c>
      <c r="Y5" s="39"/>
      <c r="Z5" s="35">
        <f>N5</f>
        <v>2020</v>
      </c>
      <c r="AA5" s="35">
        <f>O5</f>
        <v>2025</v>
      </c>
      <c r="AB5" s="35">
        <f>P5</f>
        <v>2035</v>
      </c>
      <c r="AC5" s="39"/>
      <c r="AD5" s="35">
        <f>R5</f>
        <v>2020</v>
      </c>
      <c r="AE5" s="35">
        <f>S5</f>
        <v>2025</v>
      </c>
      <c r="AF5" s="35">
        <f>T5</f>
        <v>2035</v>
      </c>
      <c r="AG5" s="39"/>
      <c r="AH5" s="35">
        <f>V5</f>
        <v>2020</v>
      </c>
      <c r="AI5" s="35">
        <f>W5</f>
        <v>2025</v>
      </c>
      <c r="AJ5" s="35">
        <f>X5</f>
        <v>2035</v>
      </c>
      <c r="AK5" s="39"/>
      <c r="AL5" s="35">
        <f>Z5</f>
        <v>2020</v>
      </c>
      <c r="AM5" s="35">
        <f>AA5</f>
        <v>2025</v>
      </c>
      <c r="AN5" s="35">
        <f>AB5</f>
        <v>2035</v>
      </c>
    </row>
    <row r="7" spans="1:40" x14ac:dyDescent="0.2">
      <c r="A7" s="1" t="str">
        <f>name!C3</f>
        <v>All industries</v>
      </c>
      <c r="E7" s="77"/>
      <c r="F7" s="77"/>
      <c r="G7" s="77"/>
      <c r="H7" s="77"/>
      <c r="I7" s="77"/>
      <c r="J7" s="77"/>
      <c r="K7" s="77"/>
      <c r="L7" s="77"/>
      <c r="M7" s="77"/>
      <c r="N7" s="77"/>
      <c r="O7" s="77"/>
      <c r="P7" s="77"/>
      <c r="R7" s="77"/>
      <c r="S7" s="77"/>
      <c r="T7" s="77"/>
      <c r="V7" s="77"/>
      <c r="W7" s="77"/>
      <c r="X7" s="77"/>
      <c r="Z7" s="77"/>
      <c r="AA7" s="77"/>
      <c r="AB7" s="77"/>
      <c r="AD7" s="77"/>
      <c r="AE7" s="77"/>
      <c r="AF7" s="77"/>
      <c r="AH7" s="77"/>
      <c r="AI7" s="77"/>
      <c r="AJ7" s="77"/>
      <c r="AL7" s="77"/>
      <c r="AM7" s="77"/>
      <c r="AN7" s="77"/>
    </row>
    <row r="8" spans="1:40" x14ac:dyDescent="0.2">
      <c r="A8" s="13" t="str">
        <f>name!E3</f>
        <v>All occupations</v>
      </c>
      <c r="B8" s="305">
        <f>SUM(B9:B17)</f>
        <v>514.84500000000025</v>
      </c>
      <c r="C8" s="305">
        <f>SUM(C9:C17)</f>
        <v>520.37000000000023</v>
      </c>
      <c r="D8" s="305">
        <f>SUM(D9:D17)</f>
        <v>532.91200000000026</v>
      </c>
      <c r="E8" s="304"/>
      <c r="F8" s="305">
        <f>SUM(F9:F17)</f>
        <v>6.2511851360305215</v>
      </c>
      <c r="G8" s="305">
        <f>SUM(G9:G17)</f>
        <v>7.557172109566066</v>
      </c>
      <c r="H8" s="305">
        <f>SUM(H9:H17)</f>
        <v>9.8180059904802608</v>
      </c>
      <c r="I8" s="304"/>
      <c r="J8" s="305">
        <f>SUM(J9:J17)</f>
        <v>42.914344354753737</v>
      </c>
      <c r="K8" s="305">
        <f>SUM(K9:K17)</f>
        <v>51.727743713682045</v>
      </c>
      <c r="L8" s="305">
        <f>SUM(L9:L17)</f>
        <v>67.993666125501605</v>
      </c>
      <c r="M8" s="304"/>
      <c r="N8" s="305">
        <f>SUM(N9:N17)</f>
        <v>93.903645024450896</v>
      </c>
      <c r="O8" s="305">
        <f>SUM(O9:O17)</f>
        <v>102.82505998507901</v>
      </c>
      <c r="P8" s="305">
        <f>SUM(P9:P17)</f>
        <v>125.54968530465663</v>
      </c>
      <c r="Q8" s="306"/>
      <c r="R8" s="305">
        <f>SUM(R9:R17)</f>
        <v>28.149028553170805</v>
      </c>
      <c r="S8" s="305">
        <f>SUM(S9:S17)</f>
        <v>28.714998300947133</v>
      </c>
      <c r="T8" s="305">
        <f>SUM(T9:T17)</f>
        <v>33.086905154250545</v>
      </c>
      <c r="U8" s="306"/>
      <c r="V8" s="305">
        <f>SUM(V9:V17)</f>
        <v>28.776671926965918</v>
      </c>
      <c r="W8" s="305">
        <f>SUM(W9:W17)</f>
        <v>30.311458320597957</v>
      </c>
      <c r="X8" s="305">
        <f>SUM(X9:X17)</f>
        <v>36.225630706946994</v>
      </c>
      <c r="Y8" s="306"/>
      <c r="Z8" s="305">
        <f>SUM(Z9:Z17)</f>
        <v>116.13706559485921</v>
      </c>
      <c r="AA8" s="305">
        <f>SUM(AA9:AA17)</f>
        <v>117.96109253537779</v>
      </c>
      <c r="AB8" s="305">
        <f>SUM(AB9:AB17)</f>
        <v>123.77739001921455</v>
      </c>
      <c r="AC8" s="306"/>
      <c r="AD8" s="305">
        <f>SUM(AD9:AD17)</f>
        <v>108.75074157184628</v>
      </c>
      <c r="AE8" s="305">
        <f>SUM(AE9:AE17)</f>
        <v>100.82718434429091</v>
      </c>
      <c r="AF8" s="305">
        <f>SUM(AF9:AF17)</f>
        <v>84.329481581221799</v>
      </c>
      <c r="AG8" s="306"/>
      <c r="AH8" s="305">
        <f>SUM(AH9:AH17)</f>
        <v>70.337314116798154</v>
      </c>
      <c r="AI8" s="305">
        <f>SUM(AI9:AI17)</f>
        <v>61.974619444358794</v>
      </c>
      <c r="AJ8" s="305">
        <f>SUM(AJ9:AJ17)</f>
        <v>38.847797217407653</v>
      </c>
      <c r="AK8" s="306"/>
      <c r="AL8" s="305">
        <f>SUM(AL9:AL17)</f>
        <v>19.625003721124724</v>
      </c>
      <c r="AM8" s="305">
        <f>SUM(AM9:AM17)</f>
        <v>18.470671246100522</v>
      </c>
      <c r="AN8" s="305">
        <f>SUM(AN9:AN17)</f>
        <v>13.283437900320109</v>
      </c>
    </row>
    <row r="9" spans="1:40" x14ac:dyDescent="0.2">
      <c r="A9" s="13" t="str">
        <f>name!E4</f>
        <v>Managers, directors and senior officials</v>
      </c>
      <c r="B9" s="304">
        <f>SUM(B21,B33,B51,B63,B75,B93)</f>
        <v>54.908286938105853</v>
      </c>
      <c r="C9" s="304">
        <f t="shared" ref="B9:D17" si="0">SUM(C21,C33,C51,C63,C75,C93)</f>
        <v>51.386419923366425</v>
      </c>
      <c r="D9" s="304">
        <f t="shared" si="0"/>
        <v>55.943507600005411</v>
      </c>
      <c r="E9" s="304"/>
      <c r="F9" s="304">
        <f t="shared" ref="F9:H17" si="1">SUM(F21,F33,F51,F63,F75,F93)</f>
        <v>0.58209389175111026</v>
      </c>
      <c r="G9" s="304">
        <f t="shared" si="1"/>
        <v>0.66147397789874918</v>
      </c>
      <c r="H9" s="304">
        <f t="shared" si="1"/>
        <v>0.89765389367806925</v>
      </c>
      <c r="I9" s="304"/>
      <c r="J9" s="304">
        <f t="shared" ref="J9:L17" si="2">SUM(J21,J33,J51,J63,J75,J93)</f>
        <v>5.1730742563160774</v>
      </c>
      <c r="K9" s="304">
        <f t="shared" si="2"/>
        <v>5.716798210513435</v>
      </c>
      <c r="L9" s="304">
        <f t="shared" si="2"/>
        <v>7.6590339326623438</v>
      </c>
      <c r="M9" s="304"/>
      <c r="N9" s="304">
        <f t="shared" ref="N9:P17" si="3">SUM(N21,N33,N51,N63,N75,N93)</f>
        <v>13.804752232694046</v>
      </c>
      <c r="O9" s="304">
        <f t="shared" si="3"/>
        <v>13.641109909807042</v>
      </c>
      <c r="P9" s="304">
        <f t="shared" si="3"/>
        <v>16.675784565877301</v>
      </c>
      <c r="Q9" s="306"/>
      <c r="R9" s="304">
        <f t="shared" ref="R9:T9" si="4">SUM(R21,R33,R51,R63,R75,R93)</f>
        <v>3.1173943613257391</v>
      </c>
      <c r="S9" s="304">
        <f t="shared" si="4"/>
        <v>2.9232994803763974</v>
      </c>
      <c r="T9" s="304">
        <f t="shared" si="4"/>
        <v>3.4032632839846362</v>
      </c>
      <c r="U9" s="306"/>
      <c r="V9" s="304">
        <f t="shared" ref="V9:X9" si="5">SUM(V21,V33,V51,V63,V75,V93)</f>
        <v>4.2180842099596561</v>
      </c>
      <c r="W9" s="304">
        <f t="shared" si="5"/>
        <v>3.927138383227406</v>
      </c>
      <c r="X9" s="304">
        <f t="shared" si="5"/>
        <v>4.5848133323271769</v>
      </c>
      <c r="Y9" s="306"/>
      <c r="Z9" s="304">
        <f t="shared" ref="Z9:AB9" si="6">SUM(Z21,Z33,Z51,Z63,Z75,Z93)</f>
        <v>11.372365051079345</v>
      </c>
      <c r="AA9" s="304">
        <f t="shared" si="6"/>
        <v>10.416972157547354</v>
      </c>
      <c r="AB9" s="304">
        <f t="shared" si="6"/>
        <v>11.462967289993902</v>
      </c>
      <c r="AC9" s="306"/>
      <c r="AD9" s="304">
        <f>SUM(AD21,AD33,AD51,AD63,AD75,AD93)</f>
        <v>8.9157550121785842</v>
      </c>
      <c r="AE9" s="304">
        <f t="shared" ref="AE9:AF9" si="7">SUM(AE21,AE33,AE51,AE63,AE75,AE93)</f>
        <v>7.3285425881659947</v>
      </c>
      <c r="AF9" s="304">
        <f t="shared" si="7"/>
        <v>5.9982737147595779</v>
      </c>
      <c r="AG9" s="306"/>
      <c r="AH9" s="304">
        <f t="shared" ref="AH9:AJ9" si="8">SUM(AH21,AH33,AH51,AH63,AH75,AH93)</f>
        <v>6.3420965322495073</v>
      </c>
      <c r="AI9" s="304">
        <f t="shared" si="8"/>
        <v>5.2752277201786733</v>
      </c>
      <c r="AJ9" s="304">
        <f t="shared" si="8"/>
        <v>3.7386575436971667</v>
      </c>
      <c r="AK9" s="306"/>
      <c r="AL9" s="304">
        <f t="shared" ref="AL9:AN9" si="9">SUM(AL21,AL33,AL51,AL63,AL75,AL93)</f>
        <v>1.3826713905517798</v>
      </c>
      <c r="AM9" s="304">
        <f t="shared" si="9"/>
        <v>1.4958574956513693</v>
      </c>
      <c r="AN9" s="304">
        <f t="shared" si="9"/>
        <v>1.5230600430252415</v>
      </c>
    </row>
    <row r="10" spans="1:40" x14ac:dyDescent="0.2">
      <c r="A10" s="13" t="str">
        <f>name!E5</f>
        <v>Professional occupations</v>
      </c>
      <c r="B10" s="304">
        <f t="shared" si="0"/>
        <v>100.75322851210717</v>
      </c>
      <c r="C10" s="304">
        <f t="shared" si="0"/>
        <v>106.41960924409304</v>
      </c>
      <c r="D10" s="304">
        <f t="shared" si="0"/>
        <v>117.27071910226645</v>
      </c>
      <c r="E10" s="304"/>
      <c r="F10" s="304">
        <f t="shared" si="1"/>
        <v>4.5843337191797318</v>
      </c>
      <c r="G10" s="304">
        <f t="shared" si="1"/>
        <v>5.5175199039177683</v>
      </c>
      <c r="H10" s="304">
        <f t="shared" si="1"/>
        <v>6.9461055490970018</v>
      </c>
      <c r="I10" s="304"/>
      <c r="J10" s="304">
        <f t="shared" si="2"/>
        <v>23.307520403243529</v>
      </c>
      <c r="K10" s="304">
        <f t="shared" si="2"/>
        <v>27.25618751733376</v>
      </c>
      <c r="L10" s="304">
        <f t="shared" si="2"/>
        <v>33.891190640915653</v>
      </c>
      <c r="M10" s="304"/>
      <c r="N10" s="304">
        <f t="shared" si="3"/>
        <v>33.698443063140019</v>
      </c>
      <c r="O10" s="304">
        <f t="shared" si="3"/>
        <v>34.72651066615034</v>
      </c>
      <c r="P10" s="304">
        <f t="shared" si="3"/>
        <v>38.49350876076484</v>
      </c>
      <c r="Q10" s="306"/>
      <c r="R10" s="304">
        <f t="shared" ref="R10:T10" si="10">SUM(R22,R34,R52,R64,R76,R94)</f>
        <v>5.3088962820512782</v>
      </c>
      <c r="S10" s="304">
        <f t="shared" si="10"/>
        <v>3.9485531052100429</v>
      </c>
      <c r="T10" s="304">
        <f t="shared" si="10"/>
        <v>3.4927893939705679</v>
      </c>
      <c r="U10" s="306"/>
      <c r="V10" s="304">
        <f t="shared" ref="V10:X10" si="11">SUM(V22,V34,V52,V64,V76,V94)</f>
        <v>5.5336617066236338</v>
      </c>
      <c r="W10" s="304">
        <f t="shared" si="11"/>
        <v>5.8547044264405903</v>
      </c>
      <c r="X10" s="304">
        <f t="shared" si="11"/>
        <v>6.5933952503318496</v>
      </c>
      <c r="Y10" s="306"/>
      <c r="Z10" s="304">
        <f t="shared" ref="Z10:AB10" si="12">SUM(Z22,Z34,Z52,Z64,Z76,Z94)</f>
        <v>13.460418035067635</v>
      </c>
      <c r="AA10" s="304">
        <f t="shared" si="12"/>
        <v>14.594206109116691</v>
      </c>
      <c r="AB10" s="304">
        <f t="shared" si="12"/>
        <v>16.234617207296139</v>
      </c>
      <c r="AC10" s="306"/>
      <c r="AD10" s="304">
        <f t="shared" ref="AD10:AF10" si="13">SUM(AD22,AD34,AD52,AD64,AD76,AD94)</f>
        <v>8.5510612027592376</v>
      </c>
      <c r="AE10" s="304">
        <f t="shared" si="13"/>
        <v>8.0405744691485275</v>
      </c>
      <c r="AF10" s="304">
        <f t="shared" si="13"/>
        <v>6.8774020137291973</v>
      </c>
      <c r="AG10" s="306"/>
      <c r="AH10" s="304">
        <f t="shared" ref="AH10:AJ10" si="14">SUM(AH22,AH34,AH52,AH64,AH76,AH94)</f>
        <v>5.3168243227198895</v>
      </c>
      <c r="AI10" s="304">
        <f t="shared" si="14"/>
        <v>5.1921618574820307</v>
      </c>
      <c r="AJ10" s="304">
        <f t="shared" si="14"/>
        <v>3.5307959079328488</v>
      </c>
      <c r="AK10" s="306"/>
      <c r="AL10" s="304">
        <f t="shared" ref="AL10:AN10" si="15">SUM(AL22,AL34,AL52,AL64,AL76,AL94)</f>
        <v>0.99206977732221113</v>
      </c>
      <c r="AM10" s="304">
        <f t="shared" si="15"/>
        <v>1.289191189293275</v>
      </c>
      <c r="AN10" s="304">
        <f t="shared" si="15"/>
        <v>1.2109143782283567</v>
      </c>
    </row>
    <row r="11" spans="1:40" x14ac:dyDescent="0.2">
      <c r="A11" s="13" t="str">
        <f>name!E6</f>
        <v>Associate professional occupations</v>
      </c>
      <c r="B11" s="304">
        <f>SUM(B23,B35,B53,B65,B77,B95)</f>
        <v>61.437373146147301</v>
      </c>
      <c r="C11" s="304">
        <f t="shared" si="0"/>
        <v>64.4230062734933</v>
      </c>
      <c r="D11" s="304">
        <f>SUM(D23,D35,D53,D65,D77,D95)</f>
        <v>69.798906165083025</v>
      </c>
      <c r="E11" s="304"/>
      <c r="F11" s="304">
        <f t="shared" si="1"/>
        <v>0.58852818800027118</v>
      </c>
      <c r="G11" s="304">
        <f t="shared" si="1"/>
        <v>0.72152761189319436</v>
      </c>
      <c r="H11" s="304">
        <f t="shared" si="1"/>
        <v>1.016528657486423</v>
      </c>
      <c r="I11" s="304"/>
      <c r="J11" s="304">
        <f t="shared" si="2"/>
        <v>6.4225370568350879</v>
      </c>
      <c r="K11" s="304">
        <f t="shared" si="2"/>
        <v>8.0063388511814253</v>
      </c>
      <c r="L11" s="304">
        <f t="shared" si="2"/>
        <v>10.851793937406136</v>
      </c>
      <c r="M11" s="304"/>
      <c r="N11" s="304">
        <f t="shared" si="3"/>
        <v>15.988827155930059</v>
      </c>
      <c r="O11" s="304">
        <f t="shared" si="3"/>
        <v>18.090119420638793</v>
      </c>
      <c r="P11" s="304">
        <f t="shared" si="3"/>
        <v>22.052211491295893</v>
      </c>
      <c r="Q11" s="306"/>
      <c r="R11" s="304">
        <f t="shared" ref="R11:T11" si="16">SUM(R23,R35,R53,R65,R77,R95)</f>
        <v>4.7510542916393605</v>
      </c>
      <c r="S11" s="304">
        <f t="shared" si="16"/>
        <v>5.0741935631039228</v>
      </c>
      <c r="T11" s="304">
        <f t="shared" si="16"/>
        <v>5.2953488622167804</v>
      </c>
      <c r="U11" s="306"/>
      <c r="V11" s="304">
        <f t="shared" ref="V11:X11" si="17">SUM(V23,V35,V53,V65,V77,V95)</f>
        <v>4.1335006757069914</v>
      </c>
      <c r="W11" s="304">
        <f t="shared" si="17"/>
        <v>4.1135973819639053</v>
      </c>
      <c r="X11" s="304">
        <f t="shared" si="17"/>
        <v>4.7343114603848164</v>
      </c>
      <c r="Y11" s="306"/>
      <c r="Z11" s="304">
        <f t="shared" ref="Z11:AB11" si="18">SUM(Z23,Z35,Z53,Z65,Z77,Z95)</f>
        <v>13.149279395899702</v>
      </c>
      <c r="AA11" s="304">
        <f t="shared" si="18"/>
        <v>13.477477995342699</v>
      </c>
      <c r="AB11" s="304">
        <f t="shared" si="18"/>
        <v>14.126795597263435</v>
      </c>
      <c r="AC11" s="306"/>
      <c r="AD11" s="304">
        <f t="shared" ref="AD11:AF11" si="19">SUM(AD23,AD35,AD53,AD65,AD77,AD95)</f>
        <v>9.5491916091071793</v>
      </c>
      <c r="AE11" s="304">
        <f t="shared" si="19"/>
        <v>8.7968619811915296</v>
      </c>
      <c r="AF11" s="304">
        <f t="shared" si="19"/>
        <v>7.2596809379075511</v>
      </c>
      <c r="AG11" s="306"/>
      <c r="AH11" s="304">
        <f t="shared" ref="AH11:AJ11" si="20">SUM(AH23,AH35,AH53,AH65,AH77,AH95)</f>
        <v>5.7942773567149555</v>
      </c>
      <c r="AI11" s="304">
        <f t="shared" si="20"/>
        <v>5.0560960681659575</v>
      </c>
      <c r="AJ11" s="304">
        <f t="shared" si="20"/>
        <v>3.4753293659392206</v>
      </c>
      <c r="AK11" s="306"/>
      <c r="AL11" s="304">
        <f t="shared" ref="AL11:AN11" si="21">SUM(AL23,AL35,AL53,AL65,AL77,AL95)</f>
        <v>1.060177416313701</v>
      </c>
      <c r="AM11" s="304">
        <f t="shared" si="21"/>
        <v>1.0867934000118664</v>
      </c>
      <c r="AN11" s="304">
        <f t="shared" si="21"/>
        <v>0.98690585518276497</v>
      </c>
    </row>
    <row r="12" spans="1:40" x14ac:dyDescent="0.2">
      <c r="A12" s="13" t="str">
        <f>name!E7</f>
        <v>Administrative and secretarial occupations</v>
      </c>
      <c r="B12" s="304">
        <f t="shared" si="0"/>
        <v>51.152140412056319</v>
      </c>
      <c r="C12" s="304">
        <f t="shared" si="0"/>
        <v>51.029967874902667</v>
      </c>
      <c r="D12" s="304">
        <f t="shared" si="0"/>
        <v>48.176626289324275</v>
      </c>
      <c r="E12" s="304"/>
      <c r="F12" s="304">
        <f t="shared" si="1"/>
        <v>0.2116348225084303</v>
      </c>
      <c r="G12" s="304">
        <f t="shared" si="1"/>
        <v>0.27827433817144098</v>
      </c>
      <c r="H12" s="304">
        <f t="shared" si="1"/>
        <v>0.39903539298716473</v>
      </c>
      <c r="I12" s="304"/>
      <c r="J12" s="304">
        <f t="shared" si="2"/>
        <v>2.7185726325887316</v>
      </c>
      <c r="K12" s="304">
        <f t="shared" si="2"/>
        <v>3.6520309275018272</v>
      </c>
      <c r="L12" s="304">
        <f t="shared" si="2"/>
        <v>4.9998252396215701</v>
      </c>
      <c r="M12" s="304"/>
      <c r="N12" s="304">
        <f t="shared" si="3"/>
        <v>8.9602546299243162</v>
      </c>
      <c r="O12" s="304">
        <f t="shared" si="3"/>
        <v>10.807495034256096</v>
      </c>
      <c r="P12" s="304">
        <f t="shared" si="3"/>
        <v>13.590068162615042</v>
      </c>
      <c r="Q12" s="306"/>
      <c r="R12" s="304">
        <f t="shared" ref="R12:T12" si="22">SUM(R24,R36,R54,R66,R78,R96)</f>
        <v>3.733158405056646</v>
      </c>
      <c r="S12" s="304">
        <f t="shared" si="22"/>
        <v>4.319899674047182</v>
      </c>
      <c r="T12" s="304">
        <f t="shared" si="22"/>
        <v>5.1924346422585002</v>
      </c>
      <c r="U12" s="306"/>
      <c r="V12" s="304">
        <f t="shared" ref="V12:X12" si="23">SUM(V24,V36,V54,V66,V78,V96)</f>
        <v>3.2751745168960564</v>
      </c>
      <c r="W12" s="304">
        <f t="shared" si="23"/>
        <v>3.6170091310431753</v>
      </c>
      <c r="X12" s="304">
        <f t="shared" si="23"/>
        <v>4.1979389438621357</v>
      </c>
      <c r="Y12" s="306"/>
      <c r="Z12" s="304">
        <f t="shared" ref="Z12:AA12" si="24">SUM(Z24,Z36,Z54,Z66,Z78,Z96)</f>
        <v>11.414660412817456</v>
      </c>
      <c r="AA12" s="304">
        <f t="shared" si="24"/>
        <v>11.182700523871985</v>
      </c>
      <c r="AB12" s="304">
        <f>SUM(AB24,AB36,AB54,AB66,AB78,AB96)</f>
        <v>9.6045053264124185</v>
      </c>
      <c r="AC12" s="306"/>
      <c r="AD12" s="304">
        <f t="shared" ref="AD12:AE12" si="25">SUM(AD24,AD36,AD54,AD66,AD78,AD96)</f>
        <v>12.844012284300014</v>
      </c>
      <c r="AE12" s="304">
        <f t="shared" si="25"/>
        <v>11.038330715156869</v>
      </c>
      <c r="AF12" s="304">
        <f>SUM(AF24,AF36,AF54,AF66,AF78,AF96)</f>
        <v>7.2922130849466287</v>
      </c>
      <c r="AG12" s="306"/>
      <c r="AH12" s="304">
        <f t="shared" ref="AH12:AI12" si="26">SUM(AH24,AH36,AH54,AH66,AH78,AH96)</f>
        <v>6.6658337385159561</v>
      </c>
      <c r="AI12" s="304">
        <f t="shared" si="26"/>
        <v>4.8633923645672033</v>
      </c>
      <c r="AJ12" s="304">
        <f>SUM(AJ24,AJ36,AJ54,AJ66,AJ78,AJ96)</f>
        <v>1.9836731842656259</v>
      </c>
      <c r="AK12" s="306"/>
      <c r="AL12" s="304">
        <f t="shared" ref="AL12:AM12" si="27">SUM(AL24,AL36,AL54,AL66,AL78,AL96)</f>
        <v>1.3288389694487115</v>
      </c>
      <c r="AM12" s="304">
        <f t="shared" si="27"/>
        <v>1.2708351662868929</v>
      </c>
      <c r="AN12" s="304">
        <f>SUM(AN24,AN36,AN54,AN66,AN78,AN96)</f>
        <v>0.91693231235518946</v>
      </c>
    </row>
    <row r="13" spans="1:40" x14ac:dyDescent="0.2">
      <c r="A13" s="13" t="str">
        <f>name!E8</f>
        <v>Skilled trades occupations</v>
      </c>
      <c r="B13" s="304">
        <f t="shared" si="0"/>
        <v>48.53294094738316</v>
      </c>
      <c r="C13" s="304">
        <f t="shared" si="0"/>
        <v>46.790098801743532</v>
      </c>
      <c r="D13" s="304">
        <f t="shared" si="0"/>
        <v>43.234890421391583</v>
      </c>
      <c r="E13" s="304"/>
      <c r="F13" s="304">
        <f t="shared" si="1"/>
        <v>6.768569410344466E-2</v>
      </c>
      <c r="G13" s="304">
        <f t="shared" si="1"/>
        <v>8.9317732011978276E-2</v>
      </c>
      <c r="H13" s="304">
        <f t="shared" si="1"/>
        <v>0.12025079341395811</v>
      </c>
      <c r="I13" s="304"/>
      <c r="J13" s="304">
        <f t="shared" si="2"/>
        <v>0.77581472078518654</v>
      </c>
      <c r="K13" s="304">
        <f t="shared" si="2"/>
        <v>0.98293861948051409</v>
      </c>
      <c r="L13" s="304">
        <f t="shared" si="2"/>
        <v>1.4047778467420562</v>
      </c>
      <c r="M13" s="304"/>
      <c r="N13" s="304">
        <f t="shared" si="3"/>
        <v>3.6881509264694121</v>
      </c>
      <c r="O13" s="304">
        <f t="shared" si="3"/>
        <v>4.1651100623075017</v>
      </c>
      <c r="P13" s="304">
        <f t="shared" si="3"/>
        <v>5.3958438299909917</v>
      </c>
      <c r="Q13" s="306"/>
      <c r="R13" s="304">
        <f t="shared" ref="R13:T13" si="28">SUM(R25,R37,R55,R67,R79,R97)</f>
        <v>1.4753144738254436</v>
      </c>
      <c r="S13" s="304">
        <f t="shared" si="28"/>
        <v>1.5808001184072487</v>
      </c>
      <c r="T13" s="304">
        <f t="shared" si="28"/>
        <v>1.9747849022018704</v>
      </c>
      <c r="U13" s="306"/>
      <c r="V13" s="304">
        <f t="shared" ref="V13:X13" si="29">SUM(V25,V37,V55,V67,V79,V97)</f>
        <v>2.9262437836592992</v>
      </c>
      <c r="W13" s="304">
        <f t="shared" si="29"/>
        <v>3.0276794321626359</v>
      </c>
      <c r="X13" s="304">
        <f t="shared" si="29"/>
        <v>3.5941085528182861</v>
      </c>
      <c r="Y13" s="306"/>
      <c r="Z13" s="304">
        <f t="shared" ref="Z13:AB13" si="30">SUM(Z25,Z37,Z55,Z67,Z79,Z97)</f>
        <v>15.479072277583219</v>
      </c>
      <c r="AA13" s="304">
        <f t="shared" si="30"/>
        <v>15.224953255922809</v>
      </c>
      <c r="AB13" s="304">
        <f t="shared" si="30"/>
        <v>14.267599844260266</v>
      </c>
      <c r="AC13" s="306"/>
      <c r="AD13" s="304">
        <f t="shared" ref="AD13:AF13" si="31">SUM(AD25,AD37,AD55,AD67,AD79,AD97)</f>
        <v>12.809959247111149</v>
      </c>
      <c r="AE13" s="304">
        <f t="shared" si="31"/>
        <v>11.851957180612636</v>
      </c>
      <c r="AF13" s="304">
        <f t="shared" si="31"/>
        <v>10.241008627527044</v>
      </c>
      <c r="AG13" s="306"/>
      <c r="AH13" s="304">
        <f t="shared" ref="AH13:AJ13" si="32">SUM(AH25,AH37,AH55,AH67,AH79,AH97)</f>
        <v>7.981239461833896</v>
      </c>
      <c r="AI13" s="304">
        <f t="shared" si="32"/>
        <v>6.6796273583532093</v>
      </c>
      <c r="AJ13" s="304">
        <f t="shared" si="32"/>
        <v>4.3882084485990394</v>
      </c>
      <c r="AK13" s="306"/>
      <c r="AL13" s="304">
        <f t="shared" ref="AL13:AN13" si="33">SUM(AL25,AL37,AL55,AL67,AL79,AL97)</f>
        <v>3.3294603620121141</v>
      </c>
      <c r="AM13" s="304">
        <f t="shared" si="33"/>
        <v>3.1877150424850047</v>
      </c>
      <c r="AN13" s="304">
        <f t="shared" si="33"/>
        <v>1.8483075758380643</v>
      </c>
    </row>
    <row r="14" spans="1:40" x14ac:dyDescent="0.2">
      <c r="A14" s="13" t="str">
        <f>name!E9</f>
        <v>Caring, leisure and other service occupations</v>
      </c>
      <c r="B14" s="304">
        <f t="shared" si="0"/>
        <v>56.846498020688671</v>
      </c>
      <c r="C14" s="304">
        <f t="shared" si="0"/>
        <v>57.237578499863673</v>
      </c>
      <c r="D14" s="304">
        <f t="shared" si="0"/>
        <v>60.427646216980065</v>
      </c>
      <c r="E14" s="304"/>
      <c r="F14" s="304">
        <f t="shared" si="1"/>
        <v>3.9716857891510374E-2</v>
      </c>
      <c r="G14" s="304">
        <f t="shared" si="1"/>
        <v>5.5785643020319645E-2</v>
      </c>
      <c r="H14" s="304">
        <f t="shared" si="1"/>
        <v>8.2955237114848757E-2</v>
      </c>
      <c r="I14" s="304"/>
      <c r="J14" s="304">
        <f t="shared" si="2"/>
        <v>1.8536063478630198</v>
      </c>
      <c r="K14" s="304">
        <f t="shared" si="2"/>
        <v>2.5190886205021839</v>
      </c>
      <c r="L14" s="304">
        <f t="shared" si="2"/>
        <v>3.5987196586159831</v>
      </c>
      <c r="M14" s="304"/>
      <c r="N14" s="304">
        <f t="shared" si="3"/>
        <v>6.6111671168063459</v>
      </c>
      <c r="O14" s="304">
        <f t="shared" si="3"/>
        <v>7.97704186769651</v>
      </c>
      <c r="P14" s="304">
        <f t="shared" si="3"/>
        <v>10.589619415346165</v>
      </c>
      <c r="Q14" s="306"/>
      <c r="R14" s="304">
        <f>SUM(R26,R38,R56,R68,R80,R98)</f>
        <v>4.9718385279936026</v>
      </c>
      <c r="S14" s="304">
        <f t="shared" ref="S14:T14" si="34">SUM(S26,S38,S56,S68,S80,S98)</f>
        <v>5.2049067361667447</v>
      </c>
      <c r="T14" s="304">
        <f t="shared" si="34"/>
        <v>5.9303339353184086</v>
      </c>
      <c r="U14" s="306"/>
      <c r="V14" s="304">
        <f t="shared" ref="V14:X14" si="35">SUM(V26,V38,V56,V68,V80,V98)</f>
        <v>3.4677963976895514</v>
      </c>
      <c r="W14" s="304">
        <f t="shared" si="35"/>
        <v>3.7338552757814205</v>
      </c>
      <c r="X14" s="304">
        <f t="shared" si="35"/>
        <v>4.7018696764586059</v>
      </c>
      <c r="Y14" s="306"/>
      <c r="Z14" s="304">
        <f t="shared" ref="Z14:AB14" si="36">SUM(Z26,Z38,Z56,Z68,Z80,Z98)</f>
        <v>19.818023456380033</v>
      </c>
      <c r="AA14" s="304">
        <f t="shared" si="36"/>
        <v>20.108931562067095</v>
      </c>
      <c r="AB14" s="304">
        <f t="shared" si="36"/>
        <v>21.916650393243899</v>
      </c>
      <c r="AC14" s="306"/>
      <c r="AD14" s="304">
        <f t="shared" ref="AD14:AF14" si="37">SUM(AD26,AD38,AD56,AD68,AD80,AD98)</f>
        <v>15.041361191023448</v>
      </c>
      <c r="AE14" s="304">
        <f t="shared" si="37"/>
        <v>13.229043162888905</v>
      </c>
      <c r="AF14" s="304">
        <f t="shared" si="37"/>
        <v>10.23345424878198</v>
      </c>
      <c r="AG14" s="306"/>
      <c r="AH14" s="304">
        <f t="shared" ref="AH14:AJ14" si="38">SUM(AH26,AH38,AH56,AH68,AH80,AH98)</f>
        <v>4.1670909367306184</v>
      </c>
      <c r="AI14" s="304">
        <f t="shared" si="38"/>
        <v>3.5292178879719089</v>
      </c>
      <c r="AJ14" s="304">
        <f t="shared" si="38"/>
        <v>2.6275672388224054</v>
      </c>
      <c r="AK14" s="306"/>
      <c r="AL14" s="304">
        <f t="shared" ref="AL14:AN14" si="39">SUM(AL26,AL38,AL56,AL68,AL80,AL98)</f>
        <v>0.87589718831054553</v>
      </c>
      <c r="AM14" s="304">
        <f t="shared" si="39"/>
        <v>0.87970774376858851</v>
      </c>
      <c r="AN14" s="304">
        <f t="shared" si="39"/>
        <v>0.74647641327776615</v>
      </c>
    </row>
    <row r="15" spans="1:40" x14ac:dyDescent="0.2">
      <c r="A15" s="13" t="str">
        <f>name!E10</f>
        <v>Sales and customer service occupations</v>
      </c>
      <c r="B15" s="304">
        <f t="shared" si="0"/>
        <v>42.827473840804906</v>
      </c>
      <c r="C15" s="304">
        <f t="shared" si="0"/>
        <v>42.585358209329542</v>
      </c>
      <c r="D15" s="304">
        <f t="shared" si="0"/>
        <v>42.521498139387944</v>
      </c>
      <c r="E15" s="304"/>
      <c r="F15" s="304">
        <f t="shared" si="1"/>
        <v>8.1196473107556108E-2</v>
      </c>
      <c r="G15" s="304">
        <f t="shared" si="1"/>
        <v>0.10478193524588007</v>
      </c>
      <c r="H15" s="304">
        <f t="shared" si="1"/>
        <v>0.14086856932927222</v>
      </c>
      <c r="I15" s="304"/>
      <c r="J15" s="304">
        <f t="shared" si="2"/>
        <v>1.2241494500284467</v>
      </c>
      <c r="K15" s="304">
        <f t="shared" si="2"/>
        <v>1.6063758102924135</v>
      </c>
      <c r="L15" s="304">
        <f t="shared" si="2"/>
        <v>2.4075775011475793</v>
      </c>
      <c r="M15" s="304"/>
      <c r="N15" s="304">
        <f t="shared" si="3"/>
        <v>5.4488425421868136</v>
      </c>
      <c r="O15" s="304">
        <f t="shared" si="3"/>
        <v>6.3137172956097869</v>
      </c>
      <c r="P15" s="304">
        <f t="shared" si="3"/>
        <v>8.7507912375418968</v>
      </c>
      <c r="Q15" s="306"/>
      <c r="R15" s="304">
        <f t="shared" ref="R15:T15" si="40">SUM(R27,R39,R57,R69,R81,R99)</f>
        <v>1.9285968752906257</v>
      </c>
      <c r="S15" s="304">
        <f t="shared" si="40"/>
        <v>2.1362969405470746</v>
      </c>
      <c r="T15" s="304">
        <f t="shared" si="40"/>
        <v>2.966307157571781</v>
      </c>
      <c r="U15" s="306"/>
      <c r="V15" s="304">
        <f t="shared" ref="V15:X15" si="41">SUM(V27,V39,V57,V69,V81,V99)</f>
        <v>1.775825882570065</v>
      </c>
      <c r="W15" s="304">
        <f t="shared" si="41"/>
        <v>1.9123606278661665</v>
      </c>
      <c r="X15" s="304">
        <f t="shared" si="41"/>
        <v>2.4070459499320256</v>
      </c>
      <c r="Y15" s="306"/>
      <c r="Z15" s="304">
        <f t="shared" ref="Z15:AB15" si="42">SUM(Z27,Z39,Z57,Z69,Z81,Z99)</f>
        <v>11.86966795144342</v>
      </c>
      <c r="AA15" s="304">
        <f t="shared" si="42"/>
        <v>12.000019139835686</v>
      </c>
      <c r="AB15" s="304">
        <f t="shared" si="42"/>
        <v>13.04549786250603</v>
      </c>
      <c r="AC15" s="306"/>
      <c r="AD15" s="304">
        <f t="shared" ref="AD15:AF15" si="43">SUM(AD27,AD39,AD57,AD69,AD81,AD99)</f>
        <v>11.335182258801087</v>
      </c>
      <c r="AE15" s="304">
        <f t="shared" si="43"/>
        <v>10.514273107255761</v>
      </c>
      <c r="AF15" s="304">
        <f t="shared" si="43"/>
        <v>8.922816851932172</v>
      </c>
      <c r="AG15" s="306"/>
      <c r="AH15" s="304">
        <f t="shared" ref="AH15:AJ15" si="44">SUM(AH27,AH39,AH57,AH69,AH81,AH99)</f>
        <v>7.0715500940557403</v>
      </c>
      <c r="AI15" s="304">
        <f t="shared" si="44"/>
        <v>6.118741296522817</v>
      </c>
      <c r="AJ15" s="304">
        <f t="shared" si="44"/>
        <v>2.4556504292716199</v>
      </c>
      <c r="AK15" s="306"/>
      <c r="AL15" s="304">
        <f t="shared" ref="AL15:AN15" si="45">SUM(AL27,AL39,AL57,AL69,AL81,AL99)</f>
        <v>2.0924623133211488</v>
      </c>
      <c r="AM15" s="304">
        <f t="shared" si="45"/>
        <v>1.8787920561539526</v>
      </c>
      <c r="AN15" s="304">
        <f t="shared" si="45"/>
        <v>1.4249425801555691</v>
      </c>
    </row>
    <row r="16" spans="1:40" x14ac:dyDescent="0.2">
      <c r="A16" s="13" t="str">
        <f>name!E11</f>
        <v>Process, plant and machine operatives</v>
      </c>
      <c r="B16" s="304">
        <f t="shared" si="0"/>
        <v>41.529068763260504</v>
      </c>
      <c r="C16" s="304">
        <f t="shared" si="0"/>
        <v>41.651395757268745</v>
      </c>
      <c r="D16" s="304">
        <f t="shared" si="0"/>
        <v>39.260522108603936</v>
      </c>
      <c r="E16" s="304"/>
      <c r="F16" s="304">
        <f t="shared" si="1"/>
        <v>6.5303832701549686E-2</v>
      </c>
      <c r="G16" s="304">
        <f t="shared" si="1"/>
        <v>9.0940365890001776E-2</v>
      </c>
      <c r="H16" s="304">
        <f t="shared" si="1"/>
        <v>0.15963821852097693</v>
      </c>
      <c r="I16" s="304"/>
      <c r="J16" s="304">
        <f t="shared" si="2"/>
        <v>0.52963217013622965</v>
      </c>
      <c r="K16" s="304">
        <f t="shared" si="2"/>
        <v>0.78453582693579271</v>
      </c>
      <c r="L16" s="304">
        <f t="shared" si="2"/>
        <v>1.3700587797790191</v>
      </c>
      <c r="M16" s="304"/>
      <c r="N16" s="304">
        <f t="shared" si="3"/>
        <v>1.7242701133487217</v>
      </c>
      <c r="O16" s="304">
        <f t="shared" si="3"/>
        <v>2.1719152525971355</v>
      </c>
      <c r="P16" s="304">
        <f t="shared" si="3"/>
        <v>3.3099214826266707</v>
      </c>
      <c r="Q16" s="306"/>
      <c r="R16" s="304">
        <f t="shared" ref="R16:T16" si="46">SUM(R28,R40,R58,R70,R82,R100)</f>
        <v>0.84588759004762915</v>
      </c>
      <c r="S16" s="304">
        <f t="shared" si="46"/>
        <v>0.98852730370981445</v>
      </c>
      <c r="T16" s="304">
        <f t="shared" si="46"/>
        <v>1.3012193785821793</v>
      </c>
      <c r="U16" s="306"/>
      <c r="V16" s="304">
        <f t="shared" ref="V16:X16" si="47">SUM(V28,V40,V58,V70,V82,V100)</f>
        <v>1.4867469935867845</v>
      </c>
      <c r="W16" s="304">
        <f t="shared" si="47"/>
        <v>1.7117552282662996</v>
      </c>
      <c r="X16" s="304">
        <f t="shared" si="47"/>
        <v>2.2189665111840098</v>
      </c>
      <c r="Y16" s="306"/>
      <c r="Z16" s="304">
        <f t="shared" ref="Z16:AB16" si="48">SUM(Z28,Z40,Z58,Z70,Z82,Z100)</f>
        <v>9.3156856932435677</v>
      </c>
      <c r="AA16" s="304">
        <f t="shared" si="48"/>
        <v>10.553648301577484</v>
      </c>
      <c r="AB16" s="304">
        <f t="shared" si="48"/>
        <v>11.86691197447286</v>
      </c>
      <c r="AC16" s="306"/>
      <c r="AD16" s="304">
        <f t="shared" ref="AD16:AF16" si="49">SUM(AD28,AD40,AD58,AD70,AD82,AD100)</f>
        <v>12.944150670529616</v>
      </c>
      <c r="AE16" s="304">
        <f t="shared" si="49"/>
        <v>13.287462379024921</v>
      </c>
      <c r="AF16" s="304">
        <f t="shared" si="49"/>
        <v>12.318330796306709</v>
      </c>
      <c r="AG16" s="306"/>
      <c r="AH16" s="304">
        <f t="shared" ref="AH16:AJ16" si="50">SUM(AH28,AH40,AH58,AH70,AH82,AH100)</f>
        <v>10.860530540594528</v>
      </c>
      <c r="AI16" s="304">
        <f t="shared" si="50"/>
        <v>9.1700900480094703</v>
      </c>
      <c r="AJ16" s="304">
        <f t="shared" si="50"/>
        <v>5.2043000361027429</v>
      </c>
      <c r="AK16" s="306"/>
      <c r="AL16" s="304">
        <f t="shared" ref="AL16:AN16" si="51">SUM(AL28,AL40,AL58,AL70,AL82,AL100)</f>
        <v>3.7568611590718741</v>
      </c>
      <c r="AM16" s="304">
        <f t="shared" si="51"/>
        <v>2.8925210512578237</v>
      </c>
      <c r="AN16" s="304">
        <f t="shared" si="51"/>
        <v>1.5111749310287637</v>
      </c>
    </row>
    <row r="17" spans="1:40" x14ac:dyDescent="0.2">
      <c r="A17" s="13" t="str">
        <f>name!E12</f>
        <v>Elementary occupations</v>
      </c>
      <c r="B17" s="304">
        <f t="shared" si="0"/>
        <v>56.857989419446369</v>
      </c>
      <c r="C17" s="304">
        <f t="shared" si="0"/>
        <v>58.846565415939317</v>
      </c>
      <c r="D17" s="304">
        <f t="shared" si="0"/>
        <v>56.277683956957453</v>
      </c>
      <c r="E17" s="304"/>
      <c r="F17" s="304">
        <f t="shared" si="1"/>
        <v>3.0691656786916436E-2</v>
      </c>
      <c r="G17" s="304">
        <f t="shared" si="1"/>
        <v>3.7550601516732791E-2</v>
      </c>
      <c r="H17" s="304">
        <f t="shared" si="1"/>
        <v>5.4969678852545542E-2</v>
      </c>
      <c r="I17" s="304"/>
      <c r="J17" s="304">
        <f t="shared" si="2"/>
        <v>0.90943731695742347</v>
      </c>
      <c r="K17" s="304">
        <f t="shared" si="2"/>
        <v>1.2034493299406952</v>
      </c>
      <c r="L17" s="304">
        <f t="shared" si="2"/>
        <v>1.8106885886112509</v>
      </c>
      <c r="M17" s="304"/>
      <c r="N17" s="304">
        <f t="shared" si="3"/>
        <v>3.9789372439511661</v>
      </c>
      <c r="O17" s="304">
        <f t="shared" si="3"/>
        <v>4.9320404760158008</v>
      </c>
      <c r="P17" s="304">
        <f t="shared" si="3"/>
        <v>6.6919363585978253</v>
      </c>
      <c r="Q17" s="306"/>
      <c r="R17" s="304">
        <f t="shared" ref="R17:T17" si="52">SUM(R29,R41,R59,R71,R83,R101)</f>
        <v>2.0168877459404841</v>
      </c>
      <c r="S17" s="304">
        <f t="shared" si="52"/>
        <v>2.5385213793787029</v>
      </c>
      <c r="T17" s="304">
        <f t="shared" si="52"/>
        <v>3.5304235981458167</v>
      </c>
      <c r="U17" s="306"/>
      <c r="V17" s="304">
        <f t="shared" ref="V17:X17" si="53">SUM(V29,V41,V59,V71,V83,V101)</f>
        <v>1.9596377602738819</v>
      </c>
      <c r="W17" s="304">
        <f t="shared" si="53"/>
        <v>2.4133584338463603</v>
      </c>
      <c r="X17" s="304">
        <f t="shared" si="53"/>
        <v>3.1931810296480898</v>
      </c>
      <c r="Y17" s="306"/>
      <c r="Z17" s="304">
        <f t="shared" ref="Z17:AB17" si="54">SUM(Z29,Z41,Z59,Z71,Z83,Z101)</f>
        <v>10.257893321344834</v>
      </c>
      <c r="AA17" s="304">
        <f t="shared" si="54"/>
        <v>10.402183490095972</v>
      </c>
      <c r="AB17" s="304">
        <f t="shared" si="54"/>
        <v>11.251844523765612</v>
      </c>
      <c r="AC17" s="306"/>
      <c r="AD17" s="304">
        <f t="shared" ref="AD17:AF17" si="55">SUM(AD29,AD41,AD59,AD71,AD83,AD101)</f>
        <v>16.760068096035951</v>
      </c>
      <c r="AE17" s="304">
        <f t="shared" si="55"/>
        <v>16.740138760845774</v>
      </c>
      <c r="AF17" s="304">
        <f t="shared" si="55"/>
        <v>15.186301305330943</v>
      </c>
      <c r="AG17" s="306"/>
      <c r="AH17" s="304">
        <f t="shared" ref="AH17:AJ17" si="56">SUM(AH29,AH41,AH59,AH71,AH83,AH101)</f>
        <v>16.137871133383079</v>
      </c>
      <c r="AI17" s="304">
        <f t="shared" si="56"/>
        <v>16.090064843107523</v>
      </c>
      <c r="AJ17" s="304">
        <f t="shared" si="56"/>
        <v>11.443615062776981</v>
      </c>
      <c r="AK17" s="306"/>
      <c r="AL17" s="304">
        <f t="shared" ref="AL17:AN17" si="57">SUM(AL29,AL41,AL59,AL71,AL83,AL101)</f>
        <v>4.8065651447726374</v>
      </c>
      <c r="AM17" s="304">
        <f t="shared" si="57"/>
        <v>4.4892581011917496</v>
      </c>
      <c r="AN17" s="304">
        <f t="shared" si="57"/>
        <v>3.1147238112283926</v>
      </c>
    </row>
    <row r="18" spans="1:40" x14ac:dyDescent="0.2">
      <c r="B18" s="304"/>
      <c r="C18" s="304"/>
      <c r="D18" s="304"/>
      <c r="E18" s="304"/>
      <c r="F18" s="304"/>
      <c r="G18" s="304"/>
      <c r="H18" s="304"/>
      <c r="I18" s="304"/>
      <c r="J18" s="304"/>
      <c r="K18" s="304"/>
      <c r="L18" s="304"/>
      <c r="M18" s="304"/>
      <c r="N18" s="304"/>
      <c r="O18" s="304"/>
      <c r="P18" s="304"/>
      <c r="Q18" s="306"/>
      <c r="R18" s="304"/>
      <c r="S18" s="304"/>
      <c r="T18" s="304"/>
      <c r="U18" s="306"/>
      <c r="V18" s="304"/>
      <c r="W18" s="304"/>
      <c r="X18" s="304"/>
      <c r="Y18" s="306"/>
      <c r="Z18" s="304"/>
      <c r="AA18" s="304"/>
      <c r="AB18" s="304"/>
      <c r="AC18" s="306"/>
      <c r="AD18" s="304"/>
      <c r="AE18" s="304"/>
      <c r="AF18" s="304"/>
      <c r="AG18" s="306"/>
      <c r="AH18" s="304"/>
      <c r="AI18" s="304"/>
      <c r="AJ18" s="304"/>
      <c r="AK18" s="306"/>
      <c r="AL18" s="304"/>
      <c r="AM18" s="304"/>
      <c r="AN18" s="304"/>
    </row>
    <row r="19" spans="1:40" x14ac:dyDescent="0.2">
      <c r="A19" s="1" t="str">
        <f>name!C4</f>
        <v>Primary sector and utilities</v>
      </c>
      <c r="B19" s="306"/>
      <c r="C19" s="306"/>
      <c r="D19" s="306"/>
      <c r="E19" s="304"/>
      <c r="F19" s="304"/>
      <c r="G19" s="304"/>
      <c r="H19" s="304"/>
      <c r="I19" s="304"/>
      <c r="J19" s="304"/>
      <c r="K19" s="304"/>
      <c r="L19" s="304"/>
      <c r="M19" s="304"/>
      <c r="N19" s="304"/>
      <c r="O19" s="304"/>
      <c r="P19" s="304"/>
      <c r="Q19" s="306"/>
      <c r="R19" s="304"/>
      <c r="S19" s="304"/>
      <c r="T19" s="304"/>
      <c r="U19" s="306"/>
      <c r="V19" s="304"/>
      <c r="W19" s="304"/>
      <c r="X19" s="304"/>
      <c r="Y19" s="306"/>
      <c r="Z19" s="304"/>
      <c r="AA19" s="304"/>
      <c r="AB19" s="304"/>
      <c r="AC19" s="306"/>
      <c r="AD19" s="304"/>
      <c r="AE19" s="304"/>
      <c r="AF19" s="304"/>
      <c r="AG19" s="306"/>
      <c r="AH19" s="304"/>
      <c r="AI19" s="304"/>
      <c r="AJ19" s="304"/>
      <c r="AK19" s="306"/>
      <c r="AL19" s="304"/>
      <c r="AM19" s="304"/>
      <c r="AN19" s="304"/>
    </row>
    <row r="20" spans="1:40" x14ac:dyDescent="0.2">
      <c r="A20" s="13" t="str">
        <f t="shared" ref="A20:A29" si="58">A8</f>
        <v>All occupations</v>
      </c>
      <c r="B20" s="305">
        <f>SUM(B21:B29)</f>
        <v>21.362000000000034</v>
      </c>
      <c r="C20" s="305">
        <f>SUM(C21:C29)</f>
        <v>21.268000000000018</v>
      </c>
      <c r="D20" s="305">
        <f>SUM(D21:D29)</f>
        <v>20.995000000000022</v>
      </c>
      <c r="E20" s="304"/>
      <c r="F20" s="305">
        <f>SUM(F21:F29)</f>
        <v>0.17786667811172932</v>
      </c>
      <c r="G20" s="305">
        <f>SUM(G21:G29)</f>
        <v>0.21460791102740245</v>
      </c>
      <c r="H20" s="305">
        <f>SUM(H21:H29)</f>
        <v>0.28562925622259178</v>
      </c>
      <c r="I20" s="304"/>
      <c r="J20" s="305">
        <f>SUM(J21:J29)</f>
        <v>1.0454424772851199</v>
      </c>
      <c r="K20" s="305">
        <f>SUM(K21:K29)</f>
        <v>1.2323051597863699</v>
      </c>
      <c r="L20" s="305">
        <f>SUM(L21:L29)</f>
        <v>1.6152711515545646</v>
      </c>
      <c r="M20" s="304"/>
      <c r="N20" s="305">
        <f>SUM(N21:N29)</f>
        <v>3.6664356452983307</v>
      </c>
      <c r="O20" s="305">
        <f>SUM(O21:O29)</f>
        <v>3.907422591681927</v>
      </c>
      <c r="P20" s="305">
        <f>SUM(P21:P29)</f>
        <v>4.6670647614057206</v>
      </c>
      <c r="Q20" s="306"/>
      <c r="R20" s="305">
        <f>SUM(R21:R29)</f>
        <v>0.82232827937365793</v>
      </c>
      <c r="S20" s="305">
        <f>SUM(S21:S29)</f>
        <v>0.86007160327425314</v>
      </c>
      <c r="T20" s="305">
        <f>SUM(T21:T29)</f>
        <v>1.0043180560798934</v>
      </c>
      <c r="U20" s="306"/>
      <c r="V20" s="305">
        <f>SUM(V21:V29)</f>
        <v>1.834325256260128</v>
      </c>
      <c r="W20" s="305">
        <f>SUM(W21:W29)</f>
        <v>1.9214181557971146</v>
      </c>
      <c r="X20" s="305">
        <f>SUM(X21:X29)</f>
        <v>2.2659792407419355</v>
      </c>
      <c r="Y20" s="306"/>
      <c r="Z20" s="305">
        <f>SUM(Z21:Z29)</f>
        <v>4.3242102231715913</v>
      </c>
      <c r="AA20" s="305">
        <f>SUM(AA21:AA29)</f>
        <v>4.2931522056850682</v>
      </c>
      <c r="AB20" s="305">
        <f>SUM(AB21:AB29)</f>
        <v>4.2806627584881722</v>
      </c>
      <c r="AC20" s="306"/>
      <c r="AD20" s="305">
        <f>SUM(AD21:AD29)</f>
        <v>4.5752051737119208</v>
      </c>
      <c r="AE20" s="305">
        <f>SUM(AE21:AE29)</f>
        <v>4.3072900906522689</v>
      </c>
      <c r="AF20" s="305">
        <f>SUM(AF21:AF29)</f>
        <v>3.8342230721576951</v>
      </c>
      <c r="AG20" s="306"/>
      <c r="AH20" s="305">
        <f>SUM(AH21:AH29)</f>
        <v>3.1426777910369124</v>
      </c>
      <c r="AI20" s="305">
        <f>SUM(AI21:AI29)</f>
        <v>2.4289770286270596</v>
      </c>
      <c r="AJ20" s="305">
        <f>SUM(AJ21:AJ29)</f>
        <v>1.300678667832575</v>
      </c>
      <c r="AK20" s="306"/>
      <c r="AL20" s="305">
        <f>SUM(AL21:AL29)</f>
        <v>1.7735084757506392</v>
      </c>
      <c r="AM20" s="305">
        <f>SUM(AM21:AM29)</f>
        <v>2.1027552534685556</v>
      </c>
      <c r="AN20" s="305">
        <f>SUM(AN21:AN29)</f>
        <v>1.7411730355168729</v>
      </c>
    </row>
    <row r="21" spans="1:40" x14ac:dyDescent="0.2">
      <c r="A21" s="13" t="str">
        <f t="shared" si="58"/>
        <v>Managers, directors and senior officials</v>
      </c>
      <c r="B21" s="304">
        <f>SUM(F21,J21,N21,R21,V21,Z21,AD21,AH21,AL21)</f>
        <v>2.185048555665654</v>
      </c>
      <c r="C21" s="304">
        <f t="shared" ref="C21:D21" si="59">SUM(G21,K21,O21,S21,W21,AA21,AE21,AI21,AM21)</f>
        <v>2.1989963045217378</v>
      </c>
      <c r="D21" s="304">
        <f t="shared" si="59"/>
        <v>2.320155783058838</v>
      </c>
      <c r="E21" s="304"/>
      <c r="F21" s="304">
        <v>4.4518643522754579E-2</v>
      </c>
      <c r="G21" s="304">
        <v>4.9529014816921971E-2</v>
      </c>
      <c r="H21" s="304">
        <v>5.9902038039263798E-2</v>
      </c>
      <c r="I21" s="304"/>
      <c r="J21" s="304">
        <v>0.18979683286815241</v>
      </c>
      <c r="K21" s="304">
        <v>0.19273476871564929</v>
      </c>
      <c r="L21" s="304">
        <v>0.22672034855486384</v>
      </c>
      <c r="M21" s="304"/>
      <c r="N21" s="304">
        <v>0.42570758654757207</v>
      </c>
      <c r="O21" s="304">
        <v>0.42001321052432361</v>
      </c>
      <c r="P21" s="304">
        <v>0.47579702621834752</v>
      </c>
      <c r="Q21" s="306"/>
      <c r="R21" s="304">
        <v>0.11068408947733679</v>
      </c>
      <c r="S21" s="304">
        <v>0.11491655821911538</v>
      </c>
      <c r="T21" s="304">
        <v>0.12953004237779686</v>
      </c>
      <c r="U21" s="306"/>
      <c r="V21" s="304">
        <v>0.12686963588067546</v>
      </c>
      <c r="W21" s="304">
        <v>0.11116961544180505</v>
      </c>
      <c r="X21" s="304">
        <v>0.11665924285974988</v>
      </c>
      <c r="Y21" s="306"/>
      <c r="Z21" s="304">
        <v>0.53156373291837034</v>
      </c>
      <c r="AA21" s="304">
        <v>0.62387989079852668</v>
      </c>
      <c r="AB21" s="304">
        <v>0.77828220332780007</v>
      </c>
      <c r="AC21" s="306"/>
      <c r="AD21" s="304">
        <v>0.38375714658028237</v>
      </c>
      <c r="AE21" s="304">
        <v>0.34924631531252071</v>
      </c>
      <c r="AF21" s="304">
        <v>0.27119422842445756</v>
      </c>
      <c r="AG21" s="306"/>
      <c r="AH21" s="304">
        <v>0.24357576659811495</v>
      </c>
      <c r="AI21" s="304">
        <v>0.19633348349132265</v>
      </c>
      <c r="AJ21" s="304">
        <v>0.10863542090025705</v>
      </c>
      <c r="AK21" s="306"/>
      <c r="AL21" s="304">
        <v>0.12857512127239498</v>
      </c>
      <c r="AM21" s="304">
        <v>0.14117344720155228</v>
      </c>
      <c r="AN21" s="304">
        <v>0.15343523235630135</v>
      </c>
    </row>
    <row r="22" spans="1:40" x14ac:dyDescent="0.2">
      <c r="A22" s="13" t="str">
        <f t="shared" si="58"/>
        <v>Professional occupations</v>
      </c>
      <c r="B22" s="304">
        <f t="shared" ref="B22:B29" si="60">SUM(F22,J22,N22,R22,V22,Z22,AD22,AH22,AL22)</f>
        <v>2.3198885995596004</v>
      </c>
      <c r="C22" s="304">
        <f t="shared" ref="C22:C29" si="61">SUM(G22,K22,O22,S22,W22,AA22,AE22,AI22,AM22)</f>
        <v>2.5657670484444921</v>
      </c>
      <c r="D22" s="304">
        <f t="shared" ref="D22:D29" si="62">SUM(H22,L22,P22,T22,X22,AB22,AF22,AJ22,AN22)</f>
        <v>2.9002931100839837</v>
      </c>
      <c r="E22" s="304"/>
      <c r="F22" s="304">
        <v>6.8819279603873934E-2</v>
      </c>
      <c r="G22" s="304">
        <v>9.0851076687328974E-2</v>
      </c>
      <c r="H22" s="304">
        <v>0.12952899514823155</v>
      </c>
      <c r="I22" s="304"/>
      <c r="J22" s="304">
        <v>0.40023452326561998</v>
      </c>
      <c r="K22" s="304">
        <v>0.5104729708099599</v>
      </c>
      <c r="L22" s="304">
        <v>0.68922286466537097</v>
      </c>
      <c r="M22" s="304"/>
      <c r="N22" s="304">
        <v>0.70314051366698116</v>
      </c>
      <c r="O22" s="304">
        <v>0.69921197894812248</v>
      </c>
      <c r="P22" s="304">
        <v>0.71123550701730454</v>
      </c>
      <c r="Q22" s="306"/>
      <c r="R22" s="304">
        <v>6.4828022928611895E-2</v>
      </c>
      <c r="S22" s="304">
        <v>6.8394393332303474E-2</v>
      </c>
      <c r="T22" s="304">
        <v>7.6805435069192435E-2</v>
      </c>
      <c r="U22" s="306"/>
      <c r="V22" s="304">
        <v>0.33089490293010088</v>
      </c>
      <c r="W22" s="304">
        <v>0.38278327393384542</v>
      </c>
      <c r="X22" s="304">
        <v>0.48477522951632429</v>
      </c>
      <c r="Y22" s="306"/>
      <c r="Z22" s="304">
        <v>0.21906649561762251</v>
      </c>
      <c r="AA22" s="304">
        <v>0.22237440742023007</v>
      </c>
      <c r="AB22" s="304">
        <v>0.2184836497561802</v>
      </c>
      <c r="AC22" s="306"/>
      <c r="AD22" s="304">
        <v>0.29291366776443034</v>
      </c>
      <c r="AE22" s="304">
        <v>0.32172965915858637</v>
      </c>
      <c r="AF22" s="304">
        <v>0.36531868831267583</v>
      </c>
      <c r="AG22" s="306"/>
      <c r="AH22" s="304">
        <v>0.17130576814983908</v>
      </c>
      <c r="AI22" s="304">
        <v>0.16630669695881045</v>
      </c>
      <c r="AJ22" s="304">
        <v>0.12302686933538946</v>
      </c>
      <c r="AK22" s="306"/>
      <c r="AL22" s="304">
        <v>6.8685425632520475E-2</v>
      </c>
      <c r="AM22" s="304">
        <v>0.103642591195305</v>
      </c>
      <c r="AN22" s="304">
        <v>0.10189587126331419</v>
      </c>
    </row>
    <row r="23" spans="1:40" x14ac:dyDescent="0.2">
      <c r="A23" s="13" t="str">
        <f t="shared" si="58"/>
        <v>Associate professional occupations</v>
      </c>
      <c r="B23" s="304">
        <f t="shared" si="60"/>
        <v>1.4975222281095564</v>
      </c>
      <c r="C23" s="304">
        <f t="shared" si="61"/>
        <v>1.4220048704060657</v>
      </c>
      <c r="D23" s="304">
        <f t="shared" si="62"/>
        <v>1.5319909971139678</v>
      </c>
      <c r="E23" s="304"/>
      <c r="F23" s="304">
        <v>3.498152873579731E-2</v>
      </c>
      <c r="G23" s="304">
        <v>3.8300994321038596E-2</v>
      </c>
      <c r="H23" s="304">
        <v>5.2028685638607013E-2</v>
      </c>
      <c r="I23" s="304"/>
      <c r="J23" s="304">
        <v>0.1591950025401761</v>
      </c>
      <c r="K23" s="304">
        <v>0.17771202534060707</v>
      </c>
      <c r="L23" s="304">
        <v>0.24078660153417641</v>
      </c>
      <c r="M23" s="304"/>
      <c r="N23" s="304">
        <v>0.35216561147863856</v>
      </c>
      <c r="O23" s="304">
        <v>0.32975235184218599</v>
      </c>
      <c r="P23" s="304">
        <v>0.35787408089823536</v>
      </c>
      <c r="Q23" s="306"/>
      <c r="R23" s="304">
        <v>4.9532318132876667E-2</v>
      </c>
      <c r="S23" s="304">
        <v>4.8634155144688489E-2</v>
      </c>
      <c r="T23" s="304">
        <v>6.0958976802940913E-2</v>
      </c>
      <c r="U23" s="306"/>
      <c r="V23" s="304">
        <v>0.20754047610845833</v>
      </c>
      <c r="W23" s="304">
        <v>0.21129041905757259</v>
      </c>
      <c r="X23" s="304">
        <v>0.26447171444968953</v>
      </c>
      <c r="Y23" s="306"/>
      <c r="Z23" s="304">
        <v>0.27622843168134131</v>
      </c>
      <c r="AA23" s="304">
        <v>0.24932976144568739</v>
      </c>
      <c r="AB23" s="304">
        <v>0.24280955172897598</v>
      </c>
      <c r="AC23" s="306"/>
      <c r="AD23" s="304">
        <v>0.213413384362206</v>
      </c>
      <c r="AE23" s="304">
        <v>0.1650036694366164</v>
      </c>
      <c r="AF23" s="304">
        <v>0.13955809069988381</v>
      </c>
      <c r="AG23" s="306"/>
      <c r="AH23" s="304">
        <v>0.14445255909456187</v>
      </c>
      <c r="AI23" s="304">
        <v>0.13029064400665766</v>
      </c>
      <c r="AJ23" s="304">
        <v>0.10267762109254716</v>
      </c>
      <c r="AK23" s="306"/>
      <c r="AL23" s="304">
        <v>6.0012915975500618E-2</v>
      </c>
      <c r="AM23" s="304">
        <v>7.1690849811011495E-2</v>
      </c>
      <c r="AN23" s="304">
        <v>7.0825674268911537E-2</v>
      </c>
    </row>
    <row r="24" spans="1:40" x14ac:dyDescent="0.2">
      <c r="A24" s="13" t="str">
        <f t="shared" si="58"/>
        <v>Administrative and secretarial occupations</v>
      </c>
      <c r="B24" s="304">
        <f t="shared" si="60"/>
        <v>1.1555965555803143</v>
      </c>
      <c r="C24" s="304">
        <f t="shared" si="61"/>
        <v>1.1000287359162169</v>
      </c>
      <c r="D24" s="304">
        <f t="shared" si="62"/>
        <v>0.94920331613588982</v>
      </c>
      <c r="E24" s="304"/>
      <c r="F24" s="304">
        <v>2.9700410612170801E-3</v>
      </c>
      <c r="G24" s="304">
        <v>3.6304842493823887E-3</v>
      </c>
      <c r="H24" s="304">
        <v>4.8294907211011229E-3</v>
      </c>
      <c r="I24" s="304"/>
      <c r="J24" s="304">
        <v>6.4932895471948193E-2</v>
      </c>
      <c r="K24" s="304">
        <v>8.2362438691721718E-2</v>
      </c>
      <c r="L24" s="304">
        <v>0.11588052959138842</v>
      </c>
      <c r="M24" s="304"/>
      <c r="N24" s="304">
        <v>0.18379017164933914</v>
      </c>
      <c r="O24" s="304">
        <v>0.21186926325994265</v>
      </c>
      <c r="P24" s="304">
        <v>0.24221812500323028</v>
      </c>
      <c r="Q24" s="306"/>
      <c r="R24" s="304">
        <v>4.0731320195841955E-2</v>
      </c>
      <c r="S24" s="304">
        <v>3.7380686629459675E-2</v>
      </c>
      <c r="T24" s="304">
        <v>4.0638030202069582E-2</v>
      </c>
      <c r="U24" s="306"/>
      <c r="V24" s="304">
        <v>9.2330447655490713E-2</v>
      </c>
      <c r="W24" s="304">
        <v>8.9718546680808794E-2</v>
      </c>
      <c r="X24" s="304">
        <v>8.6765856409465422E-2</v>
      </c>
      <c r="Y24" s="306"/>
      <c r="Z24" s="304">
        <v>0.24069799511015416</v>
      </c>
      <c r="AA24" s="304">
        <v>0.17853115365033931</v>
      </c>
      <c r="AB24" s="304">
        <v>0.11330967461415083</v>
      </c>
      <c r="AC24" s="306"/>
      <c r="AD24" s="304">
        <v>0.24715010100918697</v>
      </c>
      <c r="AE24" s="304">
        <v>0.19075032806732167</v>
      </c>
      <c r="AF24" s="304">
        <v>0.12975461644537062</v>
      </c>
      <c r="AG24" s="306"/>
      <c r="AH24" s="304">
        <v>0.19501062322544385</v>
      </c>
      <c r="AI24" s="304">
        <v>0.19194656134348723</v>
      </c>
      <c r="AJ24" s="304">
        <v>0.11768051062789638</v>
      </c>
      <c r="AK24" s="306"/>
      <c r="AL24" s="304">
        <v>8.7982960201692259E-2</v>
      </c>
      <c r="AM24" s="304">
        <v>0.11383927334375346</v>
      </c>
      <c r="AN24" s="304">
        <v>9.8126482521217029E-2</v>
      </c>
    </row>
    <row r="25" spans="1:40" x14ac:dyDescent="0.2">
      <c r="A25" s="13" t="str">
        <f t="shared" si="58"/>
        <v>Skilled trades occupations</v>
      </c>
      <c r="B25" s="304">
        <f t="shared" si="60"/>
        <v>8.372627051525491</v>
      </c>
      <c r="C25" s="304">
        <f t="shared" si="61"/>
        <v>7.6594711379738145</v>
      </c>
      <c r="D25" s="304">
        <f t="shared" si="62"/>
        <v>7.0202985167305787</v>
      </c>
      <c r="E25" s="304"/>
      <c r="F25" s="304">
        <v>1.874246709586385E-2</v>
      </c>
      <c r="G25" s="304">
        <v>2.2017771931131951E-2</v>
      </c>
      <c r="H25" s="304">
        <v>2.5913383522532727E-2</v>
      </c>
      <c r="I25" s="304"/>
      <c r="J25" s="304">
        <v>8.9917069100517791E-2</v>
      </c>
      <c r="K25" s="304">
        <v>8.2475902906823398E-2</v>
      </c>
      <c r="L25" s="304">
        <v>0.1027874441441812</v>
      </c>
      <c r="M25" s="304"/>
      <c r="N25" s="304">
        <v>1.4365737504672123</v>
      </c>
      <c r="O25" s="304">
        <v>1.5879967648312474</v>
      </c>
      <c r="P25" s="304">
        <v>2.1229177524956335</v>
      </c>
      <c r="Q25" s="306"/>
      <c r="R25" s="304">
        <v>0.33669557839720871</v>
      </c>
      <c r="S25" s="304">
        <v>0.33017829334724141</v>
      </c>
      <c r="T25" s="304">
        <v>0.38721273059736988</v>
      </c>
      <c r="U25" s="306"/>
      <c r="V25" s="304">
        <v>0.74436455916997957</v>
      </c>
      <c r="W25" s="304">
        <v>0.73519867662007354</v>
      </c>
      <c r="X25" s="304">
        <v>0.87752485781569889</v>
      </c>
      <c r="Y25" s="306"/>
      <c r="Z25" s="304">
        <v>1.6912021792714376</v>
      </c>
      <c r="AA25" s="304">
        <v>1.4391288659757853</v>
      </c>
      <c r="AB25" s="304">
        <v>1.1653047498489015</v>
      </c>
      <c r="AC25" s="306"/>
      <c r="AD25" s="304">
        <v>2.0178140726182501</v>
      </c>
      <c r="AE25" s="304">
        <v>1.8391989028113083</v>
      </c>
      <c r="AF25" s="304">
        <v>1.6780297494575918</v>
      </c>
      <c r="AG25" s="306"/>
      <c r="AH25" s="304">
        <v>1.24160130559191</v>
      </c>
      <c r="AI25" s="304">
        <v>0.84962908166580942</v>
      </c>
      <c r="AJ25" s="304">
        <v>0.27064625594233371</v>
      </c>
      <c r="AK25" s="306"/>
      <c r="AL25" s="304">
        <v>0.79571606981311016</v>
      </c>
      <c r="AM25" s="304">
        <v>0.77364687788439368</v>
      </c>
      <c r="AN25" s="304">
        <v>0.38996159290633498</v>
      </c>
    </row>
    <row r="26" spans="1:40" x14ac:dyDescent="0.2">
      <c r="A26" s="13" t="str">
        <f t="shared" si="58"/>
        <v>Caring, leisure and other service occupations</v>
      </c>
      <c r="B26" s="304">
        <f t="shared" si="60"/>
        <v>0.63148919527111758</v>
      </c>
      <c r="C26" s="304">
        <f t="shared" si="61"/>
        <v>0.63341043863862478</v>
      </c>
      <c r="D26" s="304">
        <f t="shared" si="62"/>
        <v>0.64716404841280206</v>
      </c>
      <c r="E26" s="304"/>
      <c r="F26" s="304">
        <v>2.7064090879955673E-3</v>
      </c>
      <c r="G26" s="304">
        <v>3.5159730399800565E-3</v>
      </c>
      <c r="H26" s="304">
        <v>4.4622547075338984E-3</v>
      </c>
      <c r="I26" s="304"/>
      <c r="J26" s="304">
        <v>2.3357681063825065E-2</v>
      </c>
      <c r="K26" s="304">
        <v>2.8618222224624901E-2</v>
      </c>
      <c r="L26" s="304">
        <v>3.7006970320283661E-2</v>
      </c>
      <c r="M26" s="304"/>
      <c r="N26" s="304">
        <v>0.16450058435965614</v>
      </c>
      <c r="O26" s="304">
        <v>0.16092139090053822</v>
      </c>
      <c r="P26" s="304">
        <v>0.1560019147309171</v>
      </c>
      <c r="Q26" s="306"/>
      <c r="R26" s="304">
        <v>4.381568570010231E-2</v>
      </c>
      <c r="S26" s="304">
        <v>4.6188457030599525E-2</v>
      </c>
      <c r="T26" s="304">
        <v>5.727412952321384E-2</v>
      </c>
      <c r="U26" s="306"/>
      <c r="V26" s="304">
        <v>2.7277041955797519E-2</v>
      </c>
      <c r="W26" s="304">
        <v>2.1994271265132519E-2</v>
      </c>
      <c r="X26" s="304">
        <v>1.9997998942153587E-2</v>
      </c>
      <c r="Y26" s="306"/>
      <c r="Z26" s="304">
        <v>7.2869881082157403E-2</v>
      </c>
      <c r="AA26" s="304">
        <v>6.0829105920998876E-2</v>
      </c>
      <c r="AB26" s="304">
        <v>6.613141233593367E-2</v>
      </c>
      <c r="AC26" s="306"/>
      <c r="AD26" s="304">
        <v>8.1040313333832173E-2</v>
      </c>
      <c r="AE26" s="304">
        <v>5.253806794556027E-2</v>
      </c>
      <c r="AF26" s="304">
        <v>3.5978654360826978E-2</v>
      </c>
      <c r="AG26" s="306"/>
      <c r="AH26" s="304">
        <v>0.14806915131629267</v>
      </c>
      <c r="AI26" s="304">
        <v>0.14702515080762008</v>
      </c>
      <c r="AJ26" s="304">
        <v>0.13504633878056621</v>
      </c>
      <c r="AK26" s="306"/>
      <c r="AL26" s="304">
        <v>6.7852447371458707E-2</v>
      </c>
      <c r="AM26" s="304">
        <v>0.11177979950357034</v>
      </c>
      <c r="AN26" s="304">
        <v>0.13526437471137309</v>
      </c>
    </row>
    <row r="27" spans="1:40" x14ac:dyDescent="0.2">
      <c r="A27" s="13" t="str">
        <f t="shared" si="58"/>
        <v>Sales and customer service occupations</v>
      </c>
      <c r="B27" s="304">
        <f t="shared" si="60"/>
        <v>0.76754067314054641</v>
      </c>
      <c r="C27" s="304">
        <f t="shared" si="61"/>
        <v>0.78976106257358247</v>
      </c>
      <c r="D27" s="304">
        <f t="shared" si="62"/>
        <v>0.79995119366480694</v>
      </c>
      <c r="E27" s="304"/>
      <c r="F27" s="304">
        <v>4.7825586600521441E-3</v>
      </c>
      <c r="G27" s="304">
        <v>6.2895210754241341E-3</v>
      </c>
      <c r="H27" s="304">
        <v>8.3397439232354258E-3</v>
      </c>
      <c r="I27" s="304"/>
      <c r="J27" s="304">
        <v>2.5975869428423108E-2</v>
      </c>
      <c r="K27" s="304">
        <v>2.9918486200701169E-2</v>
      </c>
      <c r="L27" s="304">
        <v>3.4519858413626391E-2</v>
      </c>
      <c r="M27" s="304"/>
      <c r="N27" s="304">
        <v>0.13170199384233056</v>
      </c>
      <c r="O27" s="304">
        <v>0.16109095653094196</v>
      </c>
      <c r="P27" s="304">
        <v>0.21254234918942855</v>
      </c>
      <c r="Q27" s="306"/>
      <c r="R27" s="304">
        <v>5.7984844759459468E-2</v>
      </c>
      <c r="S27" s="304">
        <v>6.1567607345746178E-2</v>
      </c>
      <c r="T27" s="304">
        <v>7.799928063703776E-2</v>
      </c>
      <c r="U27" s="306"/>
      <c r="V27" s="304">
        <v>4.306322183982772E-2</v>
      </c>
      <c r="W27" s="304">
        <v>4.5696245543602479E-2</v>
      </c>
      <c r="X27" s="304">
        <v>5.288196576190448E-2</v>
      </c>
      <c r="Y27" s="306"/>
      <c r="Z27" s="304">
        <v>0.15077748799490667</v>
      </c>
      <c r="AA27" s="304">
        <v>0.16994552958333475</v>
      </c>
      <c r="AB27" s="304">
        <v>0.20592622991241205</v>
      </c>
      <c r="AC27" s="306"/>
      <c r="AD27" s="304">
        <v>0.11201663105895927</v>
      </c>
      <c r="AE27" s="304">
        <v>0.10597626773841022</v>
      </c>
      <c r="AF27" s="304">
        <v>9.7319053081583201E-2</v>
      </c>
      <c r="AG27" s="306"/>
      <c r="AH27" s="304">
        <v>0.21279831719218292</v>
      </c>
      <c r="AI27" s="304">
        <v>0.17799721627282669</v>
      </c>
      <c r="AJ27" s="304">
        <v>8.1108340002530352E-2</v>
      </c>
      <c r="AK27" s="306"/>
      <c r="AL27" s="304">
        <v>2.8439748364404573E-2</v>
      </c>
      <c r="AM27" s="304">
        <v>3.1279232282594924E-2</v>
      </c>
      <c r="AN27" s="304">
        <v>2.9314372743048819E-2</v>
      </c>
    </row>
    <row r="28" spans="1:40" x14ac:dyDescent="0.2">
      <c r="A28" s="13" t="str">
        <f t="shared" si="58"/>
        <v>Process, plant and machine operatives</v>
      </c>
      <c r="B28" s="304">
        <f t="shared" si="60"/>
        <v>2.0273792854360404</v>
      </c>
      <c r="C28" s="304">
        <f t="shared" si="61"/>
        <v>2.0403745835868832</v>
      </c>
      <c r="D28" s="304">
        <f t="shared" si="62"/>
        <v>2.0102751025734125</v>
      </c>
      <c r="E28" s="304"/>
      <c r="F28" s="304">
        <v>3.1048645100852725E-4</v>
      </c>
      <c r="G28" s="304">
        <v>4.3124229308635361E-4</v>
      </c>
      <c r="H28" s="304">
        <v>5.6962236823324228E-4</v>
      </c>
      <c r="I28" s="304"/>
      <c r="J28" s="304">
        <v>2.2626886741363917E-2</v>
      </c>
      <c r="K28" s="304">
        <v>2.8712053433822406E-2</v>
      </c>
      <c r="L28" s="304">
        <v>3.7106700299197187E-2</v>
      </c>
      <c r="M28" s="304"/>
      <c r="N28" s="304">
        <v>8.9230011138315093E-2</v>
      </c>
      <c r="O28" s="304">
        <v>0.1018478303790139</v>
      </c>
      <c r="P28" s="304">
        <v>0.12625537852774391</v>
      </c>
      <c r="Q28" s="306"/>
      <c r="R28" s="304">
        <v>3.3341964634468597E-2</v>
      </c>
      <c r="S28" s="304">
        <v>3.6898112945799533E-2</v>
      </c>
      <c r="T28" s="304">
        <v>4.5743927568979811E-2</v>
      </c>
      <c r="U28" s="306"/>
      <c r="V28" s="304">
        <v>7.4334694665725176E-2</v>
      </c>
      <c r="W28" s="304">
        <v>7.8316169468476984E-2</v>
      </c>
      <c r="X28" s="304">
        <v>8.4645250243406425E-2</v>
      </c>
      <c r="Y28" s="306"/>
      <c r="Z28" s="304">
        <v>0.62134805328657428</v>
      </c>
      <c r="AA28" s="304">
        <v>0.68881609896475149</v>
      </c>
      <c r="AB28" s="304">
        <v>0.84222255093141918</v>
      </c>
      <c r="AC28" s="306"/>
      <c r="AD28" s="304">
        <v>0.66017942842929833</v>
      </c>
      <c r="AE28" s="304">
        <v>0.65312255698065769</v>
      </c>
      <c r="AF28" s="304">
        <v>0.60374861249218625</v>
      </c>
      <c r="AG28" s="306"/>
      <c r="AH28" s="304">
        <v>0.29422979830152757</v>
      </c>
      <c r="AI28" s="304">
        <v>0.17803981159712304</v>
      </c>
      <c r="AJ28" s="304">
        <v>7.1771159555825678E-2</v>
      </c>
      <c r="AK28" s="306"/>
      <c r="AL28" s="304">
        <v>0.23177796178775908</v>
      </c>
      <c r="AM28" s="304">
        <v>0.27419070752415203</v>
      </c>
      <c r="AN28" s="304">
        <v>0.1982119005864208</v>
      </c>
    </row>
    <row r="29" spans="1:40" x14ac:dyDescent="0.2">
      <c r="A29" s="13" t="str">
        <f t="shared" si="58"/>
        <v>Elementary occupations</v>
      </c>
      <c r="B29" s="304">
        <f t="shared" si="60"/>
        <v>2.4049078557117087</v>
      </c>
      <c r="C29" s="304">
        <f t="shared" si="61"/>
        <v>2.8581858179386024</v>
      </c>
      <c r="D29" s="304">
        <f t="shared" si="62"/>
        <v>2.8156679322257427</v>
      </c>
      <c r="E29" s="304"/>
      <c r="F29" s="304">
        <v>3.5263893166264071E-5</v>
      </c>
      <c r="G29" s="304">
        <v>4.1832613108021216E-5</v>
      </c>
      <c r="H29" s="304">
        <v>5.5042153852915853E-5</v>
      </c>
      <c r="I29" s="304"/>
      <c r="J29" s="304">
        <v>6.9405716805093304E-2</v>
      </c>
      <c r="K29" s="304">
        <v>9.9298291462460136E-2</v>
      </c>
      <c r="L29" s="304">
        <v>0.13123983403147671</v>
      </c>
      <c r="M29" s="304"/>
      <c r="N29" s="304">
        <v>0.17962542214828522</v>
      </c>
      <c r="O29" s="304">
        <v>0.23471884446561128</v>
      </c>
      <c r="P29" s="304">
        <v>0.26222262732487972</v>
      </c>
      <c r="Q29" s="306"/>
      <c r="R29" s="304">
        <v>8.4714455147751624E-2</v>
      </c>
      <c r="S29" s="304">
        <v>0.11591333927929937</v>
      </c>
      <c r="T29" s="304">
        <v>0.12815550330129241</v>
      </c>
      <c r="U29" s="306"/>
      <c r="V29" s="304">
        <v>0.18765027605407256</v>
      </c>
      <c r="W29" s="304">
        <v>0.24525093778579726</v>
      </c>
      <c r="X29" s="304">
        <v>0.27825712474354308</v>
      </c>
      <c r="Y29" s="306"/>
      <c r="Z29" s="304">
        <v>0.52045596620902679</v>
      </c>
      <c r="AA29" s="304">
        <v>0.66031739192541483</v>
      </c>
      <c r="AB29" s="304">
        <v>0.64819273603239869</v>
      </c>
      <c r="AC29" s="306"/>
      <c r="AD29" s="304">
        <v>0.56692042855547542</v>
      </c>
      <c r="AE29" s="304">
        <v>0.6297243232012868</v>
      </c>
      <c r="AF29" s="304">
        <v>0.51332137888311891</v>
      </c>
      <c r="AG29" s="306"/>
      <c r="AH29" s="304">
        <v>0.49163450156703925</v>
      </c>
      <c r="AI29" s="304">
        <v>0.3914083824834021</v>
      </c>
      <c r="AJ29" s="304">
        <v>0.2900861515952291</v>
      </c>
      <c r="AK29" s="306"/>
      <c r="AL29" s="304">
        <v>0.30446582533179828</v>
      </c>
      <c r="AM29" s="304">
        <v>0.48151247472222253</v>
      </c>
      <c r="AN29" s="304">
        <v>0.56413753415995116</v>
      </c>
    </row>
    <row r="30" spans="1:40" x14ac:dyDescent="0.2">
      <c r="B30" s="305"/>
      <c r="C30" s="305"/>
      <c r="D30" s="305"/>
      <c r="E30" s="304"/>
      <c r="F30" s="304"/>
      <c r="G30" s="304"/>
      <c r="H30" s="304"/>
      <c r="I30" s="304"/>
      <c r="J30" s="304"/>
      <c r="K30" s="304"/>
      <c r="L30" s="304"/>
      <c r="M30" s="304"/>
      <c r="N30" s="304"/>
      <c r="O30" s="304"/>
      <c r="P30" s="304"/>
      <c r="Q30" s="306"/>
      <c r="R30" s="304"/>
      <c r="S30" s="304"/>
      <c r="T30" s="304"/>
      <c r="U30" s="306"/>
      <c r="V30" s="304"/>
      <c r="W30" s="304"/>
      <c r="X30" s="304"/>
      <c r="Y30" s="306"/>
      <c r="Z30" s="304"/>
      <c r="AA30" s="304"/>
      <c r="AB30" s="304"/>
      <c r="AC30" s="306"/>
      <c r="AD30" s="304"/>
      <c r="AE30" s="304"/>
      <c r="AF30" s="304"/>
      <c r="AG30" s="306"/>
      <c r="AH30" s="304"/>
      <c r="AI30" s="304"/>
      <c r="AJ30" s="304"/>
      <c r="AK30" s="306"/>
      <c r="AL30" s="304"/>
      <c r="AM30" s="304"/>
      <c r="AN30" s="304"/>
    </row>
    <row r="31" spans="1:40" x14ac:dyDescent="0.2">
      <c r="A31" s="1" t="str">
        <f>name!C5</f>
        <v>Manufacturing</v>
      </c>
      <c r="B31" s="306"/>
      <c r="C31" s="306"/>
      <c r="D31" s="306"/>
      <c r="E31" s="304"/>
      <c r="F31" s="304"/>
      <c r="G31" s="304"/>
      <c r="H31" s="304"/>
      <c r="I31" s="304"/>
      <c r="J31" s="304"/>
      <c r="K31" s="304"/>
      <c r="L31" s="304"/>
      <c r="M31" s="304"/>
      <c r="N31" s="304"/>
      <c r="O31" s="304"/>
      <c r="P31" s="304"/>
      <c r="Q31" s="306"/>
      <c r="R31" s="304"/>
      <c r="S31" s="304"/>
      <c r="T31" s="304"/>
      <c r="U31" s="306"/>
      <c r="V31" s="304"/>
      <c r="W31" s="304"/>
      <c r="X31" s="304"/>
      <c r="Y31" s="306"/>
      <c r="Z31" s="304"/>
      <c r="AA31" s="304"/>
      <c r="AB31" s="304"/>
      <c r="AC31" s="306"/>
      <c r="AD31" s="304"/>
      <c r="AE31" s="304"/>
      <c r="AF31" s="304"/>
      <c r="AG31" s="306"/>
      <c r="AH31" s="304"/>
      <c r="AI31" s="304"/>
      <c r="AJ31" s="304"/>
      <c r="AK31" s="306"/>
      <c r="AL31" s="304"/>
      <c r="AM31" s="304"/>
      <c r="AN31" s="304"/>
    </row>
    <row r="32" spans="1:40" x14ac:dyDescent="0.2">
      <c r="A32" s="13" t="str">
        <f t="shared" ref="A32:A41" si="63">A8</f>
        <v>All occupations</v>
      </c>
      <c r="B32" s="305">
        <f>SUM(B33:B41)</f>
        <v>68.034000000000049</v>
      </c>
      <c r="C32" s="305">
        <f>SUM(C33:C41)</f>
        <v>65.943999999999917</v>
      </c>
      <c r="D32" s="305">
        <f>SUM(D33:D41)</f>
        <v>62.160999999999945</v>
      </c>
      <c r="E32" s="304"/>
      <c r="F32" s="305">
        <f>SUM(F33:F41)</f>
        <v>0.51045329681005902</v>
      </c>
      <c r="G32" s="305">
        <f>SUM(G33:G41)</f>
        <v>0.60395993856238506</v>
      </c>
      <c r="H32" s="305">
        <f>SUM(H33:H41)</f>
        <v>0.75314743892265013</v>
      </c>
      <c r="I32" s="304"/>
      <c r="J32" s="305">
        <f>SUM(J33:J41)</f>
        <v>3.2663774994951313</v>
      </c>
      <c r="K32" s="305">
        <f>SUM(K33:K41)</f>
        <v>3.9257263781246956</v>
      </c>
      <c r="L32" s="305">
        <f>SUM(L33:L41)</f>
        <v>5.0762139279579666</v>
      </c>
      <c r="M32" s="304"/>
      <c r="N32" s="305">
        <f>SUM(N33:N41)</f>
        <v>9.3464704483880734</v>
      </c>
      <c r="O32" s="305">
        <f>SUM(O33:O41)</f>
        <v>9.8263091105626472</v>
      </c>
      <c r="P32" s="305">
        <f>SUM(P33:P41)</f>
        <v>11.133966443711676</v>
      </c>
      <c r="Q32" s="306"/>
      <c r="R32" s="305">
        <f>SUM(R33:R41)</f>
        <v>2.7689557675332779</v>
      </c>
      <c r="S32" s="305">
        <f>SUM(S33:S41)</f>
        <v>3.0331738313635368</v>
      </c>
      <c r="T32" s="305">
        <f>SUM(T33:T41)</f>
        <v>3.6813668323070075</v>
      </c>
      <c r="U32" s="306"/>
      <c r="V32" s="305">
        <f>SUM(V33:V41)</f>
        <v>5.1669475540497789</v>
      </c>
      <c r="W32" s="305">
        <f>SUM(W33:W41)</f>
        <v>5.257478280274869</v>
      </c>
      <c r="X32" s="305">
        <f>SUM(X33:X41)</f>
        <v>5.7257364950689587</v>
      </c>
      <c r="Y32" s="306"/>
      <c r="Z32" s="305">
        <f>SUM(Z33:Z41)</f>
        <v>16.515258114875209</v>
      </c>
      <c r="AA32" s="305">
        <f>SUM(AA33:AA41)</f>
        <v>16.739423576114163</v>
      </c>
      <c r="AB32" s="305">
        <f>SUM(AB33:AB41)</f>
        <v>16.564334837528893</v>
      </c>
      <c r="AC32" s="306"/>
      <c r="AD32" s="305">
        <f>SUM(AD33:AD41)</f>
        <v>15.04893396250084</v>
      </c>
      <c r="AE32" s="305">
        <f>SUM(AE33:AE41)</f>
        <v>13.881902054204769</v>
      </c>
      <c r="AF32" s="305">
        <f>SUM(AF33:AF41)</f>
        <v>11.211767808083643</v>
      </c>
      <c r="AG32" s="306"/>
      <c r="AH32" s="305">
        <f>SUM(AH33:AH41)</f>
        <v>12.092948291040397</v>
      </c>
      <c r="AI32" s="305">
        <f>SUM(AI33:AI41)</f>
        <v>10.197253254433523</v>
      </c>
      <c r="AJ32" s="305">
        <f>SUM(AJ33:AJ41)</f>
        <v>6.292100573772812</v>
      </c>
      <c r="AK32" s="306"/>
      <c r="AL32" s="305">
        <f>SUM(AL33:AL41)</f>
        <v>3.3176550653072781</v>
      </c>
      <c r="AM32" s="305">
        <f>SUM(AM33:AM41)</f>
        <v>2.4787735763593313</v>
      </c>
      <c r="AN32" s="305">
        <f>SUM(AN33:AN41)</f>
        <v>1.7223656426463372</v>
      </c>
    </row>
    <row r="33" spans="1:40" x14ac:dyDescent="0.2">
      <c r="A33" s="13" t="str">
        <f t="shared" si="63"/>
        <v>Managers, directors and senior officials</v>
      </c>
      <c r="B33" s="304">
        <f>SUM(F33,J33,N33,R33,V33,Z33,AD33,AH33,AL33)</f>
        <v>7.8534663611424413</v>
      </c>
      <c r="C33" s="304">
        <f t="shared" ref="C33:C41" si="64">SUM(G33,K33,O33,S33,W33,AA33,AE33,AI33,AM33)</f>
        <v>6.8120474917307936</v>
      </c>
      <c r="D33" s="304">
        <f t="shared" ref="D33:D40" si="65">SUM(H33,L33,P33,T33,X33,AB33,AF33,AJ33,AN33)</f>
        <v>6.6378267969491249</v>
      </c>
      <c r="E33" s="304"/>
      <c r="F33" s="304">
        <v>7.4714229212204927E-2</v>
      </c>
      <c r="G33" s="304">
        <v>6.8230104399203809E-2</v>
      </c>
      <c r="H33" s="304">
        <v>7.2501721323904922E-2</v>
      </c>
      <c r="I33" s="304"/>
      <c r="J33" s="304">
        <v>0.67190942187956049</v>
      </c>
      <c r="K33" s="304">
        <v>0.68593401910288432</v>
      </c>
      <c r="L33" s="304">
        <v>0.77458539625043332</v>
      </c>
      <c r="M33" s="304"/>
      <c r="N33" s="304">
        <v>2.1569408493686129</v>
      </c>
      <c r="O33" s="304">
        <v>2.0050243971370474</v>
      </c>
      <c r="P33" s="304">
        <v>2.1401229737651972</v>
      </c>
      <c r="Q33" s="306"/>
      <c r="R33" s="304">
        <v>0.51513723118275201</v>
      </c>
      <c r="S33" s="304">
        <v>0.49128343757371312</v>
      </c>
      <c r="T33" s="304">
        <v>0.55355414724433738</v>
      </c>
      <c r="U33" s="306"/>
      <c r="V33" s="304">
        <v>0.92181859607670613</v>
      </c>
      <c r="W33" s="304">
        <v>0.79379419144231111</v>
      </c>
      <c r="X33" s="304">
        <v>0.81448198104015423</v>
      </c>
      <c r="Y33" s="306"/>
      <c r="Z33" s="304">
        <v>1.4787975429757163</v>
      </c>
      <c r="AA33" s="304">
        <v>1.2573463915502436</v>
      </c>
      <c r="AB33" s="304">
        <v>1.1719589681117435</v>
      </c>
      <c r="AC33" s="306"/>
      <c r="AD33" s="304">
        <v>1.2149746966057358</v>
      </c>
      <c r="AE33" s="304">
        <v>0.91006378163760915</v>
      </c>
      <c r="AF33" s="304">
        <v>0.70171796156751676</v>
      </c>
      <c r="AG33" s="306"/>
      <c r="AH33" s="304">
        <v>0.67355998926855831</v>
      </c>
      <c r="AI33" s="304">
        <v>0.44554448659597812</v>
      </c>
      <c r="AJ33" s="304">
        <v>0.25601775437356855</v>
      </c>
      <c r="AK33" s="306"/>
      <c r="AL33" s="304">
        <v>0.14561380457259404</v>
      </c>
      <c r="AM33" s="304">
        <v>0.15482668229180269</v>
      </c>
      <c r="AN33" s="304">
        <v>0.15288589327226887</v>
      </c>
    </row>
    <row r="34" spans="1:40" x14ac:dyDescent="0.2">
      <c r="A34" s="13" t="str">
        <f t="shared" si="63"/>
        <v>Professional occupations</v>
      </c>
      <c r="B34" s="304">
        <f t="shared" ref="B34:B41" si="66">SUM(F34,J34,N34,R34,V34,Z34,AD34,AH34,AL34)</f>
        <v>10.086781793566107</v>
      </c>
      <c r="C34" s="304">
        <f t="shared" si="64"/>
        <v>11.14067487928294</v>
      </c>
      <c r="D34" s="304">
        <f t="shared" si="65"/>
        <v>12.022481740292822</v>
      </c>
      <c r="E34" s="304"/>
      <c r="F34" s="304">
        <v>0.32477369743912482</v>
      </c>
      <c r="G34" s="304">
        <v>0.40923942346691006</v>
      </c>
      <c r="H34" s="304">
        <v>0.52713089904912802</v>
      </c>
      <c r="I34" s="304"/>
      <c r="J34" s="304">
        <v>1.1729065068260347</v>
      </c>
      <c r="K34" s="304">
        <v>1.4774778028414408</v>
      </c>
      <c r="L34" s="304">
        <v>1.8542765171151412</v>
      </c>
      <c r="M34" s="304"/>
      <c r="N34" s="304">
        <v>2.5541097338212548</v>
      </c>
      <c r="O34" s="304">
        <v>2.7040517670493709</v>
      </c>
      <c r="P34" s="304">
        <v>2.9153281804832698</v>
      </c>
      <c r="Q34" s="306"/>
      <c r="R34" s="304">
        <v>0.43032890300952154</v>
      </c>
      <c r="S34" s="304">
        <v>0.51225330673493419</v>
      </c>
      <c r="T34" s="304">
        <v>0.64498847732872666</v>
      </c>
      <c r="U34" s="306"/>
      <c r="V34" s="304">
        <v>1.3888716865181459</v>
      </c>
      <c r="W34" s="304">
        <v>1.5612622331555215</v>
      </c>
      <c r="X34" s="304">
        <v>1.748095707533931</v>
      </c>
      <c r="Y34" s="306"/>
      <c r="Z34" s="304">
        <v>2.3829825031253251</v>
      </c>
      <c r="AA34" s="304">
        <v>2.7327081694085065</v>
      </c>
      <c r="AB34" s="304">
        <v>2.943193305544777</v>
      </c>
      <c r="AC34" s="306"/>
      <c r="AD34" s="304">
        <v>0.98953522967884133</v>
      </c>
      <c r="AE34" s="304">
        <v>0.90293139121088206</v>
      </c>
      <c r="AF34" s="304">
        <v>0.69438907036484487</v>
      </c>
      <c r="AG34" s="306"/>
      <c r="AH34" s="304">
        <v>0.71269532457253015</v>
      </c>
      <c r="AI34" s="304">
        <v>0.67001994568064394</v>
      </c>
      <c r="AJ34" s="304">
        <v>0.51582181049836184</v>
      </c>
      <c r="AK34" s="306"/>
      <c r="AL34" s="304">
        <v>0.13057820857532987</v>
      </c>
      <c r="AM34" s="304">
        <v>0.17073083973473097</v>
      </c>
      <c r="AN34" s="304">
        <v>0.17925777237464111</v>
      </c>
    </row>
    <row r="35" spans="1:40" x14ac:dyDescent="0.2">
      <c r="A35" s="13" t="str">
        <f t="shared" si="63"/>
        <v>Associate professional occupations</v>
      </c>
      <c r="B35" s="304">
        <f t="shared" si="66"/>
        <v>8.5153032213679332</v>
      </c>
      <c r="C35" s="304">
        <f t="shared" si="64"/>
        <v>7.9403522496233769</v>
      </c>
      <c r="D35" s="304">
        <f t="shared" si="65"/>
        <v>7.9480904071327432</v>
      </c>
      <c r="E35" s="304"/>
      <c r="F35" s="304">
        <v>6.5670611685777661E-2</v>
      </c>
      <c r="G35" s="304">
        <v>7.2454707013720657E-2</v>
      </c>
      <c r="H35" s="304">
        <v>8.7856469271947651E-2</v>
      </c>
      <c r="I35" s="304"/>
      <c r="J35" s="304">
        <v>0.59636520358749612</v>
      </c>
      <c r="K35" s="304">
        <v>0.63589764185603415</v>
      </c>
      <c r="L35" s="304">
        <v>0.73679280892928756</v>
      </c>
      <c r="M35" s="304"/>
      <c r="N35" s="304">
        <v>1.9470926390846004</v>
      </c>
      <c r="O35" s="304">
        <v>1.9711577917940322</v>
      </c>
      <c r="P35" s="304">
        <v>2.1302177683734937</v>
      </c>
      <c r="Q35" s="306"/>
      <c r="R35" s="304">
        <v>0.55733381330115794</v>
      </c>
      <c r="S35" s="304">
        <v>0.59322992904551319</v>
      </c>
      <c r="T35" s="304">
        <v>0.70629942532341783</v>
      </c>
      <c r="U35" s="306"/>
      <c r="V35" s="304">
        <v>0.73001385916348849</v>
      </c>
      <c r="W35" s="304">
        <v>0.62873959154876091</v>
      </c>
      <c r="X35" s="304">
        <v>0.64749163218385952</v>
      </c>
      <c r="Y35" s="306"/>
      <c r="Z35" s="304">
        <v>2.2943562653233411</v>
      </c>
      <c r="AA35" s="304">
        <v>2.2018922385456965</v>
      </c>
      <c r="AB35" s="304">
        <v>2.2385734905612535</v>
      </c>
      <c r="AC35" s="306"/>
      <c r="AD35" s="304">
        <v>1.3643565137834097</v>
      </c>
      <c r="AE35" s="304">
        <v>1.128506628535626</v>
      </c>
      <c r="AF35" s="304">
        <v>0.89481049753179132</v>
      </c>
      <c r="AG35" s="306"/>
      <c r="AH35" s="304">
        <v>0.82637468831800087</v>
      </c>
      <c r="AI35" s="304">
        <v>0.54026687091759329</v>
      </c>
      <c r="AJ35" s="304">
        <v>0.33355147713041372</v>
      </c>
      <c r="AK35" s="306"/>
      <c r="AL35" s="304">
        <v>0.1337396271206607</v>
      </c>
      <c r="AM35" s="304">
        <v>0.16820685036640023</v>
      </c>
      <c r="AN35" s="304">
        <v>0.17249683782727876</v>
      </c>
    </row>
    <row r="36" spans="1:40" x14ac:dyDescent="0.2">
      <c r="A36" s="13" t="str">
        <f t="shared" si="63"/>
        <v>Administrative and secretarial occupations</v>
      </c>
      <c r="B36" s="304">
        <f t="shared" si="66"/>
        <v>5.7839985637701714</v>
      </c>
      <c r="C36" s="304">
        <f t="shared" si="64"/>
        <v>5.4045393634836909</v>
      </c>
      <c r="D36" s="304">
        <f t="shared" si="65"/>
        <v>5.027013437774527</v>
      </c>
      <c r="E36" s="304"/>
      <c r="F36" s="304">
        <v>1.5112029698764438E-2</v>
      </c>
      <c r="G36" s="304">
        <v>1.846476182999672E-2</v>
      </c>
      <c r="H36" s="304">
        <v>2.1938596128321063E-2</v>
      </c>
      <c r="I36" s="304"/>
      <c r="J36" s="304">
        <v>0.25468973213913293</v>
      </c>
      <c r="K36" s="304">
        <v>0.32360539757108642</v>
      </c>
      <c r="L36" s="304">
        <v>0.40773563450042488</v>
      </c>
      <c r="M36" s="304"/>
      <c r="N36" s="304">
        <v>0.79502858693669853</v>
      </c>
      <c r="O36" s="304">
        <v>0.86798482285742418</v>
      </c>
      <c r="P36" s="304">
        <v>0.95711855106035104</v>
      </c>
      <c r="Q36" s="306"/>
      <c r="R36" s="304">
        <v>0.34230950575824898</v>
      </c>
      <c r="S36" s="304">
        <v>0.3931667094624548</v>
      </c>
      <c r="T36" s="304">
        <v>0.49357158584433253</v>
      </c>
      <c r="U36" s="306"/>
      <c r="V36" s="304">
        <v>0.42626146677933013</v>
      </c>
      <c r="W36" s="304">
        <v>0.46643577807593256</v>
      </c>
      <c r="X36" s="304">
        <v>0.53635556956236596</v>
      </c>
      <c r="Y36" s="306"/>
      <c r="Z36" s="304">
        <v>1.4245090842238426</v>
      </c>
      <c r="AA36" s="304">
        <v>1.4543052974207762</v>
      </c>
      <c r="AB36" s="304">
        <v>1.4689661213450325</v>
      </c>
      <c r="AC36" s="306"/>
      <c r="AD36" s="304">
        <v>1.7111806736387087</v>
      </c>
      <c r="AE36" s="304">
        <v>1.2519385410471153</v>
      </c>
      <c r="AF36" s="304">
        <v>0.7980774140023702</v>
      </c>
      <c r="AG36" s="306"/>
      <c r="AH36" s="304">
        <v>0.73717684503559056</v>
      </c>
      <c r="AI36" s="304">
        <v>0.55109806996165855</v>
      </c>
      <c r="AJ36" s="304">
        <v>0.28231793450129572</v>
      </c>
      <c r="AK36" s="306"/>
      <c r="AL36" s="304">
        <v>7.7730639559853959E-2</v>
      </c>
      <c r="AM36" s="304">
        <v>7.7539985257246563E-2</v>
      </c>
      <c r="AN36" s="304">
        <v>6.0932030830033339E-2</v>
      </c>
    </row>
    <row r="37" spans="1:40" x14ac:dyDescent="0.2">
      <c r="A37" s="13" t="str">
        <f t="shared" si="63"/>
        <v>Skilled trades occupations</v>
      </c>
      <c r="B37" s="304">
        <f t="shared" si="66"/>
        <v>11.289664164743952</v>
      </c>
      <c r="C37" s="304">
        <f t="shared" si="64"/>
        <v>10.06159630824267</v>
      </c>
      <c r="D37" s="304">
        <f t="shared" si="65"/>
        <v>8.1864888510529763</v>
      </c>
      <c r="E37" s="304"/>
      <c r="F37" s="304">
        <v>1.2335192921582137E-2</v>
      </c>
      <c r="G37" s="304">
        <v>1.6416267781361734E-2</v>
      </c>
      <c r="H37" s="304">
        <v>2.0746656241694941E-2</v>
      </c>
      <c r="I37" s="304"/>
      <c r="J37" s="304">
        <v>0.20484219706920345</v>
      </c>
      <c r="K37" s="304">
        <v>0.25433326231787645</v>
      </c>
      <c r="L37" s="304">
        <v>0.32869225466917024</v>
      </c>
      <c r="M37" s="304"/>
      <c r="N37" s="304">
        <v>0.55342449229184643</v>
      </c>
      <c r="O37" s="304">
        <v>0.56938999295500781</v>
      </c>
      <c r="P37" s="304">
        <v>0.62884124578759304</v>
      </c>
      <c r="Q37" s="306"/>
      <c r="R37" s="304">
        <v>0.27349467715899067</v>
      </c>
      <c r="S37" s="304">
        <v>0.28883395917312371</v>
      </c>
      <c r="T37" s="304">
        <v>0.33566807567650708</v>
      </c>
      <c r="U37" s="306"/>
      <c r="V37" s="304">
        <v>0.78346493290083619</v>
      </c>
      <c r="W37" s="304">
        <v>0.73887036996037414</v>
      </c>
      <c r="X37" s="304">
        <v>0.72707140702865314</v>
      </c>
      <c r="Y37" s="306"/>
      <c r="Z37" s="304">
        <v>3.9645669363434135</v>
      </c>
      <c r="AA37" s="304">
        <v>3.6961302535442271</v>
      </c>
      <c r="AB37" s="304">
        <v>3.1734265240083888</v>
      </c>
      <c r="AC37" s="306"/>
      <c r="AD37" s="304">
        <v>2.6715908565129083</v>
      </c>
      <c r="AE37" s="304">
        <v>2.2313161979225238</v>
      </c>
      <c r="AF37" s="304">
        <v>1.5113190705371282</v>
      </c>
      <c r="AG37" s="306"/>
      <c r="AH37" s="304">
        <v>2.1551966501009234</v>
      </c>
      <c r="AI37" s="304">
        <v>1.7053142545024884</v>
      </c>
      <c r="AJ37" s="304">
        <v>1.0957910208302308</v>
      </c>
      <c r="AK37" s="306"/>
      <c r="AL37" s="304">
        <v>0.67074822944424839</v>
      </c>
      <c r="AM37" s="304">
        <v>0.56099175008568725</v>
      </c>
      <c r="AN37" s="304">
        <v>0.36493259627360891</v>
      </c>
    </row>
    <row r="38" spans="1:40" x14ac:dyDescent="0.2">
      <c r="A38" s="13" t="str">
        <f t="shared" si="63"/>
        <v>Caring, leisure and other service occupations</v>
      </c>
      <c r="B38" s="304">
        <f t="shared" si="66"/>
        <v>0.74761078809346104</v>
      </c>
      <c r="C38" s="304">
        <f t="shared" si="64"/>
        <v>0.70925361739203341</v>
      </c>
      <c r="D38" s="304">
        <f t="shared" si="65"/>
        <v>0.69215126595901411</v>
      </c>
      <c r="E38" s="304"/>
      <c r="F38" s="304">
        <v>3.8635440605212326E-3</v>
      </c>
      <c r="G38" s="304">
        <v>4.5206809265077672E-3</v>
      </c>
      <c r="H38" s="304">
        <v>5.9066808321739548E-3</v>
      </c>
      <c r="I38" s="304"/>
      <c r="J38" s="304">
        <v>1.0026741878284956E-2</v>
      </c>
      <c r="K38" s="304">
        <v>1.1631138049882545E-2</v>
      </c>
      <c r="L38" s="304">
        <v>1.3177979608917851E-2</v>
      </c>
      <c r="M38" s="304"/>
      <c r="N38" s="304">
        <v>0.1021747409371235</v>
      </c>
      <c r="O38" s="304">
        <v>0.10720749435563127</v>
      </c>
      <c r="P38" s="304">
        <v>0.11619848418495118</v>
      </c>
      <c r="Q38" s="306"/>
      <c r="R38" s="304">
        <v>2.7385628497308575E-2</v>
      </c>
      <c r="S38" s="304">
        <v>2.5244293364262895E-2</v>
      </c>
      <c r="T38" s="304">
        <v>2.5790324299184656E-2</v>
      </c>
      <c r="U38" s="306"/>
      <c r="V38" s="304">
        <v>6.7715076039760208E-2</v>
      </c>
      <c r="W38" s="304">
        <v>6.5391293753785648E-2</v>
      </c>
      <c r="X38" s="304">
        <v>7.203132412721143E-2</v>
      </c>
      <c r="Y38" s="306"/>
      <c r="Z38" s="304">
        <v>0.13292630002729822</v>
      </c>
      <c r="AA38" s="304">
        <v>0.11954668098167977</v>
      </c>
      <c r="AB38" s="304">
        <v>0.11938186565812438</v>
      </c>
      <c r="AC38" s="306"/>
      <c r="AD38" s="304">
        <v>0.16936303307358708</v>
      </c>
      <c r="AE38" s="304">
        <v>0.14475661015690683</v>
      </c>
      <c r="AF38" s="304">
        <v>0.11915074966195559</v>
      </c>
      <c r="AG38" s="306"/>
      <c r="AH38" s="304">
        <v>0.19642752487008522</v>
      </c>
      <c r="AI38" s="304">
        <v>0.1809394402714968</v>
      </c>
      <c r="AJ38" s="304">
        <v>0.16285693057002193</v>
      </c>
      <c r="AK38" s="306"/>
      <c r="AL38" s="304">
        <v>3.7728198709492088E-2</v>
      </c>
      <c r="AM38" s="304">
        <v>5.0015985531879921E-2</v>
      </c>
      <c r="AN38" s="304">
        <v>5.765692701647309E-2</v>
      </c>
    </row>
    <row r="39" spans="1:40" x14ac:dyDescent="0.2">
      <c r="A39" s="13" t="str">
        <f t="shared" si="63"/>
        <v>Sales and customer service occupations</v>
      </c>
      <c r="B39" s="304">
        <f t="shared" si="66"/>
        <v>1.9107605643714609</v>
      </c>
      <c r="C39" s="304">
        <f t="shared" si="64"/>
        <v>1.7968686981661262</v>
      </c>
      <c r="D39" s="304">
        <f t="shared" si="65"/>
        <v>1.7444194347635069</v>
      </c>
      <c r="E39" s="304"/>
      <c r="F39" s="304">
        <v>7.2048236469625555E-3</v>
      </c>
      <c r="G39" s="304">
        <v>8.1181659128535255E-3</v>
      </c>
      <c r="H39" s="304">
        <v>9.4256125295638683E-3</v>
      </c>
      <c r="I39" s="304"/>
      <c r="J39" s="304">
        <v>9.6957684865395785E-2</v>
      </c>
      <c r="K39" s="304">
        <v>0.11691989452214195</v>
      </c>
      <c r="L39" s="304">
        <v>0.14039273138200781</v>
      </c>
      <c r="M39" s="304"/>
      <c r="N39" s="304">
        <v>0.40649365577356195</v>
      </c>
      <c r="O39" s="304">
        <v>0.43726234589541479</v>
      </c>
      <c r="P39" s="304">
        <v>0.49909891833495895</v>
      </c>
      <c r="Q39" s="306"/>
      <c r="R39" s="304">
        <v>0.11595394411567063</v>
      </c>
      <c r="S39" s="304">
        <v>0.12747808395012791</v>
      </c>
      <c r="T39" s="304">
        <v>0.14951419008994898</v>
      </c>
      <c r="U39" s="306"/>
      <c r="V39" s="304">
        <v>0.12522514894232922</v>
      </c>
      <c r="W39" s="304">
        <v>0.12958158553056309</v>
      </c>
      <c r="X39" s="304">
        <v>0.14366009780840994</v>
      </c>
      <c r="Y39" s="306"/>
      <c r="Z39" s="304">
        <v>0.44624996661839283</v>
      </c>
      <c r="AA39" s="304">
        <v>0.36747438188868264</v>
      </c>
      <c r="AB39" s="304">
        <v>0.29823866179842795</v>
      </c>
      <c r="AC39" s="306"/>
      <c r="AD39" s="304">
        <v>0.40466967095265444</v>
      </c>
      <c r="AE39" s="304">
        <v>0.37780501763143115</v>
      </c>
      <c r="AF39" s="304">
        <v>0.35617195100989302</v>
      </c>
      <c r="AG39" s="306"/>
      <c r="AH39" s="304">
        <v>0.21190221093321371</v>
      </c>
      <c r="AI39" s="304">
        <v>0.13434930415415863</v>
      </c>
      <c r="AJ39" s="304">
        <v>5.7574077585456705E-2</v>
      </c>
      <c r="AK39" s="306"/>
      <c r="AL39" s="304">
        <v>9.6103458523279617E-2</v>
      </c>
      <c r="AM39" s="304">
        <v>9.7879918680752437E-2</v>
      </c>
      <c r="AN39" s="304">
        <v>9.034319422483944E-2</v>
      </c>
    </row>
    <row r="40" spans="1:40" x14ac:dyDescent="0.2">
      <c r="A40" s="13" t="str">
        <f t="shared" si="63"/>
        <v>Process, plant and machine operatives</v>
      </c>
      <c r="B40" s="304">
        <f t="shared" si="66"/>
        <v>13.886496226618418</v>
      </c>
      <c r="C40" s="304">
        <f t="shared" si="64"/>
        <v>12.948696371635489</v>
      </c>
      <c r="D40" s="304">
        <f t="shared" si="65"/>
        <v>11.368291076100121</v>
      </c>
      <c r="E40" s="304"/>
      <c r="F40" s="304">
        <v>1.8445799400756187E-3</v>
      </c>
      <c r="G40" s="304">
        <v>1.9567638761219118E-3</v>
      </c>
      <c r="H40" s="304">
        <v>2.2201673632542352E-3</v>
      </c>
      <c r="I40" s="304"/>
      <c r="J40" s="304">
        <v>0.21240004469034254</v>
      </c>
      <c r="K40" s="304">
        <v>0.3601799023677773</v>
      </c>
      <c r="L40" s="304">
        <v>0.73728341693776378</v>
      </c>
      <c r="M40" s="304"/>
      <c r="N40" s="304">
        <v>0.42401132780582007</v>
      </c>
      <c r="O40" s="304">
        <v>0.54126733829891205</v>
      </c>
      <c r="P40" s="304">
        <v>0.87492618320293147</v>
      </c>
      <c r="Q40" s="306"/>
      <c r="R40" s="305">
        <v>0.23245576559427722</v>
      </c>
      <c r="S40" s="305">
        <v>0.25198280833627401</v>
      </c>
      <c r="T40" s="305">
        <v>0.28017744642137316</v>
      </c>
      <c r="U40" s="306"/>
      <c r="V40" s="305">
        <v>0.47709123817484583</v>
      </c>
      <c r="W40" s="305">
        <v>0.54108786208390791</v>
      </c>
      <c r="X40" s="305">
        <v>0.59935166229020898</v>
      </c>
      <c r="Y40" s="306"/>
      <c r="Z40" s="305">
        <v>3.3377011917208161</v>
      </c>
      <c r="AA40" s="305">
        <v>3.6928917394536325</v>
      </c>
      <c r="AB40" s="305">
        <v>3.8070107319753479</v>
      </c>
      <c r="AC40" s="306"/>
      <c r="AD40" s="305">
        <v>4.3509009749377077</v>
      </c>
      <c r="AE40" s="305">
        <v>4.2609640824188189</v>
      </c>
      <c r="AF40" s="305">
        <v>3.6274352358882496</v>
      </c>
      <c r="AG40" s="306"/>
      <c r="AH40" s="305">
        <v>3.6236964299727843</v>
      </c>
      <c r="AI40" s="305">
        <v>2.7624011663410286</v>
      </c>
      <c r="AJ40" s="305">
        <v>1.0752317714122559</v>
      </c>
      <c r="AK40" s="306"/>
      <c r="AL40" s="305">
        <v>1.2263946737817464</v>
      </c>
      <c r="AM40" s="305">
        <v>0.53596470845901667</v>
      </c>
      <c r="AN40" s="305">
        <v>0.3646544606087363</v>
      </c>
    </row>
    <row r="41" spans="1:40" x14ac:dyDescent="0.2">
      <c r="A41" s="39" t="str">
        <f t="shared" si="63"/>
        <v>Elementary occupations</v>
      </c>
      <c r="B41" s="307">
        <f t="shared" si="66"/>
        <v>7.9599183163261023</v>
      </c>
      <c r="C41" s="307">
        <f t="shared" si="64"/>
        <v>9.1299710204428006</v>
      </c>
      <c r="D41" s="307">
        <f>SUM(H41,L41,P41,T41,X41,AB41,AF41,AJ41,AN41)</f>
        <v>8.5342369899751116</v>
      </c>
      <c r="E41" s="307"/>
      <c r="F41" s="307">
        <v>4.9345882050456421E-3</v>
      </c>
      <c r="G41" s="307">
        <v>4.5590633557088985E-3</v>
      </c>
      <c r="H41" s="307">
        <v>5.4206361826615321E-3</v>
      </c>
      <c r="I41" s="307"/>
      <c r="J41" s="307">
        <v>4.6279966559680287E-2</v>
      </c>
      <c r="K41" s="307">
        <v>5.9747319495571959E-2</v>
      </c>
      <c r="L41" s="307">
        <v>8.3277188564819846E-2</v>
      </c>
      <c r="M41" s="307"/>
      <c r="N41" s="307">
        <v>0.40719442236855519</v>
      </c>
      <c r="O41" s="307">
        <v>0.62296316021980702</v>
      </c>
      <c r="P41" s="307">
        <v>0.87211413851893138</v>
      </c>
      <c r="Q41" s="308"/>
      <c r="R41" s="307">
        <v>0.27455629891535049</v>
      </c>
      <c r="S41" s="307">
        <v>0.34970130372313329</v>
      </c>
      <c r="T41" s="307">
        <v>0.49180316007917907</v>
      </c>
      <c r="U41" s="308"/>
      <c r="V41" s="307">
        <v>0.24648554945433659</v>
      </c>
      <c r="W41" s="307">
        <v>0.33231537472371281</v>
      </c>
      <c r="X41" s="307">
        <v>0.4371971134941649</v>
      </c>
      <c r="Y41" s="308"/>
      <c r="Z41" s="307">
        <v>1.0531683245170651</v>
      </c>
      <c r="AA41" s="307">
        <v>1.2171284233207209</v>
      </c>
      <c r="AB41" s="307">
        <v>1.3435851685257976</v>
      </c>
      <c r="AC41" s="308"/>
      <c r="AD41" s="307">
        <v>2.172362313317286</v>
      </c>
      <c r="AE41" s="307">
        <v>2.6736198036438554</v>
      </c>
      <c r="AF41" s="307">
        <v>2.5086958575198928</v>
      </c>
      <c r="AG41" s="308"/>
      <c r="AH41" s="307">
        <v>2.9559186279687109</v>
      </c>
      <c r="AI41" s="307">
        <v>3.2073197160084761</v>
      </c>
      <c r="AJ41" s="307">
        <v>2.5129377968712068</v>
      </c>
      <c r="AK41" s="308"/>
      <c r="AL41" s="307">
        <v>0.79901822502007325</v>
      </c>
      <c r="AM41" s="307">
        <v>0.66261685595181419</v>
      </c>
      <c r="AN41" s="307">
        <v>0.27920593021845752</v>
      </c>
    </row>
    <row r="42" spans="1:40" x14ac:dyDescent="0.2">
      <c r="B42" s="32"/>
      <c r="C42" s="32"/>
      <c r="D42" s="32"/>
    </row>
    <row r="43" spans="1:40" ht="15.75" x14ac:dyDescent="0.25">
      <c r="A43" s="19" t="str">
        <f>CONCATENATE(A1," (Continued)")</f>
        <v>Basic Table 1  Employment by Industry Sector, Occupation Group and Qualification, 2020-2035, Greater Lincolnshire (Continued)</v>
      </c>
    </row>
    <row r="44" spans="1:40" ht="12.75" customHeight="1" x14ac:dyDescent="0.25">
      <c r="A44" s="19"/>
    </row>
    <row r="45" spans="1:40" ht="12.75" customHeight="1" x14ac:dyDescent="0.25">
      <c r="A45" s="19"/>
    </row>
    <row r="46" spans="1:40" ht="26.25" customHeight="1" x14ac:dyDescent="0.2">
      <c r="A46" s="78"/>
      <c r="B46" s="78"/>
      <c r="C46" s="79" t="str">
        <f>B4</f>
        <v>All qualifications</v>
      </c>
      <c r="D46" s="78"/>
      <c r="E46" s="78"/>
      <c r="F46" s="78"/>
      <c r="G46" s="79" t="str">
        <f>F4</f>
        <v>RQF8 Doctorate</v>
      </c>
      <c r="H46" s="78"/>
      <c r="I46" s="78"/>
      <c r="J46" s="78"/>
      <c r="K46" s="79" t="str">
        <f>J4</f>
        <v>RQF7 Other higher degree</v>
      </c>
      <c r="L46" s="78"/>
      <c r="M46" s="78"/>
      <c r="N46" s="382" t="str">
        <f>N4</f>
        <v>RQF6 First degree</v>
      </c>
      <c r="O46" s="382"/>
      <c r="P46" s="382"/>
      <c r="Q46" s="78"/>
      <c r="R46" s="382" t="str">
        <f>R4</f>
        <v>RQF5 Foundation degree;Nursing;Teaching</v>
      </c>
      <c r="S46" s="382"/>
      <c r="T46" s="382"/>
      <c r="U46" s="78"/>
      <c r="V46" s="382" t="str">
        <f>V4</f>
        <v>RQF4 HE below degree level</v>
      </c>
      <c r="W46" s="382"/>
      <c r="X46" s="382"/>
      <c r="Y46" s="78"/>
      <c r="Z46" s="382" t="str">
        <f>Z4</f>
        <v>RQF3 A level &amp; equivalent</v>
      </c>
      <c r="AA46" s="382"/>
      <c r="AB46" s="382"/>
      <c r="AC46" s="78"/>
      <c r="AD46" s="382" t="str">
        <f>AD4</f>
        <v>RQF2 GCSE(A-C) &amp; equivalent</v>
      </c>
      <c r="AE46" s="382"/>
      <c r="AF46" s="382"/>
      <c r="AG46" s="78"/>
      <c r="AH46" s="382" t="str">
        <f>AH4</f>
        <v>RQF1 GCSE(below grade C) &amp; equivalent</v>
      </c>
      <c r="AI46" s="382"/>
      <c r="AJ46" s="382"/>
      <c r="AK46" s="78"/>
      <c r="AL46" s="382" t="str">
        <f>AL4</f>
        <v>No Qualification</v>
      </c>
      <c r="AM46" s="382"/>
      <c r="AN46" s="382"/>
    </row>
    <row r="47" spans="1:40" x14ac:dyDescent="0.2">
      <c r="A47" s="39"/>
      <c r="B47" s="42">
        <f>B5</f>
        <v>2020</v>
      </c>
      <c r="C47" s="42">
        <f>C5</f>
        <v>2025</v>
      </c>
      <c r="D47" s="42">
        <f>D5</f>
        <v>2035</v>
      </c>
      <c r="E47" s="39"/>
      <c r="F47" s="35">
        <f>B47</f>
        <v>2020</v>
      </c>
      <c r="G47" s="35">
        <f>C47</f>
        <v>2025</v>
      </c>
      <c r="H47" s="35">
        <f>D47</f>
        <v>2035</v>
      </c>
      <c r="I47" s="39"/>
      <c r="J47" s="35">
        <f>B47</f>
        <v>2020</v>
      </c>
      <c r="K47" s="35">
        <f>C47</f>
        <v>2025</v>
      </c>
      <c r="L47" s="35">
        <f>D47</f>
        <v>2035</v>
      </c>
      <c r="M47" s="39"/>
      <c r="N47" s="35">
        <f>B47</f>
        <v>2020</v>
      </c>
      <c r="O47" s="35">
        <f>C47</f>
        <v>2025</v>
      </c>
      <c r="P47" s="35">
        <f>D47</f>
        <v>2035</v>
      </c>
      <c r="Q47" s="39"/>
      <c r="R47" s="35">
        <f>F47</f>
        <v>2020</v>
      </c>
      <c r="S47" s="35">
        <f>G47</f>
        <v>2025</v>
      </c>
      <c r="T47" s="35">
        <f>H47</f>
        <v>2035</v>
      </c>
      <c r="U47" s="39"/>
      <c r="V47" s="35">
        <f>J47</f>
        <v>2020</v>
      </c>
      <c r="W47" s="35">
        <f>K47</f>
        <v>2025</v>
      </c>
      <c r="X47" s="35">
        <f>L47</f>
        <v>2035</v>
      </c>
      <c r="Y47" s="39"/>
      <c r="Z47" s="35">
        <f>N47</f>
        <v>2020</v>
      </c>
      <c r="AA47" s="35">
        <f>O47</f>
        <v>2025</v>
      </c>
      <c r="AB47" s="35">
        <f>P47</f>
        <v>2035</v>
      </c>
      <c r="AC47" s="39"/>
      <c r="AD47" s="35">
        <f>R47</f>
        <v>2020</v>
      </c>
      <c r="AE47" s="35">
        <f>S47</f>
        <v>2025</v>
      </c>
      <c r="AF47" s="35">
        <f>T47</f>
        <v>2035</v>
      </c>
      <c r="AG47" s="39"/>
      <c r="AH47" s="35">
        <f>V47</f>
        <v>2020</v>
      </c>
      <c r="AI47" s="35">
        <f>W47</f>
        <v>2025</v>
      </c>
      <c r="AJ47" s="35">
        <f>X47</f>
        <v>2035</v>
      </c>
      <c r="AK47" s="39"/>
      <c r="AL47" s="35">
        <f>Z47</f>
        <v>2020</v>
      </c>
      <c r="AM47" s="35">
        <f>AA47</f>
        <v>2025</v>
      </c>
      <c r="AN47" s="35">
        <f>AB47</f>
        <v>2035</v>
      </c>
    </row>
    <row r="48" spans="1:40" x14ac:dyDescent="0.2">
      <c r="B48" s="32"/>
      <c r="C48" s="32"/>
      <c r="D48" s="32"/>
    </row>
    <row r="49" spans="1:40" x14ac:dyDescent="0.2">
      <c r="A49" s="1" t="str">
        <f>name!C6</f>
        <v>Construction</v>
      </c>
      <c r="E49" s="77"/>
      <c r="F49" s="77"/>
      <c r="G49" s="77"/>
      <c r="H49" s="77"/>
      <c r="I49" s="77"/>
      <c r="J49" s="77"/>
      <c r="K49" s="77"/>
      <c r="L49" s="77"/>
      <c r="M49" s="77"/>
      <c r="N49" s="77"/>
      <c r="O49" s="77"/>
      <c r="P49" s="77"/>
      <c r="Q49" s="77"/>
      <c r="R49" s="77"/>
      <c r="S49" s="77"/>
      <c r="T49" s="77"/>
      <c r="U49" s="77"/>
      <c r="V49" s="77"/>
      <c r="W49" s="77"/>
      <c r="X49" s="77"/>
      <c r="Y49" s="77"/>
      <c r="Z49" s="77"/>
      <c r="AA49" s="77"/>
      <c r="AB49" s="77"/>
      <c r="AC49" s="77"/>
      <c r="AD49" s="77"/>
      <c r="AE49" s="77"/>
      <c r="AF49" s="77"/>
      <c r="AG49" s="77"/>
      <c r="AH49" s="77"/>
      <c r="AI49" s="77"/>
      <c r="AJ49" s="77"/>
      <c r="AK49" s="77"/>
      <c r="AL49" s="77"/>
      <c r="AM49" s="77"/>
      <c r="AN49" s="77"/>
    </row>
    <row r="50" spans="1:40" x14ac:dyDescent="0.2">
      <c r="A50" s="13" t="str">
        <f t="shared" ref="A50:A59" si="67">A8</f>
        <v>All occupations</v>
      </c>
      <c r="B50" s="305">
        <f>SUM(B51:B59)</f>
        <v>34.020999999999994</v>
      </c>
      <c r="C50" s="305">
        <f>SUM(C51:C59)</f>
        <v>34.368999999999993</v>
      </c>
      <c r="D50" s="305">
        <f>SUM(D51:D59)</f>
        <v>35.627000000000045</v>
      </c>
      <c r="E50" s="304"/>
      <c r="F50" s="305">
        <f>SUM(F51:F59)</f>
        <v>0.10537953146914379</v>
      </c>
      <c r="G50" s="305">
        <f>SUM(G51:G59)</f>
        <v>0.12950110835125567</v>
      </c>
      <c r="H50" s="305">
        <f>SUM(H51:H59)</f>
        <v>0.18845655472796508</v>
      </c>
      <c r="I50" s="304"/>
      <c r="J50" s="305">
        <f>SUM(J51:J59)</f>
        <v>1.6336469468798123</v>
      </c>
      <c r="K50" s="305">
        <f>SUM(K51:K59)</f>
        <v>2.0801042850458638</v>
      </c>
      <c r="L50" s="305">
        <f>SUM(L51:L59)</f>
        <v>2.9880561660683607</v>
      </c>
      <c r="M50" s="304"/>
      <c r="N50" s="305">
        <f>SUM(N51:N59)</f>
        <v>3.53004212123209</v>
      </c>
      <c r="O50" s="305">
        <f>SUM(O51:O59)</f>
        <v>3.7100239344984178</v>
      </c>
      <c r="P50" s="305">
        <f>SUM(P51:P59)</f>
        <v>4.5132847988890052</v>
      </c>
      <c r="Q50" s="304"/>
      <c r="R50" s="305">
        <f>SUM(R51:R59)</f>
        <v>1.1065000070078435</v>
      </c>
      <c r="S50" s="305">
        <f>SUM(S51:S59)</f>
        <v>1.1336532672139019</v>
      </c>
      <c r="T50" s="305">
        <f>SUM(T51:T59)</f>
        <v>1.4345939500936293</v>
      </c>
      <c r="U50" s="304"/>
      <c r="V50" s="305">
        <f>SUM(V51:V59)</f>
        <v>2.3316301529402073</v>
      </c>
      <c r="W50" s="305">
        <f>SUM(W51:W59)</f>
        <v>2.3101020391846099</v>
      </c>
      <c r="X50" s="305">
        <f>SUM(X51:X59)</f>
        <v>2.7241441756100597</v>
      </c>
      <c r="Y50" s="304"/>
      <c r="Z50" s="305">
        <f>SUM(Z51:Z59)</f>
        <v>10.365350152074631</v>
      </c>
      <c r="AA50" s="305">
        <f>SUM(AA51:AA59)</f>
        <v>10.86741539950323</v>
      </c>
      <c r="AB50" s="305">
        <f>SUM(AB51:AB59)</f>
        <v>12.010093478362259</v>
      </c>
      <c r="AC50" s="304"/>
      <c r="AD50" s="305">
        <f>SUM(AD51:AD59)</f>
        <v>8.1728913898308324</v>
      </c>
      <c r="AE50" s="305">
        <f>SUM(AE51:AE59)</f>
        <v>8.045642827933019</v>
      </c>
      <c r="AF50" s="305">
        <f>SUM(AF51:AF59)</f>
        <v>7.6726175943223911</v>
      </c>
      <c r="AG50" s="304"/>
      <c r="AH50" s="305">
        <f>SUM(AH51:AH59)</f>
        <v>5.3244349880552528</v>
      </c>
      <c r="AI50" s="305">
        <f>SUM(AI51:AI59)</f>
        <v>4.8044020803735865</v>
      </c>
      <c r="AJ50" s="305">
        <f>SUM(AJ51:AJ59)</f>
        <v>3.4499744012668216</v>
      </c>
      <c r="AK50" s="304"/>
      <c r="AL50" s="305">
        <f>SUM(AL51:AL59)</f>
        <v>1.4511247105101732</v>
      </c>
      <c r="AM50" s="305">
        <f>SUM(AM51:AM59)</f>
        <v>1.2881550578961143</v>
      </c>
      <c r="AN50" s="305">
        <f>SUM(AN51:AN59)</f>
        <v>0.64577888065954547</v>
      </c>
    </row>
    <row r="51" spans="1:40" x14ac:dyDescent="0.2">
      <c r="A51" s="13" t="str">
        <f t="shared" si="67"/>
        <v>Managers, directors and senior officials</v>
      </c>
      <c r="B51" s="304">
        <f>SUM(F51,J51,N51,R51,V51,Z51,AD51,AH51,AL51)</f>
        <v>4.0888449595492915</v>
      </c>
      <c r="C51" s="304">
        <f t="shared" ref="C51:D51" si="68">SUM(G51,K51,O51,S51,W51,AA51,AE51,AI51,AM51)</f>
        <v>3.6470815631461573</v>
      </c>
      <c r="D51" s="304">
        <f t="shared" si="68"/>
        <v>4.0490834905390196</v>
      </c>
      <c r="E51" s="304"/>
      <c r="F51" s="304">
        <v>1.5163004184107038E-2</v>
      </c>
      <c r="G51" s="304">
        <v>1.8005692585858886E-2</v>
      </c>
      <c r="H51" s="304">
        <v>2.7303884060172524E-2</v>
      </c>
      <c r="I51" s="304"/>
      <c r="J51" s="304">
        <v>0.34737797215907296</v>
      </c>
      <c r="K51" s="304">
        <v>0.37563655616983599</v>
      </c>
      <c r="L51" s="304">
        <v>0.53641045524849784</v>
      </c>
      <c r="M51" s="304"/>
      <c r="N51" s="304">
        <v>0.71008783359922933</v>
      </c>
      <c r="O51" s="304">
        <v>0.65630073915291398</v>
      </c>
      <c r="P51" s="304">
        <v>0.79706693504602588</v>
      </c>
      <c r="Q51" s="304"/>
      <c r="R51" s="304">
        <v>0.17591041281417399</v>
      </c>
      <c r="S51" s="304">
        <v>0.14578319114700969</v>
      </c>
      <c r="T51" s="304">
        <v>0.15087466144987804</v>
      </c>
      <c r="U51" s="304"/>
      <c r="V51" s="304">
        <v>0.44525025538862739</v>
      </c>
      <c r="W51" s="304">
        <v>0.38674735018496331</v>
      </c>
      <c r="X51" s="304">
        <v>0.45762295633911443</v>
      </c>
      <c r="Y51" s="304"/>
      <c r="Z51" s="304">
        <v>1.1127231371941686</v>
      </c>
      <c r="AA51" s="304">
        <v>0.98876804613356606</v>
      </c>
      <c r="AB51" s="304">
        <v>1.179425611839539</v>
      </c>
      <c r="AC51" s="304"/>
      <c r="AD51" s="304">
        <v>0.70122883826296412</v>
      </c>
      <c r="AE51" s="304">
        <v>0.56032265059482722</v>
      </c>
      <c r="AF51" s="304">
        <v>0.49114056401591166</v>
      </c>
      <c r="AG51" s="304"/>
      <c r="AH51" s="304">
        <v>0.44602423788626649</v>
      </c>
      <c r="AI51" s="304">
        <v>0.36047178178036315</v>
      </c>
      <c r="AJ51" s="304">
        <v>0.27422073720804013</v>
      </c>
      <c r="AK51" s="304"/>
      <c r="AL51" s="304">
        <v>0.1350792680606816</v>
      </c>
      <c r="AM51" s="304">
        <v>0.15504555539681927</v>
      </c>
      <c r="AN51" s="304">
        <v>0.13501768533184041</v>
      </c>
    </row>
    <row r="52" spans="1:40" x14ac:dyDescent="0.2">
      <c r="A52" s="13" t="str">
        <f t="shared" si="67"/>
        <v>Professional occupations</v>
      </c>
      <c r="B52" s="304">
        <f t="shared" ref="B52:B59" si="69">SUM(F52,J52,N52,R52,V52,Z52,AD52,AH52,AL52)</f>
        <v>6.2292794138376024</v>
      </c>
      <c r="C52" s="304">
        <f t="shared" ref="C52:C59" si="70">SUM(G52,K52,O52,S52,W52,AA52,AE52,AI52,AM52)</f>
        <v>6.9462775244917356</v>
      </c>
      <c r="D52" s="304">
        <f t="shared" ref="D52:D59" si="71">SUM(H52,L52,P52,T52,X52,AB52,AF52,AJ52,AN52)</f>
        <v>8.0725242142144982</v>
      </c>
      <c r="E52" s="304"/>
      <c r="F52" s="304">
        <v>4.9152164714521218E-2</v>
      </c>
      <c r="G52" s="304">
        <v>6.2592437097334419E-2</v>
      </c>
      <c r="H52" s="304">
        <v>8.3110373003970575E-2</v>
      </c>
      <c r="I52" s="304"/>
      <c r="J52" s="304">
        <v>0.76292320380001499</v>
      </c>
      <c r="K52" s="304">
        <v>1.0262565566944715</v>
      </c>
      <c r="L52" s="304">
        <v>1.4650340457232685</v>
      </c>
      <c r="M52" s="304"/>
      <c r="N52" s="304">
        <v>1.3118140082577421</v>
      </c>
      <c r="O52" s="304">
        <v>1.3142696480120468</v>
      </c>
      <c r="P52" s="304">
        <v>1.4284764760525004</v>
      </c>
      <c r="Q52" s="304"/>
      <c r="R52" s="304">
        <v>0.16170412390450814</v>
      </c>
      <c r="S52" s="304">
        <v>0.12901498660488922</v>
      </c>
      <c r="T52" s="304">
        <v>0.15530539577670169</v>
      </c>
      <c r="U52" s="304"/>
      <c r="V52" s="304">
        <v>0.51693001789014514</v>
      </c>
      <c r="W52" s="304">
        <v>0.45581147302841368</v>
      </c>
      <c r="X52" s="304">
        <v>0.36043644643129086</v>
      </c>
      <c r="Y52" s="304"/>
      <c r="Z52" s="304">
        <v>1.8561344197705303</v>
      </c>
      <c r="AA52" s="304">
        <v>2.2637899589694435</v>
      </c>
      <c r="AB52" s="304">
        <v>3.0026161064490444</v>
      </c>
      <c r="AC52" s="304"/>
      <c r="AD52" s="304">
        <v>1.0343070387516577</v>
      </c>
      <c r="AE52" s="304">
        <v>1.1497951592901683</v>
      </c>
      <c r="AF52" s="304">
        <v>1.1900211190306311</v>
      </c>
      <c r="AG52" s="304"/>
      <c r="AH52" s="304">
        <v>0.40927620916707602</v>
      </c>
      <c r="AI52" s="304">
        <v>0.38007124684610277</v>
      </c>
      <c r="AJ52" s="304">
        <v>0.26522948647654843</v>
      </c>
      <c r="AK52" s="304"/>
      <c r="AL52" s="304">
        <v>0.1270382275814059</v>
      </c>
      <c r="AM52" s="304">
        <v>0.16467605794886597</v>
      </c>
      <c r="AN52" s="304">
        <v>0.12229476527054155</v>
      </c>
    </row>
    <row r="53" spans="1:40" x14ac:dyDescent="0.2">
      <c r="A53" s="13" t="str">
        <f t="shared" si="67"/>
        <v>Associate professional occupations</v>
      </c>
      <c r="B53" s="304">
        <f t="shared" si="69"/>
        <v>2.8923276336267478</v>
      </c>
      <c r="C53" s="304">
        <f t="shared" si="70"/>
        <v>2.7964243794123682</v>
      </c>
      <c r="D53" s="304">
        <f t="shared" si="71"/>
        <v>3.1099564508146056</v>
      </c>
      <c r="E53" s="304"/>
      <c r="F53" s="304">
        <v>5.1798012393238346E-3</v>
      </c>
      <c r="G53" s="304">
        <v>6.004062259611519E-3</v>
      </c>
      <c r="H53" s="304">
        <v>9.1694899801145133E-3</v>
      </c>
      <c r="I53" s="304"/>
      <c r="J53" s="304">
        <v>0.20795123046384592</v>
      </c>
      <c r="K53" s="304">
        <v>0.25954398150909774</v>
      </c>
      <c r="L53" s="304">
        <v>0.39022620149452714</v>
      </c>
      <c r="M53" s="304"/>
      <c r="N53" s="304">
        <v>0.46219859853694051</v>
      </c>
      <c r="O53" s="304">
        <v>0.46889817536251838</v>
      </c>
      <c r="P53" s="304">
        <v>0.56950448715270696</v>
      </c>
      <c r="Q53" s="304"/>
      <c r="R53" s="304">
        <v>0.19338510259092223</v>
      </c>
      <c r="S53" s="304">
        <v>0.20588868255362763</v>
      </c>
      <c r="T53" s="304">
        <v>0.26589903298780765</v>
      </c>
      <c r="U53" s="304"/>
      <c r="V53" s="304">
        <v>0.39345407084140116</v>
      </c>
      <c r="W53" s="304">
        <v>0.36782472863086935</v>
      </c>
      <c r="X53" s="304">
        <v>0.45027006418977999</v>
      </c>
      <c r="Y53" s="304"/>
      <c r="Z53" s="304">
        <v>0.60914669378748054</v>
      </c>
      <c r="AA53" s="304">
        <v>0.51327755310807777</v>
      </c>
      <c r="AB53" s="304">
        <v>0.49982869005383501</v>
      </c>
      <c r="AC53" s="304"/>
      <c r="AD53" s="304">
        <v>0.55278384165798888</v>
      </c>
      <c r="AE53" s="304">
        <v>0.51668625162234394</v>
      </c>
      <c r="AF53" s="304">
        <v>0.53394327590485069</v>
      </c>
      <c r="AG53" s="304"/>
      <c r="AH53" s="304">
        <v>0.41503278841280938</v>
      </c>
      <c r="AI53" s="304">
        <v>0.40903313690415821</v>
      </c>
      <c r="AJ53" s="304">
        <v>0.34660737993671054</v>
      </c>
      <c r="AK53" s="304"/>
      <c r="AL53" s="304">
        <v>5.3195506096035294E-2</v>
      </c>
      <c r="AM53" s="304">
        <v>4.9267807462063641E-2</v>
      </c>
      <c r="AN53" s="304">
        <v>4.4507829114272909E-2</v>
      </c>
    </row>
    <row r="54" spans="1:40" x14ac:dyDescent="0.2">
      <c r="A54" s="13" t="str">
        <f t="shared" si="67"/>
        <v>Administrative and secretarial occupations</v>
      </c>
      <c r="B54" s="304">
        <f t="shared" si="69"/>
        <v>3.1931152638192994</v>
      </c>
      <c r="C54" s="304">
        <f t="shared" si="70"/>
        <v>3.1690406498919801</v>
      </c>
      <c r="D54" s="304">
        <f t="shared" si="71"/>
        <v>3.1765742551422012</v>
      </c>
      <c r="E54" s="304"/>
      <c r="F54" s="304">
        <v>2.3951068473635286E-2</v>
      </c>
      <c r="G54" s="304">
        <v>2.7124387657344217E-2</v>
      </c>
      <c r="H54" s="304">
        <v>4.5886148529755366E-2</v>
      </c>
      <c r="I54" s="304"/>
      <c r="J54" s="304">
        <v>0.16088926811488014</v>
      </c>
      <c r="K54" s="304">
        <v>0.21877693923726538</v>
      </c>
      <c r="L54" s="304">
        <v>0.32249088501910433</v>
      </c>
      <c r="M54" s="304"/>
      <c r="N54" s="304">
        <v>0.51385422078024923</v>
      </c>
      <c r="O54" s="304">
        <v>0.63614883370795261</v>
      </c>
      <c r="P54" s="304">
        <v>0.88286260511082082</v>
      </c>
      <c r="Q54" s="304"/>
      <c r="R54" s="304">
        <v>0.29237625093652719</v>
      </c>
      <c r="S54" s="304">
        <v>0.30881168428238048</v>
      </c>
      <c r="T54" s="304">
        <v>0.40785844724585435</v>
      </c>
      <c r="U54" s="304"/>
      <c r="V54" s="304">
        <v>0.16441440581710048</v>
      </c>
      <c r="W54" s="304">
        <v>0.16286315287374509</v>
      </c>
      <c r="X54" s="304">
        <v>0.23555379824615033</v>
      </c>
      <c r="Y54" s="304"/>
      <c r="Z54" s="304">
        <v>0.59321753453058457</v>
      </c>
      <c r="AA54" s="304">
        <v>0.51846138295861521</v>
      </c>
      <c r="AB54" s="304">
        <v>0.42618308095842311</v>
      </c>
      <c r="AC54" s="304"/>
      <c r="AD54" s="304">
        <v>0.51847738291185019</v>
      </c>
      <c r="AE54" s="304">
        <v>0.36070530575324494</v>
      </c>
      <c r="AF54" s="304">
        <v>0.18715476178942295</v>
      </c>
      <c r="AG54" s="304"/>
      <c r="AH54" s="304">
        <v>0.79617994563153305</v>
      </c>
      <c r="AI54" s="304">
        <v>0.86592477032887682</v>
      </c>
      <c r="AJ54" s="304">
        <v>0.63511604476310901</v>
      </c>
      <c r="AK54" s="304"/>
      <c r="AL54" s="304">
        <v>0.12975518662293906</v>
      </c>
      <c r="AM54" s="304">
        <v>7.0224193092555454E-2</v>
      </c>
      <c r="AN54" s="304">
        <v>3.3468483479560378E-2</v>
      </c>
    </row>
    <row r="55" spans="1:40" x14ac:dyDescent="0.2">
      <c r="A55" s="13" t="str">
        <f t="shared" si="67"/>
        <v>Skilled trades occupations</v>
      </c>
      <c r="B55" s="304">
        <f t="shared" si="69"/>
        <v>11.306462683459609</v>
      </c>
      <c r="C55" s="304">
        <f t="shared" si="70"/>
        <v>11.176532069174241</v>
      </c>
      <c r="D55" s="304">
        <f t="shared" si="71"/>
        <v>10.489689604777494</v>
      </c>
      <c r="E55" s="304"/>
      <c r="F55" s="304">
        <v>1.4520281904127448E-3</v>
      </c>
      <c r="G55" s="304">
        <v>1.8615901748644972E-3</v>
      </c>
      <c r="H55" s="304">
        <v>2.4911883523562215E-3</v>
      </c>
      <c r="I55" s="304"/>
      <c r="J55" s="304">
        <v>6.3701739447085876E-2</v>
      </c>
      <c r="K55" s="304">
        <v>8.6034448465282687E-2</v>
      </c>
      <c r="L55" s="304">
        <v>0.11745820925043132</v>
      </c>
      <c r="M55" s="304"/>
      <c r="N55" s="304">
        <v>0.31571687562379286</v>
      </c>
      <c r="O55" s="304">
        <v>0.37623436366263574</v>
      </c>
      <c r="P55" s="304">
        <v>0.49996002902223546</v>
      </c>
      <c r="Q55" s="304"/>
      <c r="R55" s="304">
        <v>0.18718580989016623</v>
      </c>
      <c r="S55" s="304">
        <v>0.22380801709126147</v>
      </c>
      <c r="T55" s="304">
        <v>0.28880523077756604</v>
      </c>
      <c r="U55" s="304"/>
      <c r="V55" s="304">
        <v>0.55125746203700821</v>
      </c>
      <c r="W55" s="304">
        <v>0.62912589643548655</v>
      </c>
      <c r="X55" s="304">
        <v>0.84701496869720638</v>
      </c>
      <c r="Y55" s="304"/>
      <c r="Z55" s="304">
        <v>4.3458116889254175</v>
      </c>
      <c r="AA55" s="304">
        <v>4.3528528861801572</v>
      </c>
      <c r="AB55" s="304">
        <v>4.0728664095165295</v>
      </c>
      <c r="AC55" s="304"/>
      <c r="AD55" s="304">
        <v>3.4745786659905615</v>
      </c>
      <c r="AE55" s="304">
        <v>3.4491671663635119</v>
      </c>
      <c r="AF55" s="304">
        <v>3.3283310968936894</v>
      </c>
      <c r="AG55" s="304"/>
      <c r="AH55" s="304">
        <v>1.758726169483438</v>
      </c>
      <c r="AI55" s="304">
        <v>1.5146476680229775</v>
      </c>
      <c r="AJ55" s="304">
        <v>1.2027867114820368</v>
      </c>
      <c r="AK55" s="304"/>
      <c r="AL55" s="304">
        <v>0.60803224387172683</v>
      </c>
      <c r="AM55" s="304">
        <v>0.5428000327780651</v>
      </c>
      <c r="AN55" s="304">
        <v>0.12997576078544221</v>
      </c>
    </row>
    <row r="56" spans="1:40" x14ac:dyDescent="0.2">
      <c r="A56" s="13" t="str">
        <f t="shared" si="67"/>
        <v>Caring, leisure and other service occupations</v>
      </c>
      <c r="B56" s="304">
        <f t="shared" si="69"/>
        <v>0.11598533830581187</v>
      </c>
      <c r="C56" s="304">
        <f t="shared" si="70"/>
        <v>0.1021417378669314</v>
      </c>
      <c r="D56" s="304">
        <f t="shared" si="71"/>
        <v>0.10778867177132045</v>
      </c>
      <c r="E56" s="304"/>
      <c r="F56" s="304">
        <v>7.4989599485793821E-5</v>
      </c>
      <c r="G56" s="304">
        <v>6.0085778421070703E-5</v>
      </c>
      <c r="H56" s="304">
        <v>9.065892571908163E-5</v>
      </c>
      <c r="I56" s="304"/>
      <c r="J56" s="304">
        <v>3.5388721630034356E-3</v>
      </c>
      <c r="K56" s="304">
        <v>3.7788581807896818E-3</v>
      </c>
      <c r="L56" s="304">
        <v>4.3164291955240719E-3</v>
      </c>
      <c r="M56" s="304"/>
      <c r="N56" s="304">
        <v>5.0190543840112831E-3</v>
      </c>
      <c r="O56" s="304">
        <v>4.7342654659934119E-3</v>
      </c>
      <c r="P56" s="304">
        <v>5.755657088003293E-3</v>
      </c>
      <c r="Q56" s="304"/>
      <c r="R56" s="304">
        <v>9.4613816601281299E-4</v>
      </c>
      <c r="S56" s="304">
        <v>8.3982904085526497E-4</v>
      </c>
      <c r="T56" s="304">
        <v>9.2371927933449503E-4</v>
      </c>
      <c r="U56" s="304"/>
      <c r="V56" s="304">
        <v>2.9607684996829893E-3</v>
      </c>
      <c r="W56" s="304">
        <v>2.9112118659747029E-3</v>
      </c>
      <c r="X56" s="304">
        <v>3.3212691851949223E-3</v>
      </c>
      <c r="Y56" s="304"/>
      <c r="Z56" s="304">
        <v>3.8583504561617396E-2</v>
      </c>
      <c r="AA56" s="304">
        <v>4.1819714440723701E-2</v>
      </c>
      <c r="AB56" s="304">
        <v>5.3266343338892998E-2</v>
      </c>
      <c r="AC56" s="304"/>
      <c r="AD56" s="304">
        <v>8.9956220449016657E-3</v>
      </c>
      <c r="AE56" s="304">
        <v>6.4661465771560754E-3</v>
      </c>
      <c r="AF56" s="304">
        <v>6.2863674756643796E-3</v>
      </c>
      <c r="AG56" s="304"/>
      <c r="AH56" s="304">
        <v>3.304667441236124E-2</v>
      </c>
      <c r="AI56" s="304">
        <v>2.2095270425395563E-2</v>
      </c>
      <c r="AJ56" s="304">
        <v>1.6776865225758743E-2</v>
      </c>
      <c r="AK56" s="304"/>
      <c r="AL56" s="304">
        <v>2.2819714474735249E-2</v>
      </c>
      <c r="AM56" s="304">
        <v>1.9436356091621927E-2</v>
      </c>
      <c r="AN56" s="304">
        <v>1.7051362057228459E-2</v>
      </c>
    </row>
    <row r="57" spans="1:40" x14ac:dyDescent="0.2">
      <c r="A57" s="13" t="str">
        <f t="shared" si="67"/>
        <v>Sales and customer service occupations</v>
      </c>
      <c r="B57" s="304">
        <f t="shared" si="69"/>
        <v>0.8280370155619996</v>
      </c>
      <c r="C57" s="304">
        <f t="shared" si="70"/>
        <v>0.85390484767505426</v>
      </c>
      <c r="D57" s="304">
        <f t="shared" si="71"/>
        <v>0.88383129595324528</v>
      </c>
      <c r="E57" s="304"/>
      <c r="F57" s="304">
        <v>1.6251516842133221E-3</v>
      </c>
      <c r="G57" s="304">
        <v>2.0053812697446694E-3</v>
      </c>
      <c r="H57" s="304">
        <v>2.9220086077753303E-3</v>
      </c>
      <c r="I57" s="304"/>
      <c r="J57" s="304">
        <v>4.6509000397666464E-2</v>
      </c>
      <c r="K57" s="304">
        <v>4.9228402363550271E-2</v>
      </c>
      <c r="L57" s="304">
        <v>5.6337463541408159E-2</v>
      </c>
      <c r="M57" s="304"/>
      <c r="N57" s="304">
        <v>0.12227583223561983</v>
      </c>
      <c r="O57" s="304">
        <v>0.13502543847788487</v>
      </c>
      <c r="P57" s="304">
        <v>0.16345871505531859</v>
      </c>
      <c r="Q57" s="304"/>
      <c r="R57" s="304">
        <v>3.4224631843370025E-2</v>
      </c>
      <c r="S57" s="304">
        <v>4.1732900119200382E-2</v>
      </c>
      <c r="T57" s="304">
        <v>5.1885664667251703E-2</v>
      </c>
      <c r="U57" s="304"/>
      <c r="V57" s="304">
        <v>4.4197574709896263E-2</v>
      </c>
      <c r="W57" s="304">
        <v>4.6774580517613802E-2</v>
      </c>
      <c r="X57" s="304">
        <v>5.3186831255716271E-2</v>
      </c>
      <c r="Y57" s="304"/>
      <c r="Z57" s="304">
        <v>0.35978072720506288</v>
      </c>
      <c r="AA57" s="304">
        <v>0.37437586469654188</v>
      </c>
      <c r="AB57" s="304">
        <v>0.43346340239116443</v>
      </c>
      <c r="AC57" s="304"/>
      <c r="AD57" s="304">
        <v>5.7985086658083183E-2</v>
      </c>
      <c r="AE57" s="304">
        <v>4.2839535562360059E-2</v>
      </c>
      <c r="AF57" s="304">
        <v>1.943760510935225E-2</v>
      </c>
      <c r="AG57" s="304"/>
      <c r="AH57" s="304">
        <v>8.5547904192014315E-2</v>
      </c>
      <c r="AI57" s="304">
        <v>7.7169862843420783E-2</v>
      </c>
      <c r="AJ57" s="304">
        <v>3.4209429709617406E-2</v>
      </c>
      <c r="AK57" s="304"/>
      <c r="AL57" s="304">
        <v>7.589110663607318E-2</v>
      </c>
      <c r="AM57" s="304">
        <v>8.4752881824737489E-2</v>
      </c>
      <c r="AN57" s="304">
        <v>6.8930175615641215E-2</v>
      </c>
    </row>
    <row r="58" spans="1:40" x14ac:dyDescent="0.2">
      <c r="A58" s="13" t="str">
        <f t="shared" si="67"/>
        <v>Process, plant and machine operatives</v>
      </c>
      <c r="B58" s="304">
        <f t="shared" si="69"/>
        <v>3.3248411739039936</v>
      </c>
      <c r="C58" s="304">
        <f t="shared" si="70"/>
        <v>3.4119399806481523</v>
      </c>
      <c r="D58" s="304">
        <f t="shared" si="71"/>
        <v>3.2987887483334775</v>
      </c>
      <c r="E58" s="304"/>
      <c r="F58" s="304">
        <v>8.6008684245299713E-3</v>
      </c>
      <c r="G58" s="304">
        <v>1.1656114657183523E-2</v>
      </c>
      <c r="H58" s="304">
        <v>1.7255550436455332E-2</v>
      </c>
      <c r="I58" s="304"/>
      <c r="J58" s="304">
        <v>2.5669233985924897E-2</v>
      </c>
      <c r="K58" s="304">
        <v>3.8357774839765532E-2</v>
      </c>
      <c r="L58" s="304">
        <v>6.1240636396171506E-2</v>
      </c>
      <c r="M58" s="304"/>
      <c r="N58" s="304">
        <v>4.1431397485251278E-2</v>
      </c>
      <c r="O58" s="304">
        <v>5.5569689069606097E-2</v>
      </c>
      <c r="P58" s="304">
        <v>8.8682276524219131E-2</v>
      </c>
      <c r="Q58" s="304"/>
      <c r="R58" s="304">
        <v>4.9092794577117231E-2</v>
      </c>
      <c r="S58" s="304">
        <v>6.3741124071382257E-2</v>
      </c>
      <c r="T58" s="304">
        <v>9.7223768343566955E-2</v>
      </c>
      <c r="U58" s="304"/>
      <c r="V58" s="304">
        <v>0.13648942038882217</v>
      </c>
      <c r="W58" s="304">
        <v>0.15855286684077993</v>
      </c>
      <c r="X58" s="304">
        <v>0.19305605280945162</v>
      </c>
      <c r="Y58" s="304"/>
      <c r="Z58" s="304">
        <v>0.92226703604006821</v>
      </c>
      <c r="AA58" s="304">
        <v>1.0799744032064893</v>
      </c>
      <c r="AB58" s="304">
        <v>1.2706072609480292</v>
      </c>
      <c r="AC58" s="304"/>
      <c r="AD58" s="304">
        <v>1.2082534790913624</v>
      </c>
      <c r="AE58" s="304">
        <v>1.2798394137554103</v>
      </c>
      <c r="AF58" s="304">
        <v>1.2268208440587209</v>
      </c>
      <c r="AG58" s="304"/>
      <c r="AH58" s="304">
        <v>0.78230388607334667</v>
      </c>
      <c r="AI58" s="304">
        <v>0.60964613910956722</v>
      </c>
      <c r="AJ58" s="304">
        <v>0.30512765479933524</v>
      </c>
      <c r="AK58" s="304"/>
      <c r="AL58" s="304">
        <v>0.15073305783757088</v>
      </c>
      <c r="AM58" s="304">
        <v>0.11460245509796828</v>
      </c>
      <c r="AN58" s="304">
        <v>3.8774704017527653E-2</v>
      </c>
    </row>
    <row r="59" spans="1:40" x14ac:dyDescent="0.2">
      <c r="A59" s="13" t="str">
        <f t="shared" si="67"/>
        <v>Elementary occupations</v>
      </c>
      <c r="B59" s="304">
        <f t="shared" si="69"/>
        <v>2.0421065179356335</v>
      </c>
      <c r="C59" s="304">
        <f t="shared" si="70"/>
        <v>2.265657247693377</v>
      </c>
      <c r="D59" s="304">
        <f t="shared" si="71"/>
        <v>2.4387632684541782</v>
      </c>
      <c r="E59" s="304"/>
      <c r="F59" s="304">
        <v>1.8045495891456459E-4</v>
      </c>
      <c r="G59" s="304">
        <v>1.913568708928989E-4</v>
      </c>
      <c r="H59" s="304">
        <v>2.2725283164611216E-4</v>
      </c>
      <c r="I59" s="304"/>
      <c r="J59" s="304">
        <v>1.5086426348317744E-2</v>
      </c>
      <c r="K59" s="304">
        <v>2.249076758580499E-2</v>
      </c>
      <c r="L59" s="304">
        <v>3.4541840199427874E-2</v>
      </c>
      <c r="M59" s="304"/>
      <c r="N59" s="304">
        <v>4.7644300329254298E-2</v>
      </c>
      <c r="O59" s="304">
        <v>6.284278158686564E-2</v>
      </c>
      <c r="P59" s="304">
        <v>7.7517617837174299E-2</v>
      </c>
      <c r="Q59" s="304"/>
      <c r="R59" s="304">
        <v>1.1674742285045708E-2</v>
      </c>
      <c r="S59" s="304">
        <v>1.4032852303295313E-2</v>
      </c>
      <c r="T59" s="304">
        <v>1.5818029565668548E-2</v>
      </c>
      <c r="U59" s="304"/>
      <c r="V59" s="304">
        <v>7.6676177367523676E-2</v>
      </c>
      <c r="W59" s="304">
        <v>9.9490778806763658E-2</v>
      </c>
      <c r="X59" s="304">
        <v>0.12368178845615495</v>
      </c>
      <c r="Y59" s="304"/>
      <c r="Z59" s="304">
        <v>0.52768541005970138</v>
      </c>
      <c r="AA59" s="304">
        <v>0.73409558980961587</v>
      </c>
      <c r="AB59" s="304">
        <v>1.0718365728668029</v>
      </c>
      <c r="AC59" s="304"/>
      <c r="AD59" s="304">
        <v>0.61628143446146377</v>
      </c>
      <c r="AE59" s="304">
        <v>0.67982119841399691</v>
      </c>
      <c r="AF59" s="304">
        <v>0.68948196004414763</v>
      </c>
      <c r="AG59" s="304"/>
      <c r="AH59" s="304">
        <v>0.59829717279640759</v>
      </c>
      <c r="AI59" s="304">
        <v>0.56534220411272429</v>
      </c>
      <c r="AJ59" s="304">
        <v>0.36990009166566529</v>
      </c>
      <c r="AK59" s="304"/>
      <c r="AL59" s="304">
        <v>0.14858039932900483</v>
      </c>
      <c r="AM59" s="304">
        <v>8.7349718203417165E-2</v>
      </c>
      <c r="AN59" s="304">
        <v>5.5758114987490649E-2</v>
      </c>
    </row>
    <row r="60" spans="1:40" x14ac:dyDescent="0.2">
      <c r="B60" s="304"/>
      <c r="C60" s="304"/>
      <c r="D60" s="304"/>
      <c r="E60" s="304"/>
      <c r="F60" s="304"/>
      <c r="G60" s="304"/>
      <c r="H60" s="304"/>
      <c r="I60" s="304"/>
      <c r="J60" s="304"/>
      <c r="K60" s="304"/>
      <c r="L60" s="304"/>
      <c r="M60" s="304"/>
      <c r="N60" s="304"/>
      <c r="O60" s="304"/>
      <c r="P60" s="304"/>
      <c r="Q60" s="304"/>
      <c r="R60" s="304"/>
      <c r="S60" s="304"/>
      <c r="T60" s="304"/>
      <c r="U60" s="304"/>
      <c r="V60" s="304"/>
      <c r="W60" s="304"/>
      <c r="X60" s="304"/>
      <c r="Y60" s="304"/>
      <c r="Z60" s="304"/>
      <c r="AA60" s="304"/>
      <c r="AB60" s="304"/>
      <c r="AC60" s="304"/>
      <c r="AD60" s="304"/>
      <c r="AE60" s="304"/>
      <c r="AF60" s="304"/>
      <c r="AG60" s="304"/>
      <c r="AH60" s="304"/>
      <c r="AI60" s="304"/>
      <c r="AJ60" s="304"/>
      <c r="AK60" s="304"/>
      <c r="AL60" s="304"/>
      <c r="AM60" s="304"/>
      <c r="AN60" s="304"/>
    </row>
    <row r="61" spans="1:40" x14ac:dyDescent="0.2">
      <c r="A61" s="1" t="str">
        <f>name!C7</f>
        <v>Trade, accomod. and transport</v>
      </c>
      <c r="B61" s="306"/>
      <c r="C61" s="306"/>
      <c r="D61" s="306"/>
      <c r="E61" s="304"/>
      <c r="F61" s="304"/>
      <c r="G61" s="304"/>
      <c r="H61" s="304"/>
      <c r="I61" s="304"/>
      <c r="J61" s="304"/>
      <c r="K61" s="304"/>
      <c r="L61" s="304"/>
      <c r="M61" s="304"/>
      <c r="N61" s="304"/>
      <c r="O61" s="304"/>
      <c r="P61" s="304"/>
      <c r="Q61" s="304"/>
      <c r="R61" s="304"/>
      <c r="S61" s="304"/>
      <c r="T61" s="304"/>
      <c r="U61" s="304"/>
      <c r="V61" s="304"/>
      <c r="W61" s="304"/>
      <c r="X61" s="304"/>
      <c r="Y61" s="304"/>
      <c r="Z61" s="304"/>
      <c r="AA61" s="304"/>
      <c r="AB61" s="304"/>
      <c r="AC61" s="304"/>
      <c r="AD61" s="304"/>
      <c r="AE61" s="304"/>
      <c r="AF61" s="304"/>
      <c r="AG61" s="304"/>
      <c r="AH61" s="304"/>
      <c r="AI61" s="304"/>
      <c r="AJ61" s="304"/>
      <c r="AK61" s="304"/>
      <c r="AL61" s="304"/>
      <c r="AM61" s="304"/>
      <c r="AN61" s="304"/>
    </row>
    <row r="62" spans="1:40" x14ac:dyDescent="0.2">
      <c r="A62" s="13" t="str">
        <f t="shared" ref="A62:A71" si="72">A8</f>
        <v>All occupations</v>
      </c>
      <c r="B62" s="305">
        <f>SUM(B63:B71)</f>
        <v>144.13800000000001</v>
      </c>
      <c r="C62" s="305">
        <f>SUM(C63:C71)</f>
        <v>146.65500000000009</v>
      </c>
      <c r="D62" s="305">
        <f>SUM(D63:D71)</f>
        <v>151.46000000000009</v>
      </c>
      <c r="E62" s="304"/>
      <c r="F62" s="305">
        <f>SUM(F63:F71)</f>
        <v>0.3924136356586102</v>
      </c>
      <c r="G62" s="305">
        <f>SUM(G63:G71)</f>
        <v>0.53229056381163575</v>
      </c>
      <c r="H62" s="305">
        <f>SUM(H63:H71)</f>
        <v>0.84282756811438964</v>
      </c>
      <c r="I62" s="304"/>
      <c r="J62" s="305">
        <f>SUM(J63:J71)</f>
        <v>4.324484783481898</v>
      </c>
      <c r="K62" s="305">
        <f>SUM(K63:K71)</f>
        <v>5.6467872425432697</v>
      </c>
      <c r="L62" s="305">
        <f>SUM(L63:L71)</f>
        <v>8.7518567632409603</v>
      </c>
      <c r="M62" s="304"/>
      <c r="N62" s="305">
        <f>SUM(N63:N71)</f>
        <v>18.264714411298375</v>
      </c>
      <c r="O62" s="305">
        <f>SUM(O63:O71)</f>
        <v>21.330185565244268</v>
      </c>
      <c r="P62" s="305">
        <f>SUM(P63:P71)</f>
        <v>29.931122841288161</v>
      </c>
      <c r="Q62" s="304"/>
      <c r="R62" s="305">
        <f>SUM(R63:R71)</f>
        <v>5.5702070617713453</v>
      </c>
      <c r="S62" s="305">
        <f>SUM(S63:S71)</f>
        <v>6.36482008453528</v>
      </c>
      <c r="T62" s="305">
        <f>SUM(T63:T71)</f>
        <v>8.929751015382033</v>
      </c>
      <c r="U62" s="304"/>
      <c r="V62" s="305">
        <f>SUM(V63:V71)</f>
        <v>6.4744674995012845</v>
      </c>
      <c r="W62" s="305">
        <f>SUM(W63:W71)</f>
        <v>7.1785246445030513</v>
      </c>
      <c r="X62" s="305">
        <f>SUM(X63:X71)</f>
        <v>9.6257556550661132</v>
      </c>
      <c r="Y62" s="304"/>
      <c r="Z62" s="305">
        <f>SUM(Z63:Z71)</f>
        <v>35.835903838770655</v>
      </c>
      <c r="AA62" s="305">
        <f>SUM(AA63:AA71)</f>
        <v>37.466613016156273</v>
      </c>
      <c r="AB62" s="305">
        <f>SUM(AB63:AB71)</f>
        <v>42.58421845573482</v>
      </c>
      <c r="AC62" s="304"/>
      <c r="AD62" s="305">
        <f>SUM(AD63:AD71)</f>
        <v>38.782352110526794</v>
      </c>
      <c r="AE62" s="305">
        <f>SUM(AE63:AE71)</f>
        <v>36.606797536161629</v>
      </c>
      <c r="AF62" s="305">
        <f>SUM(AF63:AF71)</f>
        <v>32.139247007144917</v>
      </c>
      <c r="AG62" s="304"/>
      <c r="AH62" s="305">
        <f>SUM(AH63:AH71)</f>
        <v>26.718399897704799</v>
      </c>
      <c r="AI62" s="305">
        <f>SUM(AI63:AI71)</f>
        <v>24.125598974906513</v>
      </c>
      <c r="AJ62" s="305">
        <f>SUM(AJ63:AJ71)</f>
        <v>13.52384392518745</v>
      </c>
      <c r="AK62" s="304"/>
      <c r="AL62" s="305">
        <f>SUM(AL63:AL71)</f>
        <v>7.7750567612862191</v>
      </c>
      <c r="AM62" s="305">
        <f>SUM(AM63:AM71)</f>
        <v>7.4033823721381742</v>
      </c>
      <c r="AN62" s="305">
        <f>SUM(AN63:AN71)</f>
        <v>5.1313767688412701</v>
      </c>
    </row>
    <row r="63" spans="1:40" x14ac:dyDescent="0.2">
      <c r="A63" s="13" t="str">
        <f t="shared" si="72"/>
        <v>Managers, directors and senior officials</v>
      </c>
      <c r="B63" s="304">
        <f>SUM(F63,J63,N63,R63,V63,Z63,AD63,AH63,AL63)</f>
        <v>18.816897153647581</v>
      </c>
      <c r="C63" s="304">
        <f t="shared" ref="C63:C71" si="73">SUM(G63,K63,O63,S63,W63,AA63,AE63,AI63,AM63)</f>
        <v>17.908647512582526</v>
      </c>
      <c r="D63" s="304">
        <f t="shared" ref="D63:D71" si="74">SUM(H63,L63,P63,T63,X63,AB63,AF63,AJ63,AN63)</f>
        <v>20.068705525711625</v>
      </c>
      <c r="E63" s="304"/>
      <c r="F63" s="304">
        <v>6.8450815878937019E-2</v>
      </c>
      <c r="G63" s="304">
        <v>8.7754735171952605E-2</v>
      </c>
      <c r="H63" s="304">
        <v>0.13827356794391762</v>
      </c>
      <c r="I63" s="304"/>
      <c r="J63" s="304">
        <v>0.9434889304075823</v>
      </c>
      <c r="K63" s="304">
        <v>1.1215207546479249</v>
      </c>
      <c r="L63" s="304">
        <v>1.7063103245742963</v>
      </c>
      <c r="M63" s="304"/>
      <c r="N63" s="304">
        <v>3.9531177589763429</v>
      </c>
      <c r="O63" s="304">
        <v>4.1553478798605887</v>
      </c>
      <c r="P63" s="304">
        <v>5.6310330541627014</v>
      </c>
      <c r="Q63" s="304"/>
      <c r="R63" s="304">
        <v>0.77196987450031684</v>
      </c>
      <c r="S63" s="304">
        <v>0.74066620272413997</v>
      </c>
      <c r="T63" s="304">
        <v>0.98311785834350029</v>
      </c>
      <c r="U63" s="304"/>
      <c r="V63" s="304">
        <v>1.1321171255821436</v>
      </c>
      <c r="W63" s="304">
        <v>1.115530377854884</v>
      </c>
      <c r="X63" s="304">
        <v>1.3834321337048308</v>
      </c>
      <c r="Y63" s="304"/>
      <c r="Z63" s="304">
        <v>4.3355869539210063</v>
      </c>
      <c r="AA63" s="304">
        <v>4.2275255710655717</v>
      </c>
      <c r="AB63" s="304">
        <v>5.1301720051705493</v>
      </c>
      <c r="AC63" s="304"/>
      <c r="AD63" s="304">
        <v>4.0128859290861634</v>
      </c>
      <c r="AE63" s="304">
        <v>3.3455468739331327</v>
      </c>
      <c r="AF63" s="304">
        <v>2.7336129407303247</v>
      </c>
      <c r="AG63" s="304"/>
      <c r="AH63" s="304">
        <v>3.1357126191728955</v>
      </c>
      <c r="AI63" s="304">
        <v>2.6415651843522858</v>
      </c>
      <c r="AJ63" s="304">
        <v>1.7816503515662794</v>
      </c>
      <c r="AK63" s="304"/>
      <c r="AL63" s="304">
        <v>0.46356714612219035</v>
      </c>
      <c r="AM63" s="304">
        <v>0.47318993297204792</v>
      </c>
      <c r="AN63" s="304">
        <v>0.58110328951522183</v>
      </c>
    </row>
    <row r="64" spans="1:40" x14ac:dyDescent="0.2">
      <c r="A64" s="13" t="str">
        <f t="shared" si="72"/>
        <v>Professional occupations</v>
      </c>
      <c r="B64" s="304">
        <f t="shared" ref="B64:B71" si="75">SUM(F64,J64,N64,R64,V64,Z64,AD64,AH64,AL64)</f>
        <v>10.700244082724144</v>
      </c>
      <c r="C64" s="304">
        <f t="shared" si="73"/>
        <v>11.935010726370235</v>
      </c>
      <c r="D64" s="304">
        <f t="shared" si="74"/>
        <v>13.81714917337553</v>
      </c>
      <c r="E64" s="304"/>
      <c r="F64" s="304">
        <v>0.16304479966285723</v>
      </c>
      <c r="G64" s="304">
        <v>0.2280235127291724</v>
      </c>
      <c r="H64" s="304">
        <v>0.35412718198276277</v>
      </c>
      <c r="I64" s="304"/>
      <c r="J64" s="304">
        <v>0.92113223941518207</v>
      </c>
      <c r="K64" s="304">
        <v>1.2505738866881992</v>
      </c>
      <c r="L64" s="304">
        <v>1.8980072072657486</v>
      </c>
      <c r="M64" s="304"/>
      <c r="N64" s="304">
        <v>2.7923458870524924</v>
      </c>
      <c r="O64" s="304">
        <v>3.3119325318425461</v>
      </c>
      <c r="P64" s="304">
        <v>4.3696273900391498</v>
      </c>
      <c r="Q64" s="304"/>
      <c r="R64" s="304">
        <v>0.48274369656778782</v>
      </c>
      <c r="S64" s="304">
        <v>0.53607821813376544</v>
      </c>
      <c r="T64" s="304">
        <v>0.64425361140144743</v>
      </c>
      <c r="U64" s="304"/>
      <c r="V64" s="304">
        <v>0.63364356233858299</v>
      </c>
      <c r="W64" s="304">
        <v>0.70471300408710791</v>
      </c>
      <c r="X64" s="304">
        <v>0.87868398945639203</v>
      </c>
      <c r="Y64" s="304"/>
      <c r="Z64" s="304">
        <v>2.4589851963097371</v>
      </c>
      <c r="AA64" s="304">
        <v>2.8217151416382031</v>
      </c>
      <c r="AB64" s="304">
        <v>3.407809810476242</v>
      </c>
      <c r="AC64" s="304"/>
      <c r="AD64" s="304">
        <v>1.7603840426130035</v>
      </c>
      <c r="AE64" s="304">
        <v>1.6078217411192355</v>
      </c>
      <c r="AF64" s="304">
        <v>1.244698048742154</v>
      </c>
      <c r="AG64" s="304"/>
      <c r="AH64" s="304">
        <v>1.2658155020241457</v>
      </c>
      <c r="AI64" s="304">
        <v>1.2248689357444043</v>
      </c>
      <c r="AJ64" s="304">
        <v>0.77811773270538498</v>
      </c>
      <c r="AK64" s="304"/>
      <c r="AL64" s="304">
        <v>0.22214915674035471</v>
      </c>
      <c r="AM64" s="304">
        <v>0.2492837543876025</v>
      </c>
      <c r="AN64" s="304">
        <v>0.24182420130624976</v>
      </c>
    </row>
    <row r="65" spans="1:40" x14ac:dyDescent="0.2">
      <c r="A65" s="13" t="str">
        <f t="shared" si="72"/>
        <v>Associate professional occupations</v>
      </c>
      <c r="B65" s="304">
        <f t="shared" si="75"/>
        <v>10.456052402925772</v>
      </c>
      <c r="C65" s="304">
        <f t="shared" si="73"/>
        <v>10.450488463413487</v>
      </c>
      <c r="D65" s="304">
        <f t="shared" si="74"/>
        <v>11.46428865573075</v>
      </c>
      <c r="E65" s="304"/>
      <c r="F65" s="304">
        <v>4.7679244037541174E-2</v>
      </c>
      <c r="G65" s="304">
        <v>5.889468894786077E-2</v>
      </c>
      <c r="H65" s="304">
        <v>8.4435744808157909E-2</v>
      </c>
      <c r="I65" s="304"/>
      <c r="J65" s="304">
        <v>0.47996233939776567</v>
      </c>
      <c r="K65" s="304">
        <v>0.5922130661652385</v>
      </c>
      <c r="L65" s="304">
        <v>0.8353488351392514</v>
      </c>
      <c r="M65" s="304"/>
      <c r="N65" s="304">
        <v>1.9661296325710236</v>
      </c>
      <c r="O65" s="304">
        <v>2.1205341273581406</v>
      </c>
      <c r="P65" s="304">
        <v>2.7448879056177504</v>
      </c>
      <c r="Q65" s="304"/>
      <c r="R65" s="304">
        <v>0.46161354413143701</v>
      </c>
      <c r="S65" s="304">
        <v>0.49394231640039288</v>
      </c>
      <c r="T65" s="304">
        <v>0.67003862676791159</v>
      </c>
      <c r="U65" s="304"/>
      <c r="V65" s="304">
        <v>0.59586793454566744</v>
      </c>
      <c r="W65" s="304">
        <v>0.64758499881408893</v>
      </c>
      <c r="X65" s="304">
        <v>0.83970588784597666</v>
      </c>
      <c r="Y65" s="304"/>
      <c r="Z65" s="304">
        <v>2.7390768155634673</v>
      </c>
      <c r="AA65" s="304">
        <v>2.8242695439930521</v>
      </c>
      <c r="AB65" s="304">
        <v>3.2970930668863629</v>
      </c>
      <c r="AC65" s="304"/>
      <c r="AD65" s="304">
        <v>2.4468367617404838</v>
      </c>
      <c r="AE65" s="304">
        <v>2.3050830075351145</v>
      </c>
      <c r="AF65" s="304">
        <v>2.1473637129851686</v>
      </c>
      <c r="AG65" s="304"/>
      <c r="AH65" s="304">
        <v>1.3972531886024058</v>
      </c>
      <c r="AI65" s="304">
        <v>1.158311244905593</v>
      </c>
      <c r="AJ65" s="304">
        <v>0.62095199112776001</v>
      </c>
      <c r="AK65" s="304"/>
      <c r="AL65" s="304">
        <v>0.3216329423359805</v>
      </c>
      <c r="AM65" s="304">
        <v>0.24965546929400609</v>
      </c>
      <c r="AN65" s="304">
        <v>0.22446288455241017</v>
      </c>
    </row>
    <row r="66" spans="1:40" x14ac:dyDescent="0.2">
      <c r="A66" s="13" t="str">
        <f t="shared" si="72"/>
        <v>Administrative and secretarial occupations</v>
      </c>
      <c r="B66" s="304">
        <f t="shared" si="75"/>
        <v>13.767135242804601</v>
      </c>
      <c r="C66" s="304">
        <f t="shared" si="73"/>
        <v>14.692022610579997</v>
      </c>
      <c r="D66" s="304">
        <f t="shared" si="74"/>
        <v>15.995850587317765</v>
      </c>
      <c r="E66" s="304"/>
      <c r="F66" s="304">
        <v>2.5854331500297215E-2</v>
      </c>
      <c r="G66" s="304">
        <v>3.8098980731068037E-2</v>
      </c>
      <c r="H66" s="304">
        <v>6.2328456711474148E-2</v>
      </c>
      <c r="I66" s="304"/>
      <c r="J66" s="304">
        <v>0.46566128206736401</v>
      </c>
      <c r="K66" s="304">
        <v>0.65886152171459966</v>
      </c>
      <c r="L66" s="304">
        <v>1.0587415947695769</v>
      </c>
      <c r="M66" s="304"/>
      <c r="N66" s="304">
        <v>2.0082027182984583</v>
      </c>
      <c r="O66" s="304">
        <v>2.6085760025403175</v>
      </c>
      <c r="P66" s="304">
        <v>3.9018959905505501</v>
      </c>
      <c r="Q66" s="304"/>
      <c r="R66" s="304">
        <v>0.68547311343097128</v>
      </c>
      <c r="S66" s="304">
        <v>0.8488067353846025</v>
      </c>
      <c r="T66" s="304">
        <v>1.2110225782689474</v>
      </c>
      <c r="U66" s="304"/>
      <c r="V66" s="304">
        <v>0.58088059812529769</v>
      </c>
      <c r="W66" s="304">
        <v>0.65197367535369488</v>
      </c>
      <c r="X66" s="304">
        <v>0.84801828974655458</v>
      </c>
      <c r="Y66" s="304"/>
      <c r="Z66" s="304">
        <v>3.5998747086413792</v>
      </c>
      <c r="AA66" s="304">
        <v>3.9595241749856123</v>
      </c>
      <c r="AB66" s="304">
        <v>4.4017161234986952</v>
      </c>
      <c r="AC66" s="304"/>
      <c r="AD66" s="304">
        <v>4.2891082836092824</v>
      </c>
      <c r="AE66" s="304">
        <v>4.332478778666081</v>
      </c>
      <c r="AF66" s="304">
        <v>3.8358380670155277</v>
      </c>
      <c r="AG66" s="304"/>
      <c r="AH66" s="304">
        <v>1.8196302206549657</v>
      </c>
      <c r="AI66" s="304">
        <v>1.3516921444512424</v>
      </c>
      <c r="AJ66" s="304">
        <v>0.51242997009918712</v>
      </c>
      <c r="AK66" s="304"/>
      <c r="AL66" s="304">
        <v>0.2924499864765836</v>
      </c>
      <c r="AM66" s="304">
        <v>0.24201059675277869</v>
      </c>
      <c r="AN66" s="304">
        <v>0.16385951665725071</v>
      </c>
    </row>
    <row r="67" spans="1:40" x14ac:dyDescent="0.2">
      <c r="A67" s="13" t="str">
        <f t="shared" si="72"/>
        <v>Skilled trades occupations</v>
      </c>
      <c r="B67" s="304">
        <f t="shared" si="75"/>
        <v>11.30264404847911</v>
      </c>
      <c r="C67" s="304">
        <f t="shared" si="73"/>
        <v>11.582775213686075</v>
      </c>
      <c r="D67" s="304">
        <f t="shared" si="74"/>
        <v>11.34043623022461</v>
      </c>
      <c r="E67" s="304"/>
      <c r="F67" s="304">
        <v>4.8288255522076712E-3</v>
      </c>
      <c r="G67" s="304">
        <v>6.4029965674747454E-3</v>
      </c>
      <c r="H67" s="304">
        <v>1.050758205965764E-2</v>
      </c>
      <c r="I67" s="304"/>
      <c r="J67" s="304">
        <v>0.15331420012376568</v>
      </c>
      <c r="K67" s="304">
        <v>0.21550190879269057</v>
      </c>
      <c r="L67" s="304">
        <v>0.35847810406752423</v>
      </c>
      <c r="M67" s="304"/>
      <c r="N67" s="304">
        <v>0.5805876797965227</v>
      </c>
      <c r="O67" s="304">
        <v>0.72488757310011276</v>
      </c>
      <c r="P67" s="304">
        <v>0.99209512431554514</v>
      </c>
      <c r="Q67" s="304"/>
      <c r="R67" s="304">
        <v>0.29485309382162894</v>
      </c>
      <c r="S67" s="304">
        <v>0.32967314515296609</v>
      </c>
      <c r="T67" s="304">
        <v>0.43470886469716913</v>
      </c>
      <c r="U67" s="304"/>
      <c r="V67" s="304">
        <v>0.48182717208429526</v>
      </c>
      <c r="W67" s="304">
        <v>0.54744000387943825</v>
      </c>
      <c r="X67" s="304">
        <v>0.70919921947336895</v>
      </c>
      <c r="Y67" s="304"/>
      <c r="Z67" s="304">
        <v>3.9329074465048062</v>
      </c>
      <c r="AA67" s="304">
        <v>4.2399722044543822</v>
      </c>
      <c r="AB67" s="304">
        <v>4.5318942276252638</v>
      </c>
      <c r="AC67" s="304"/>
      <c r="AD67" s="304">
        <v>3.0014738905852245</v>
      </c>
      <c r="AE67" s="304">
        <v>2.8152728317334881</v>
      </c>
      <c r="AF67" s="304">
        <v>2.4927552570761509</v>
      </c>
      <c r="AG67" s="304"/>
      <c r="AH67" s="304">
        <v>2.0253269009496107</v>
      </c>
      <c r="AI67" s="304">
        <v>1.9227223721570581</v>
      </c>
      <c r="AJ67" s="304">
        <v>1.3053705127564661</v>
      </c>
      <c r="AK67" s="304"/>
      <c r="AL67" s="304">
        <v>0.82752483906104901</v>
      </c>
      <c r="AM67" s="304">
        <v>0.78090217784846494</v>
      </c>
      <c r="AN67" s="304">
        <v>0.50542733815346408</v>
      </c>
    </row>
    <row r="68" spans="1:40" x14ac:dyDescent="0.2">
      <c r="A68" s="13" t="str">
        <f t="shared" si="72"/>
        <v>Caring, leisure and other service occupations</v>
      </c>
      <c r="B68" s="304">
        <f t="shared" si="75"/>
        <v>3.2383659048319187</v>
      </c>
      <c r="C68" s="304">
        <f t="shared" si="73"/>
        <v>2.9860444081919875</v>
      </c>
      <c r="D68" s="304">
        <f t="shared" si="74"/>
        <v>3.3375628667485757</v>
      </c>
      <c r="E68" s="304"/>
      <c r="F68" s="304">
        <v>3.7884087228210934E-3</v>
      </c>
      <c r="G68" s="304">
        <v>5.1670138522654516E-3</v>
      </c>
      <c r="H68" s="304">
        <v>8.7131732316247466E-3</v>
      </c>
      <c r="I68" s="304"/>
      <c r="J68" s="304">
        <v>6.9154604032136816E-2</v>
      </c>
      <c r="K68" s="304">
        <v>8.3217698082800079E-2</v>
      </c>
      <c r="L68" s="304">
        <v>0.1290743201132683</v>
      </c>
      <c r="M68" s="304"/>
      <c r="N68" s="304">
        <v>0.34936299863881326</v>
      </c>
      <c r="O68" s="304">
        <v>0.36778133483635689</v>
      </c>
      <c r="P68" s="304">
        <v>0.51500560213868751</v>
      </c>
      <c r="Q68" s="304"/>
      <c r="R68" s="304">
        <v>0.28555552684843311</v>
      </c>
      <c r="S68" s="304">
        <v>0.3097378591694554</v>
      </c>
      <c r="T68" s="304">
        <v>0.47689259020864366</v>
      </c>
      <c r="U68" s="304"/>
      <c r="V68" s="304">
        <v>0.30097985073686978</v>
      </c>
      <c r="W68" s="304">
        <v>0.31580142334514966</v>
      </c>
      <c r="X68" s="304">
        <v>0.49481930082214742</v>
      </c>
      <c r="Y68" s="304"/>
      <c r="Z68" s="304">
        <v>0.59434493346787565</v>
      </c>
      <c r="AA68" s="304">
        <v>0.51649850748092341</v>
      </c>
      <c r="AB68" s="304">
        <v>0.5826568135534641</v>
      </c>
      <c r="AC68" s="304"/>
      <c r="AD68" s="304">
        <v>0.92416800870843174</v>
      </c>
      <c r="AE68" s="304">
        <v>0.77574827648556388</v>
      </c>
      <c r="AF68" s="304">
        <v>0.72852186883155723</v>
      </c>
      <c r="AG68" s="304"/>
      <c r="AH68" s="304">
        <v>0.50317977517725376</v>
      </c>
      <c r="AI68" s="304">
        <v>0.47296059210595859</v>
      </c>
      <c r="AJ68" s="304">
        <v>0.32680328228736422</v>
      </c>
      <c r="AK68" s="304"/>
      <c r="AL68" s="304">
        <v>0.20783179849928377</v>
      </c>
      <c r="AM68" s="304">
        <v>0.13913170283351381</v>
      </c>
      <c r="AN68" s="304">
        <v>7.5075915561818668E-2</v>
      </c>
    </row>
    <row r="69" spans="1:40" x14ac:dyDescent="0.2">
      <c r="A69" s="13" t="str">
        <f t="shared" si="72"/>
        <v>Sales and customer service occupations</v>
      </c>
      <c r="B69" s="304">
        <f t="shared" si="75"/>
        <v>31.887116790629864</v>
      </c>
      <c r="C69" s="304">
        <f t="shared" si="73"/>
        <v>31.391796952506905</v>
      </c>
      <c r="D69" s="304">
        <f t="shared" si="74"/>
        <v>31.145422369819144</v>
      </c>
      <c r="E69" s="304"/>
      <c r="F69" s="304">
        <v>2.7486937728405898E-2</v>
      </c>
      <c r="G69" s="304">
        <v>3.4856043673995141E-2</v>
      </c>
      <c r="H69" s="304">
        <v>4.8059724644461288E-2</v>
      </c>
      <c r="I69" s="304"/>
      <c r="J69" s="304">
        <v>0.64959049550161585</v>
      </c>
      <c r="K69" s="304">
        <v>0.88213268627065733</v>
      </c>
      <c r="L69" s="304">
        <v>1.4479752200142448</v>
      </c>
      <c r="M69" s="304"/>
      <c r="N69" s="304">
        <v>3.3526591425184926</v>
      </c>
      <c r="O69" s="304">
        <v>3.9563459171685342</v>
      </c>
      <c r="P69" s="304">
        <v>5.8519815759328022</v>
      </c>
      <c r="Q69" s="304"/>
      <c r="R69" s="304">
        <v>1.2275084371967613</v>
      </c>
      <c r="S69" s="304">
        <v>1.3773004702864364</v>
      </c>
      <c r="T69" s="304">
        <v>2.0417011767707751</v>
      </c>
      <c r="U69" s="304"/>
      <c r="V69" s="304">
        <v>1.0066724187558369</v>
      </c>
      <c r="W69" s="304">
        <v>1.0283018913292479</v>
      </c>
      <c r="X69" s="304">
        <v>1.37084012536716</v>
      </c>
      <c r="Y69" s="304"/>
      <c r="Z69" s="304">
        <v>9.2589619321494823</v>
      </c>
      <c r="AA69" s="304">
        <v>9.4243998393212038</v>
      </c>
      <c r="AB69" s="304">
        <v>10.566891150877201</v>
      </c>
      <c r="AC69" s="304"/>
      <c r="AD69" s="304">
        <v>8.9795360302124649</v>
      </c>
      <c r="AE69" s="304">
        <v>8.2560073851876048</v>
      </c>
      <c r="AF69" s="304">
        <v>6.9965001683790948</v>
      </c>
      <c r="AG69" s="304"/>
      <c r="AH69" s="304">
        <v>5.7373822561635786</v>
      </c>
      <c r="AI69" s="304">
        <v>5.040954670539084</v>
      </c>
      <c r="AJ69" s="304">
        <v>1.7996167277018598</v>
      </c>
      <c r="AK69" s="304"/>
      <c r="AL69" s="304">
        <v>1.6473191404032268</v>
      </c>
      <c r="AM69" s="304">
        <v>1.3914980487301414</v>
      </c>
      <c r="AN69" s="304">
        <v>1.0218565001315476</v>
      </c>
    </row>
    <row r="70" spans="1:40" x14ac:dyDescent="0.2">
      <c r="A70" s="13" t="str">
        <f t="shared" si="72"/>
        <v>Process, plant and machine operatives</v>
      </c>
      <c r="B70" s="304">
        <f t="shared" si="75"/>
        <v>18.045961518626836</v>
      </c>
      <c r="C70" s="304">
        <f t="shared" si="73"/>
        <v>18.907367514122061</v>
      </c>
      <c r="D70" s="304">
        <f t="shared" si="74"/>
        <v>18.714093683594779</v>
      </c>
      <c r="E70" s="304"/>
      <c r="F70" s="304">
        <v>4.5212094094993598E-2</v>
      </c>
      <c r="G70" s="304">
        <v>6.5217359911094022E-2</v>
      </c>
      <c r="H70" s="304">
        <v>0.12472560947325266</v>
      </c>
      <c r="I70" s="304"/>
      <c r="J70" s="304">
        <v>0.18288342425015139</v>
      </c>
      <c r="K70" s="304">
        <v>0.2473779610052956</v>
      </c>
      <c r="L70" s="304">
        <v>0.39112985901629521</v>
      </c>
      <c r="M70" s="304"/>
      <c r="N70" s="304">
        <v>0.91157259236766486</v>
      </c>
      <c r="O70" s="304">
        <v>1.1865642881232847</v>
      </c>
      <c r="P70" s="304">
        <v>1.8998458776798366</v>
      </c>
      <c r="Q70" s="304"/>
      <c r="R70" s="304">
        <v>0.3705299726029247</v>
      </c>
      <c r="S70" s="304">
        <v>0.46552849554259901</v>
      </c>
      <c r="T70" s="304">
        <v>0.65933691263497973</v>
      </c>
      <c r="U70" s="304"/>
      <c r="V70" s="304">
        <v>0.62021876618294391</v>
      </c>
      <c r="W70" s="304">
        <v>0.73874948280176689</v>
      </c>
      <c r="X70" s="304">
        <v>1.1135515533560503</v>
      </c>
      <c r="Y70" s="304"/>
      <c r="Z70" s="304">
        <v>3.3853554647902095</v>
      </c>
      <c r="AA70" s="304">
        <v>3.9225433216965748</v>
      </c>
      <c r="AB70" s="304">
        <v>4.627713220174055</v>
      </c>
      <c r="AC70" s="304"/>
      <c r="AD70" s="304">
        <v>5.7470736097867272</v>
      </c>
      <c r="AE70" s="304">
        <v>6.0965111270116275</v>
      </c>
      <c r="AF70" s="304">
        <v>6.0397141686039628</v>
      </c>
      <c r="AG70" s="304"/>
      <c r="AH70" s="304">
        <v>5.1537608663728101</v>
      </c>
      <c r="AI70" s="304">
        <v>4.7736413823684707</v>
      </c>
      <c r="AJ70" s="304">
        <v>3.2501925855829721</v>
      </c>
      <c r="AK70" s="304"/>
      <c r="AL70" s="304">
        <v>1.6293547281784104</v>
      </c>
      <c r="AM70" s="304">
        <v>1.4112340956613458</v>
      </c>
      <c r="AN70" s="304">
        <v>0.60788389707337454</v>
      </c>
    </row>
    <row r="71" spans="1:40" x14ac:dyDescent="0.2">
      <c r="A71" s="13" t="str">
        <f t="shared" si="72"/>
        <v>Elementary occupations</v>
      </c>
      <c r="B71" s="304">
        <f t="shared" si="75"/>
        <v>25.923582855330157</v>
      </c>
      <c r="C71" s="304">
        <f t="shared" si="73"/>
        <v>26.800846598546812</v>
      </c>
      <c r="D71" s="304">
        <f t="shared" si="74"/>
        <v>25.576490907477329</v>
      </c>
      <c r="E71" s="304"/>
      <c r="F71" s="304">
        <v>6.0681784805493542E-3</v>
      </c>
      <c r="G71" s="304">
        <v>7.8752322267525397E-3</v>
      </c>
      <c r="H71" s="304">
        <v>1.1656527259080837E-2</v>
      </c>
      <c r="I71" s="304"/>
      <c r="J71" s="304">
        <v>0.45929726828633416</v>
      </c>
      <c r="K71" s="304">
        <v>0.59538775917586295</v>
      </c>
      <c r="L71" s="304">
        <v>0.92679129828075524</v>
      </c>
      <c r="M71" s="304"/>
      <c r="N71" s="304">
        <v>2.3507360010785643</v>
      </c>
      <c r="O71" s="304">
        <v>2.8982159104143874</v>
      </c>
      <c r="P71" s="304">
        <v>4.0247503208511368</v>
      </c>
      <c r="Q71" s="304"/>
      <c r="R71" s="304">
        <v>0.98995980267108541</v>
      </c>
      <c r="S71" s="304">
        <v>1.2630866417409217</v>
      </c>
      <c r="T71" s="304">
        <v>1.8086787962886592</v>
      </c>
      <c r="U71" s="304"/>
      <c r="V71" s="304">
        <v>1.1222600711496469</v>
      </c>
      <c r="W71" s="304">
        <v>1.4284297870376732</v>
      </c>
      <c r="X71" s="304">
        <v>1.987505155293632</v>
      </c>
      <c r="Y71" s="304"/>
      <c r="Z71" s="304">
        <v>5.5308103874226875</v>
      </c>
      <c r="AA71" s="304">
        <v>5.5301647115207482</v>
      </c>
      <c r="AB71" s="304">
        <v>6.0382720374729848</v>
      </c>
      <c r="AC71" s="304"/>
      <c r="AD71" s="304">
        <v>7.6208855541850138</v>
      </c>
      <c r="AE71" s="304">
        <v>7.0723275144897793</v>
      </c>
      <c r="AF71" s="304">
        <v>5.9202427747809736</v>
      </c>
      <c r="AG71" s="304"/>
      <c r="AH71" s="304">
        <v>5.6803385685871364</v>
      </c>
      <c r="AI71" s="304">
        <v>5.5388824482824148</v>
      </c>
      <c r="AJ71" s="304">
        <v>3.1487107713601752</v>
      </c>
      <c r="AK71" s="304"/>
      <c r="AL71" s="304">
        <v>2.1632270234691409</v>
      </c>
      <c r="AM71" s="304">
        <v>2.4664765936582729</v>
      </c>
      <c r="AN71" s="304">
        <v>1.7098832258899328</v>
      </c>
    </row>
    <row r="72" spans="1:40" x14ac:dyDescent="0.2">
      <c r="B72" s="304"/>
      <c r="C72" s="304"/>
      <c r="D72" s="304"/>
      <c r="E72" s="304"/>
      <c r="F72" s="304"/>
      <c r="G72" s="304"/>
      <c r="H72" s="304"/>
      <c r="I72" s="304"/>
      <c r="J72" s="304"/>
      <c r="K72" s="304"/>
      <c r="L72" s="304"/>
      <c r="M72" s="304"/>
      <c r="N72" s="304"/>
      <c r="O72" s="304"/>
      <c r="P72" s="304"/>
      <c r="Q72" s="304"/>
      <c r="R72" s="304"/>
      <c r="S72" s="304"/>
      <c r="T72" s="304"/>
      <c r="U72" s="304"/>
      <c r="V72" s="304"/>
      <c r="W72" s="304"/>
      <c r="X72" s="304"/>
      <c r="Y72" s="304"/>
      <c r="Z72" s="304"/>
      <c r="AA72" s="304"/>
      <c r="AB72" s="304"/>
      <c r="AC72" s="304"/>
      <c r="AD72" s="304"/>
      <c r="AE72" s="304"/>
      <c r="AF72" s="304"/>
      <c r="AG72" s="304"/>
      <c r="AH72" s="304"/>
      <c r="AI72" s="304"/>
      <c r="AJ72" s="304"/>
      <c r="AK72" s="304"/>
      <c r="AL72" s="304"/>
      <c r="AM72" s="304"/>
      <c r="AN72" s="304"/>
    </row>
    <row r="73" spans="1:40" x14ac:dyDescent="0.2">
      <c r="A73" s="1" t="str">
        <f>name!C8</f>
        <v>Business and other services</v>
      </c>
      <c r="B73" s="306"/>
      <c r="C73" s="306"/>
      <c r="D73" s="306"/>
      <c r="E73" s="304"/>
      <c r="F73" s="304"/>
      <c r="G73" s="304"/>
      <c r="H73" s="304"/>
      <c r="I73" s="304"/>
      <c r="J73" s="304"/>
      <c r="K73" s="304"/>
      <c r="L73" s="304"/>
      <c r="M73" s="304"/>
      <c r="N73" s="304"/>
      <c r="O73" s="304"/>
      <c r="P73" s="304"/>
      <c r="Q73" s="304"/>
      <c r="R73" s="304"/>
      <c r="S73" s="304"/>
      <c r="T73" s="304"/>
      <c r="U73" s="304"/>
      <c r="V73" s="304"/>
      <c r="W73" s="304"/>
      <c r="X73" s="304"/>
      <c r="Y73" s="304"/>
      <c r="Z73" s="304"/>
      <c r="AA73" s="304"/>
      <c r="AB73" s="304"/>
      <c r="AC73" s="304"/>
      <c r="AD73" s="304"/>
      <c r="AE73" s="304"/>
      <c r="AF73" s="304"/>
      <c r="AG73" s="304"/>
      <c r="AH73" s="304"/>
      <c r="AI73" s="304"/>
      <c r="AJ73" s="304"/>
      <c r="AK73" s="304"/>
      <c r="AL73" s="304"/>
      <c r="AM73" s="304"/>
      <c r="AN73" s="304"/>
    </row>
    <row r="74" spans="1:40" x14ac:dyDescent="0.2">
      <c r="A74" s="13" t="str">
        <f t="shared" ref="A74:A83" si="76">A8</f>
        <v>All occupations</v>
      </c>
      <c r="B74" s="305">
        <f>SUM(B75:B83)</f>
        <v>120.74400000000001</v>
      </c>
      <c r="C74" s="305">
        <f>SUM(C75:C83)</f>
        <v>122.39800000000008</v>
      </c>
      <c r="D74" s="305">
        <f>SUM(D75:D83)</f>
        <v>128.03399999999996</v>
      </c>
      <c r="E74" s="304"/>
      <c r="F74" s="305">
        <f>SUM(F75:F83)</f>
        <v>1.7423865133902916</v>
      </c>
      <c r="G74" s="305">
        <f>SUM(G75:G83)</f>
        <v>2.1485328890321376</v>
      </c>
      <c r="H74" s="305">
        <f>SUM(H75:H83)</f>
        <v>2.8659328434578368</v>
      </c>
      <c r="I74" s="304"/>
      <c r="J74" s="305">
        <f>SUM(J75:J83)</f>
        <v>13.575376219053462</v>
      </c>
      <c r="K74" s="305">
        <f>SUM(K75:K83)</f>
        <v>16.619181132099079</v>
      </c>
      <c r="L74" s="305">
        <f>SUM(L75:L83)</f>
        <v>22.380717021607563</v>
      </c>
      <c r="M74" s="304"/>
      <c r="N74" s="305">
        <f>SUM(N75:N83)</f>
        <v>29.237520589759868</v>
      </c>
      <c r="O74" s="305">
        <f>SUM(O75:O83)</f>
        <v>30.968901043330153</v>
      </c>
      <c r="P74" s="305">
        <f>SUM(P75:P83)</f>
        <v>36.036258721238369</v>
      </c>
      <c r="Q74" s="304"/>
      <c r="R74" s="305">
        <f>SUM(R75:R83)</f>
        <v>6.2240600734615903</v>
      </c>
      <c r="S74" s="305">
        <f>SUM(S75:S83)</f>
        <v>6.723649935421073</v>
      </c>
      <c r="T74" s="305">
        <f>SUM(T75:T83)</f>
        <v>8.4020403945844695</v>
      </c>
      <c r="U74" s="304"/>
      <c r="V74" s="305">
        <f>SUM(V75:V83)</f>
        <v>7.2957155778353391</v>
      </c>
      <c r="W74" s="305">
        <f>SUM(W75:W83)</f>
        <v>7.6542588413938635</v>
      </c>
      <c r="X74" s="305">
        <f>SUM(X75:X83)</f>
        <v>9.213597933319388</v>
      </c>
      <c r="Y74" s="304"/>
      <c r="Z74" s="305">
        <f>SUM(Z75:Z83)</f>
        <v>20.981578180468304</v>
      </c>
      <c r="AA74" s="305">
        <f>SUM(AA75:AA83)</f>
        <v>19.420961456909097</v>
      </c>
      <c r="AB74" s="305">
        <f>SUM(AB75:AB83)</f>
        <v>18.165055418467219</v>
      </c>
      <c r="AC74" s="304"/>
      <c r="AD74" s="305">
        <f>SUM(AD75:AD83)</f>
        <v>21.278456257804649</v>
      </c>
      <c r="AE74" s="305">
        <f>SUM(AE75:AE83)</f>
        <v>19.372902256671264</v>
      </c>
      <c r="AF74" s="305">
        <f>SUM(AF75:AF83)</f>
        <v>16.344349099276371</v>
      </c>
      <c r="AG74" s="304"/>
      <c r="AH74" s="305">
        <f>SUM(AH75:AH83)</f>
        <v>16.173574096171631</v>
      </c>
      <c r="AI74" s="305">
        <f>SUM(AI75:AI83)</f>
        <v>15.365673462658361</v>
      </c>
      <c r="AJ74" s="305">
        <f>SUM(AJ75:AJ83)</f>
        <v>11.565039337191166</v>
      </c>
      <c r="AK74" s="304"/>
      <c r="AL74" s="305">
        <f>SUM(AL75:AL83)</f>
        <v>4.2353324920548978</v>
      </c>
      <c r="AM74" s="305">
        <f>SUM(AM75:AM83)</f>
        <v>4.1239389824850488</v>
      </c>
      <c r="AN74" s="305">
        <f>SUM(AN75:AN83)</f>
        <v>3.0610092308575925</v>
      </c>
    </row>
    <row r="75" spans="1:40" x14ac:dyDescent="0.2">
      <c r="A75" s="13" t="str">
        <f t="shared" si="76"/>
        <v>Managers, directors and senior officials</v>
      </c>
      <c r="B75" s="305">
        <f>SUM(F75,J75,N75,R75,V75,Z75,AD75,AH75,AL75)</f>
        <v>16.099662821436823</v>
      </c>
      <c r="C75" s="305">
        <f t="shared" ref="C75:C83" si="77">SUM(G75,K75,O75,S75,W75,AA75,AE75,AI75,AM75)</f>
        <v>15.184811792600339</v>
      </c>
      <c r="D75" s="305">
        <f t="shared" ref="D75:D83" si="78">SUM(H75,L75,P75,T75,X75,AB75,AF75,AJ75,AN75)</f>
        <v>16.601688659063484</v>
      </c>
      <c r="E75" s="304"/>
      <c r="F75" s="304">
        <v>0.28030170403476801</v>
      </c>
      <c r="G75" s="304">
        <v>0.32124148685858311</v>
      </c>
      <c r="H75" s="304">
        <v>0.44412073931263985</v>
      </c>
      <c r="I75" s="304"/>
      <c r="J75" s="304">
        <v>2.0048221354506315</v>
      </c>
      <c r="K75" s="304">
        <v>2.2445107717313793</v>
      </c>
      <c r="L75" s="304">
        <v>3.0690561025720351</v>
      </c>
      <c r="M75" s="304"/>
      <c r="N75" s="304">
        <v>4.7603526918372134</v>
      </c>
      <c r="O75" s="304">
        <v>4.5795055501188715</v>
      </c>
      <c r="P75" s="304">
        <v>5.4238965863083779</v>
      </c>
      <c r="Q75" s="304"/>
      <c r="R75" s="304">
        <v>0.52900625282548974</v>
      </c>
      <c r="S75" s="304">
        <v>0.47286011094368907</v>
      </c>
      <c r="T75" s="304">
        <v>0.53199691025992091</v>
      </c>
      <c r="U75" s="304"/>
      <c r="V75" s="304">
        <v>1.3545909832772922</v>
      </c>
      <c r="W75" s="304">
        <v>1.3185617255159625</v>
      </c>
      <c r="X75" s="304">
        <v>1.6074158789499884</v>
      </c>
      <c r="Y75" s="304"/>
      <c r="Z75" s="304">
        <v>2.9191716891711166</v>
      </c>
      <c r="AA75" s="304">
        <v>2.4682671651737262</v>
      </c>
      <c r="AB75" s="304">
        <v>2.3762121172956765</v>
      </c>
      <c r="AC75" s="304"/>
      <c r="AD75" s="304">
        <v>2.161265909255524</v>
      </c>
      <c r="AE75" s="304">
        <v>1.8069399890165347</v>
      </c>
      <c r="AF75" s="304">
        <v>1.5163648678236405</v>
      </c>
      <c r="AG75" s="304"/>
      <c r="AH75" s="304">
        <v>1.6612146865792929</v>
      </c>
      <c r="AI75" s="304">
        <v>1.4971606880695028</v>
      </c>
      <c r="AJ75" s="304">
        <v>1.2371003886544132</v>
      </c>
      <c r="AK75" s="304"/>
      <c r="AL75" s="304">
        <v>0.42893676900549271</v>
      </c>
      <c r="AM75" s="304">
        <v>0.47576430517209017</v>
      </c>
      <c r="AN75" s="304">
        <v>0.39552506788679542</v>
      </c>
    </row>
    <row r="76" spans="1:40" x14ac:dyDescent="0.2">
      <c r="A76" s="13" t="str">
        <f t="shared" si="76"/>
        <v>Professional occupations</v>
      </c>
      <c r="B76" s="305">
        <f t="shared" ref="B76:B83" si="79">SUM(F76,J76,N76,R76,V76,Z76,AD76,AH76,AL76)</f>
        <v>27.683521714038068</v>
      </c>
      <c r="C76" s="305">
        <f t="shared" si="77"/>
        <v>30.394138976693693</v>
      </c>
      <c r="D76" s="305">
        <f>SUM(H76,L76,P76,T76,X76,AB76,AF76,AJ76,AN76)</f>
        <v>33.958463821529634</v>
      </c>
      <c r="E76" s="304"/>
      <c r="F76" s="304">
        <v>0.99748061988537229</v>
      </c>
      <c r="G76" s="304">
        <v>1.2545217032903195</v>
      </c>
      <c r="H76" s="304">
        <v>1.6130116546252795</v>
      </c>
      <c r="I76" s="304"/>
      <c r="J76" s="304">
        <v>6.2027908001436884</v>
      </c>
      <c r="K76" s="304">
        <v>7.7381839273974373</v>
      </c>
      <c r="L76" s="304">
        <v>10.119285091659854</v>
      </c>
      <c r="M76" s="304"/>
      <c r="N76" s="304">
        <v>10.618162815306032</v>
      </c>
      <c r="O76" s="304">
        <v>11.260696080998564</v>
      </c>
      <c r="P76" s="304">
        <v>12.261436739301105</v>
      </c>
      <c r="Q76" s="304"/>
      <c r="R76" s="304">
        <v>0.91583623542685966</v>
      </c>
      <c r="S76" s="304">
        <v>0.97080122869229335</v>
      </c>
      <c r="T76" s="304">
        <v>1.1600220907159633</v>
      </c>
      <c r="U76" s="304"/>
      <c r="V76" s="304">
        <v>1.6089936338918382</v>
      </c>
      <c r="W76" s="304">
        <v>1.6793758987714522</v>
      </c>
      <c r="X76" s="304">
        <v>1.9390200150839396</v>
      </c>
      <c r="Y76" s="304"/>
      <c r="Z76" s="304">
        <v>3.2382518232216846</v>
      </c>
      <c r="AA76" s="304">
        <v>3.3762665313233913</v>
      </c>
      <c r="AB76" s="304">
        <v>3.453526299862951</v>
      </c>
      <c r="AC76" s="304"/>
      <c r="AD76" s="304">
        <v>2.3208310132590335</v>
      </c>
      <c r="AE76" s="304">
        <v>2.2274368017895574</v>
      </c>
      <c r="AF76" s="304">
        <v>2.0198235442320907</v>
      </c>
      <c r="AG76" s="304"/>
      <c r="AH76" s="304">
        <v>1.4753773017477512</v>
      </c>
      <c r="AI76" s="304">
        <v>1.4549457743014764</v>
      </c>
      <c r="AJ76" s="304">
        <v>0.97435962195324655</v>
      </c>
      <c r="AK76" s="304"/>
      <c r="AL76" s="304">
        <v>0.30579747115580619</v>
      </c>
      <c r="AM76" s="304">
        <v>0.43191103012919502</v>
      </c>
      <c r="AN76" s="304">
        <v>0.41797876409520129</v>
      </c>
    </row>
    <row r="77" spans="1:40" x14ac:dyDescent="0.2">
      <c r="A77" s="13" t="str">
        <f t="shared" si="76"/>
        <v>Associate professional occupations</v>
      </c>
      <c r="B77" s="305">
        <f t="shared" si="79"/>
        <v>19.368924270245962</v>
      </c>
      <c r="C77" s="305">
        <f t="shared" si="77"/>
        <v>18.949643083671152</v>
      </c>
      <c r="D77" s="305">
        <f t="shared" si="78"/>
        <v>20.321227792619741</v>
      </c>
      <c r="E77" s="304"/>
      <c r="F77" s="304">
        <v>0.29560826247049871</v>
      </c>
      <c r="G77" s="304">
        <v>0.34762879672977748</v>
      </c>
      <c r="H77" s="304">
        <v>0.4846613707503678</v>
      </c>
      <c r="I77" s="304"/>
      <c r="J77" s="304">
        <v>2.962126062956266</v>
      </c>
      <c r="K77" s="304">
        <v>3.4564473293085971</v>
      </c>
      <c r="L77" s="304">
        <v>4.6640699853111043</v>
      </c>
      <c r="M77" s="304"/>
      <c r="N77" s="304">
        <v>6.0018360290398034</v>
      </c>
      <c r="O77" s="304">
        <v>5.9227912956047675</v>
      </c>
      <c r="P77" s="304">
        <v>6.5468453439821594</v>
      </c>
      <c r="Q77" s="304"/>
      <c r="R77" s="304">
        <v>1.2808640162310045</v>
      </c>
      <c r="S77" s="304">
        <v>1.3765800030438395</v>
      </c>
      <c r="T77" s="304">
        <v>1.7673271660867649</v>
      </c>
      <c r="U77" s="304"/>
      <c r="V77" s="304">
        <v>1.2164456388848539</v>
      </c>
      <c r="W77" s="304">
        <v>1.1841273853294174</v>
      </c>
      <c r="X77" s="304">
        <v>1.3009083733142595</v>
      </c>
      <c r="Y77" s="304"/>
      <c r="Z77" s="304">
        <v>3.1970024805073409</v>
      </c>
      <c r="AA77" s="304">
        <v>2.7874167098451408</v>
      </c>
      <c r="AB77" s="304">
        <v>2.524025733502429</v>
      </c>
      <c r="AC77" s="304"/>
      <c r="AD77" s="304">
        <v>2.2195011034092511</v>
      </c>
      <c r="AE77" s="304">
        <v>1.7872165919739853</v>
      </c>
      <c r="AF77" s="304">
        <v>1.3466411045483417</v>
      </c>
      <c r="AG77" s="304"/>
      <c r="AH77" s="304">
        <v>1.8461654848560849</v>
      </c>
      <c r="AI77" s="304">
        <v>1.6928710960617799</v>
      </c>
      <c r="AJ77" s="304">
        <v>1.3267343797749407</v>
      </c>
      <c r="AK77" s="304"/>
      <c r="AL77" s="304">
        <v>0.34937519189086097</v>
      </c>
      <c r="AM77" s="304">
        <v>0.39456387577384744</v>
      </c>
      <c r="AN77" s="304">
        <v>0.36001433534937144</v>
      </c>
    </row>
    <row r="78" spans="1:40" x14ac:dyDescent="0.2">
      <c r="A78" s="13" t="str">
        <f t="shared" si="76"/>
        <v>Administrative and secretarial occupations</v>
      </c>
      <c r="B78" s="305">
        <f t="shared" si="79"/>
        <v>16.334205717401112</v>
      </c>
      <c r="C78" s="305">
        <f t="shared" si="77"/>
        <v>16.521509311362855</v>
      </c>
      <c r="D78" s="305">
        <f t="shared" si="78"/>
        <v>15.530961602222867</v>
      </c>
      <c r="E78" s="304"/>
      <c r="F78" s="304">
        <v>8.6031475209834896E-2</v>
      </c>
      <c r="G78" s="304">
        <v>0.11471839258547362</v>
      </c>
      <c r="H78" s="304">
        <v>0.16317894252596379</v>
      </c>
      <c r="I78" s="304"/>
      <c r="J78" s="304">
        <v>1.0751083637006511</v>
      </c>
      <c r="K78" s="304">
        <v>1.4424426529999927</v>
      </c>
      <c r="L78" s="304">
        <v>2.0513698339912012</v>
      </c>
      <c r="M78" s="304"/>
      <c r="N78" s="304">
        <v>3.4707345165079615</v>
      </c>
      <c r="O78" s="304">
        <v>4.1701918820076154</v>
      </c>
      <c r="P78" s="304">
        <v>5.1985684057783743</v>
      </c>
      <c r="Q78" s="304"/>
      <c r="R78" s="304">
        <v>1.1853809491305254</v>
      </c>
      <c r="S78" s="304">
        <v>1.3550398743957648</v>
      </c>
      <c r="T78" s="304">
        <v>1.5984558745864637</v>
      </c>
      <c r="U78" s="304"/>
      <c r="V78" s="304">
        <v>1.2462024439679389</v>
      </c>
      <c r="W78" s="304">
        <v>1.4423603065230683</v>
      </c>
      <c r="X78" s="304">
        <v>1.7279825921812653</v>
      </c>
      <c r="Y78" s="304"/>
      <c r="Z78" s="304">
        <v>3.066841887103863</v>
      </c>
      <c r="AA78" s="304">
        <v>2.7213004192649746</v>
      </c>
      <c r="AB78" s="304">
        <v>1.9540900003853796</v>
      </c>
      <c r="AC78" s="304"/>
      <c r="AD78" s="304">
        <v>3.7354198508438547</v>
      </c>
      <c r="AE78" s="304">
        <v>3.1979978524835411</v>
      </c>
      <c r="AF78" s="304">
        <v>1.9118021855701628</v>
      </c>
      <c r="AG78" s="304"/>
      <c r="AH78" s="304">
        <v>1.8410291627014588</v>
      </c>
      <c r="AI78" s="304">
        <v>1.3713588495050661</v>
      </c>
      <c r="AJ78" s="304">
        <v>0.38008730986462114</v>
      </c>
      <c r="AK78" s="304"/>
      <c r="AL78" s="304">
        <v>0.62745706823502534</v>
      </c>
      <c r="AM78" s="304">
        <v>0.70609908159735968</v>
      </c>
      <c r="AN78" s="304">
        <v>0.54542645733943462</v>
      </c>
    </row>
    <row r="79" spans="1:40" x14ac:dyDescent="0.2">
      <c r="A79" s="13" t="str">
        <f t="shared" si="76"/>
        <v>Skilled trades occupations</v>
      </c>
      <c r="B79" s="305">
        <f t="shared" si="79"/>
        <v>5.1230249127513563</v>
      </c>
      <c r="C79" s="305">
        <f t="shared" si="77"/>
        <v>5.2566563943077256</v>
      </c>
      <c r="D79" s="305">
        <f t="shared" si="78"/>
        <v>5.3419894627255369</v>
      </c>
      <c r="E79" s="304"/>
      <c r="F79" s="304">
        <v>2.0901895602155617E-2</v>
      </c>
      <c r="G79" s="304">
        <v>2.934256374812735E-2</v>
      </c>
      <c r="H79" s="304">
        <v>4.3468441069269115E-2</v>
      </c>
      <c r="I79" s="304"/>
      <c r="J79" s="304">
        <v>0.24055133842812626</v>
      </c>
      <c r="K79" s="304">
        <v>0.31263834008946911</v>
      </c>
      <c r="L79" s="304">
        <v>0.45270562040860357</v>
      </c>
      <c r="M79" s="304"/>
      <c r="N79" s="304">
        <v>0.69638475132232225</v>
      </c>
      <c r="O79" s="304">
        <v>0.77475670536300689</v>
      </c>
      <c r="P79" s="304">
        <v>0.98719459016287947</v>
      </c>
      <c r="Q79" s="304"/>
      <c r="R79" s="304">
        <v>0.31400779517974209</v>
      </c>
      <c r="S79" s="304">
        <v>0.33240202606636199</v>
      </c>
      <c r="T79" s="304">
        <v>0.43961689929941794</v>
      </c>
      <c r="U79" s="304"/>
      <c r="V79" s="304">
        <v>0.31212221552481689</v>
      </c>
      <c r="W79" s="304">
        <v>0.31603868883158809</v>
      </c>
      <c r="X79" s="304">
        <v>0.3604731821387549</v>
      </c>
      <c r="Y79" s="304"/>
      <c r="Z79" s="304">
        <v>1.2860980722980582</v>
      </c>
      <c r="AA79" s="304">
        <v>1.2683693886628082</v>
      </c>
      <c r="AB79" s="304">
        <v>1.1470533269550023</v>
      </c>
      <c r="AC79" s="304"/>
      <c r="AD79" s="304">
        <v>1.2405689699365865</v>
      </c>
      <c r="AE79" s="304">
        <v>1.1787757620821675</v>
      </c>
      <c r="AF79" s="304">
        <v>1.0624850323436299</v>
      </c>
      <c r="AG79" s="304"/>
      <c r="AH79" s="304">
        <v>0.62736466359082588</v>
      </c>
      <c r="AI79" s="304">
        <v>0.5525628638260015</v>
      </c>
      <c r="AJ79" s="304">
        <v>0.41519749693683128</v>
      </c>
      <c r="AK79" s="304"/>
      <c r="AL79" s="304">
        <v>0.38502521086872243</v>
      </c>
      <c r="AM79" s="304">
        <v>0.49177005563819387</v>
      </c>
      <c r="AN79" s="304">
        <v>0.43379487341114842</v>
      </c>
    </row>
    <row r="80" spans="1:40" x14ac:dyDescent="0.2">
      <c r="A80" s="13" t="str">
        <f t="shared" si="76"/>
        <v>Caring, leisure and other service occupations</v>
      </c>
      <c r="B80" s="305">
        <f t="shared" si="79"/>
        <v>12.741872053950335</v>
      </c>
      <c r="C80" s="305">
        <f t="shared" si="77"/>
        <v>12.462984912621936</v>
      </c>
      <c r="D80" s="305">
        <f t="shared" si="78"/>
        <v>12.905779414755587</v>
      </c>
      <c r="E80" s="304"/>
      <c r="F80" s="304">
        <v>6.514419905945582E-3</v>
      </c>
      <c r="G80" s="304">
        <v>8.4510547061075955E-3</v>
      </c>
      <c r="H80" s="304">
        <v>1.3877034122511258E-2</v>
      </c>
      <c r="I80" s="304"/>
      <c r="J80" s="304">
        <v>0.46023469032806946</v>
      </c>
      <c r="K80" s="304">
        <v>0.59041959108146147</v>
      </c>
      <c r="L80" s="304">
        <v>0.80597155317187963</v>
      </c>
      <c r="M80" s="304"/>
      <c r="N80" s="304">
        <v>1.5611369605990708</v>
      </c>
      <c r="O80" s="304">
        <v>1.8454466376748446</v>
      </c>
      <c r="P80" s="304">
        <v>2.5103398127535388</v>
      </c>
      <c r="Q80" s="304"/>
      <c r="R80" s="304">
        <v>1.0870793837597563</v>
      </c>
      <c r="S80" s="304">
        <v>1.2287974790374701</v>
      </c>
      <c r="T80" s="304">
        <v>1.6293355547390826</v>
      </c>
      <c r="U80" s="304"/>
      <c r="V80" s="304">
        <v>0.8037949040206378</v>
      </c>
      <c r="W80" s="304">
        <v>0.88741609543579947</v>
      </c>
      <c r="X80" s="304">
        <v>1.2857443902495767</v>
      </c>
      <c r="Y80" s="304"/>
      <c r="Z80" s="304">
        <v>3.4218198521183063</v>
      </c>
      <c r="AA80" s="304">
        <v>3.0717859672297667</v>
      </c>
      <c r="AB80" s="304">
        <v>2.9594362696538066</v>
      </c>
      <c r="AC80" s="304"/>
      <c r="AD80" s="304">
        <v>3.1026982055925987</v>
      </c>
      <c r="AE80" s="304">
        <v>2.5063407640285424</v>
      </c>
      <c r="AF80" s="304">
        <v>1.9035382945548813</v>
      </c>
      <c r="AG80" s="304"/>
      <c r="AH80" s="304">
        <v>1.9302507733441141</v>
      </c>
      <c r="AI80" s="304">
        <v>1.9693459911646705</v>
      </c>
      <c r="AJ80" s="304">
        <v>1.5534973709444311</v>
      </c>
      <c r="AK80" s="304"/>
      <c r="AL80" s="304">
        <v>0.36834286428183577</v>
      </c>
      <c r="AM80" s="304">
        <v>0.35498133226327183</v>
      </c>
      <c r="AN80" s="304">
        <v>0.24403913456587872</v>
      </c>
    </row>
    <row r="81" spans="1:40" x14ac:dyDescent="0.2">
      <c r="A81" s="13" t="str">
        <f t="shared" si="76"/>
        <v>Sales and customer service occupations</v>
      </c>
      <c r="B81" s="305">
        <f t="shared" si="79"/>
        <v>6.0983189891931513</v>
      </c>
      <c r="C81" s="305">
        <f t="shared" si="77"/>
        <v>6.3378157270769355</v>
      </c>
      <c r="D81" s="305">
        <f t="shared" si="78"/>
        <v>6.5458666042860036</v>
      </c>
      <c r="E81" s="304"/>
      <c r="F81" s="304">
        <v>3.3504796075110629E-2</v>
      </c>
      <c r="G81" s="304">
        <v>4.3780394175176686E-2</v>
      </c>
      <c r="H81" s="304">
        <v>6.0127629458136538E-2</v>
      </c>
      <c r="I81" s="304"/>
      <c r="J81" s="304">
        <v>0.28568977254075484</v>
      </c>
      <c r="K81" s="304">
        <v>0.37370146038625313</v>
      </c>
      <c r="L81" s="304">
        <v>0.53711141306164234</v>
      </c>
      <c r="M81" s="304"/>
      <c r="N81" s="304">
        <v>1.1234877855420928</v>
      </c>
      <c r="O81" s="304">
        <v>1.2619433032570444</v>
      </c>
      <c r="P81" s="304">
        <v>1.6072928911357651</v>
      </c>
      <c r="Q81" s="304"/>
      <c r="R81" s="304">
        <v>0.32144931768906709</v>
      </c>
      <c r="S81" s="304">
        <v>0.36312657679447657</v>
      </c>
      <c r="T81" s="304">
        <v>0.48360383669485979</v>
      </c>
      <c r="U81" s="304"/>
      <c r="V81" s="304">
        <v>0.45470387708781496</v>
      </c>
      <c r="W81" s="304">
        <v>0.54412758152161023</v>
      </c>
      <c r="X81" s="304">
        <v>0.65698015653311093</v>
      </c>
      <c r="Y81" s="304"/>
      <c r="Z81" s="304">
        <v>1.3670351618023051</v>
      </c>
      <c r="AA81" s="304">
        <v>1.3731097928406573</v>
      </c>
      <c r="AB81" s="304">
        <v>1.2626021573405892</v>
      </c>
      <c r="AC81" s="304"/>
      <c r="AD81" s="304">
        <v>1.5462572793740956</v>
      </c>
      <c r="AE81" s="304">
        <v>1.5227247714765231</v>
      </c>
      <c r="AF81" s="304">
        <v>1.3269293301697027</v>
      </c>
      <c r="AG81" s="304"/>
      <c r="AH81" s="304">
        <v>0.7485553832534908</v>
      </c>
      <c r="AI81" s="304">
        <v>0.61739948401191713</v>
      </c>
      <c r="AJ81" s="304">
        <v>0.43707524383472418</v>
      </c>
      <c r="AK81" s="304"/>
      <c r="AL81" s="304">
        <v>0.21763561582841862</v>
      </c>
      <c r="AM81" s="304">
        <v>0.23790236261327652</v>
      </c>
      <c r="AN81" s="304">
        <v>0.17414394605747288</v>
      </c>
    </row>
    <row r="82" spans="1:40" x14ac:dyDescent="0.2">
      <c r="A82" s="13" t="str">
        <f t="shared" si="76"/>
        <v>Process, plant and machine operatives</v>
      </c>
      <c r="B82" s="305">
        <f t="shared" si="79"/>
        <v>3.1592662205909812</v>
      </c>
      <c r="C82" s="305">
        <f t="shared" si="77"/>
        <v>3.2015225537480876</v>
      </c>
      <c r="D82" s="305">
        <f t="shared" si="78"/>
        <v>2.9485569835506946</v>
      </c>
      <c r="E82" s="304"/>
      <c r="F82" s="304">
        <v>4.4980937935938615E-3</v>
      </c>
      <c r="G82" s="304">
        <v>5.8756333741646332E-3</v>
      </c>
      <c r="H82" s="304">
        <v>7.5733551121677E-3</v>
      </c>
      <c r="I82" s="304"/>
      <c r="J82" s="304">
        <v>6.9522096877182304E-2</v>
      </c>
      <c r="K82" s="304">
        <v>8.3549811128966783E-2</v>
      </c>
      <c r="L82" s="304">
        <v>0.11248622978771425</v>
      </c>
      <c r="M82" s="304"/>
      <c r="N82" s="304">
        <v>0.18055130596960359</v>
      </c>
      <c r="O82" s="304">
        <v>0.20163246467801035</v>
      </c>
      <c r="P82" s="304">
        <v>0.23791271597756464</v>
      </c>
      <c r="Q82" s="304"/>
      <c r="R82" s="304">
        <v>0.11466451460741008</v>
      </c>
      <c r="S82" s="304">
        <v>0.11061067140291016</v>
      </c>
      <c r="T82" s="304">
        <v>0.14878743931008218</v>
      </c>
      <c r="U82" s="304"/>
      <c r="V82" s="304">
        <v>8.4266463632035743E-2</v>
      </c>
      <c r="W82" s="304">
        <v>8.9896566279538265E-2</v>
      </c>
      <c r="X82" s="304">
        <v>0.10684870366434279</v>
      </c>
      <c r="Y82" s="304"/>
      <c r="Z82" s="304">
        <v>0.78565338597831502</v>
      </c>
      <c r="AA82" s="304">
        <v>0.8770624040373971</v>
      </c>
      <c r="AB82" s="304">
        <v>1.0247447271636483</v>
      </c>
      <c r="AC82" s="304"/>
      <c r="AD82" s="304">
        <v>0.75320282030091279</v>
      </c>
      <c r="AE82" s="304">
        <v>0.75740645861488354</v>
      </c>
      <c r="AF82" s="304">
        <v>0.72301564057627221</v>
      </c>
      <c r="AG82" s="304"/>
      <c r="AH82" s="304">
        <v>0.69971043610004224</v>
      </c>
      <c r="AI82" s="304">
        <v>0.57783715771586741</v>
      </c>
      <c r="AJ82" s="304">
        <v>0.34434256386616907</v>
      </c>
      <c r="AK82" s="304"/>
      <c r="AL82" s="304">
        <v>0.46719710333188547</v>
      </c>
      <c r="AM82" s="304">
        <v>0.49765138651634938</v>
      </c>
      <c r="AN82" s="304">
        <v>0.24284560809273348</v>
      </c>
    </row>
    <row r="83" spans="1:40" x14ac:dyDescent="0.2">
      <c r="A83" s="39" t="str">
        <f t="shared" si="76"/>
        <v>Elementary occupations</v>
      </c>
      <c r="B83" s="307">
        <f t="shared" si="79"/>
        <v>14.13520330039224</v>
      </c>
      <c r="C83" s="307">
        <f t="shared" si="77"/>
        <v>14.088917247917356</v>
      </c>
      <c r="D83" s="307">
        <f t="shared" si="78"/>
        <v>13.879465659246435</v>
      </c>
      <c r="E83" s="307"/>
      <c r="F83" s="307">
        <v>1.7545246413012153E-2</v>
      </c>
      <c r="G83" s="307">
        <v>2.2972863564406986E-2</v>
      </c>
      <c r="H83" s="307">
        <v>3.5913676481501594E-2</v>
      </c>
      <c r="I83" s="307"/>
      <c r="J83" s="307">
        <v>0.27453095862809329</v>
      </c>
      <c r="K83" s="307">
        <v>0.37728724797552171</v>
      </c>
      <c r="L83" s="307">
        <v>0.56866119164352746</v>
      </c>
      <c r="M83" s="307"/>
      <c r="N83" s="307">
        <v>0.82487373363576455</v>
      </c>
      <c r="O83" s="307">
        <v>0.9519371236274311</v>
      </c>
      <c r="P83" s="307">
        <v>1.2627716358386056</v>
      </c>
      <c r="Q83" s="307"/>
      <c r="R83" s="307">
        <v>0.47577160861173545</v>
      </c>
      <c r="S83" s="307">
        <v>0.51343196504426702</v>
      </c>
      <c r="T83" s="307">
        <v>0.64289462289191468</v>
      </c>
      <c r="U83" s="307"/>
      <c r="V83" s="307">
        <v>0.21459541754810965</v>
      </c>
      <c r="W83" s="307">
        <v>0.19235459318542708</v>
      </c>
      <c r="X83" s="307">
        <v>0.22822464120415203</v>
      </c>
      <c r="Y83" s="307"/>
      <c r="Z83" s="307">
        <v>1.6997038282673129</v>
      </c>
      <c r="AA83" s="307">
        <v>1.4773830785312358</v>
      </c>
      <c r="AB83" s="307">
        <v>1.4633647863077368</v>
      </c>
      <c r="AC83" s="307"/>
      <c r="AD83" s="307">
        <v>4.1987111058327944</v>
      </c>
      <c r="AE83" s="307">
        <v>4.3880632652055249</v>
      </c>
      <c r="AF83" s="307">
        <v>4.5337490994576504</v>
      </c>
      <c r="AG83" s="307"/>
      <c r="AH83" s="307">
        <v>5.3439062039985687</v>
      </c>
      <c r="AI83" s="307">
        <v>5.632191558002078</v>
      </c>
      <c r="AJ83" s="307">
        <v>4.8966449613617904</v>
      </c>
      <c r="AK83" s="307"/>
      <c r="AL83" s="307">
        <v>1.0855651974568505</v>
      </c>
      <c r="AM83" s="307">
        <v>0.53329555278146457</v>
      </c>
      <c r="AN83" s="307">
        <v>0.24724104405955627</v>
      </c>
    </row>
    <row r="84" spans="1:40" x14ac:dyDescent="0.2">
      <c r="B84" s="32"/>
      <c r="C84" s="32"/>
      <c r="D84" s="32"/>
    </row>
    <row r="85" spans="1:40" ht="15.75" x14ac:dyDescent="0.25">
      <c r="A85" s="19" t="str">
        <f>CONCATENATE(A1," (Continued)")</f>
        <v>Basic Table 1  Employment by Industry Sector, Occupation Group and Qualification, 2020-2035, Greater Lincolnshire (Continued)</v>
      </c>
    </row>
    <row r="86" spans="1:40" ht="12.75" customHeight="1" x14ac:dyDescent="0.25">
      <c r="A86" s="19"/>
    </row>
    <row r="87" spans="1:40" ht="12.75" customHeight="1" x14ac:dyDescent="0.25">
      <c r="A87" s="19"/>
    </row>
    <row r="88" spans="1:40" ht="26.25" customHeight="1" x14ac:dyDescent="0.2">
      <c r="A88" s="78"/>
      <c r="B88" s="78"/>
      <c r="C88" s="79" t="str">
        <f>B4</f>
        <v>All qualifications</v>
      </c>
      <c r="D88" s="78"/>
      <c r="E88" s="78"/>
      <c r="F88" s="78"/>
      <c r="G88" s="79" t="str">
        <f>F4</f>
        <v>RQF8 Doctorate</v>
      </c>
      <c r="H88" s="78"/>
      <c r="I88" s="78"/>
      <c r="J88" s="78"/>
      <c r="K88" s="79" t="str">
        <f>J4</f>
        <v>RQF7 Other higher degree</v>
      </c>
      <c r="L88" s="78"/>
      <c r="M88" s="78"/>
      <c r="N88" s="382" t="str">
        <f>N4</f>
        <v>RQF6 First degree</v>
      </c>
      <c r="O88" s="382"/>
      <c r="P88" s="382"/>
      <c r="Q88" s="78"/>
      <c r="R88" s="382" t="str">
        <f>R4</f>
        <v>RQF5 Foundation degree;Nursing;Teaching</v>
      </c>
      <c r="S88" s="382"/>
      <c r="T88" s="382"/>
      <c r="U88" s="78"/>
      <c r="V88" s="382" t="str">
        <f>V4</f>
        <v>RQF4 HE below degree level</v>
      </c>
      <c r="W88" s="382"/>
      <c r="X88" s="382"/>
      <c r="Y88" s="78"/>
      <c r="Z88" s="382" t="str">
        <f>Z4</f>
        <v>RQF3 A level &amp; equivalent</v>
      </c>
      <c r="AA88" s="382"/>
      <c r="AB88" s="382"/>
      <c r="AC88" s="78"/>
      <c r="AD88" s="382" t="str">
        <f>AD4</f>
        <v>RQF2 GCSE(A-C) &amp; equivalent</v>
      </c>
      <c r="AE88" s="382"/>
      <c r="AF88" s="382"/>
      <c r="AG88" s="78"/>
      <c r="AH88" s="382" t="str">
        <f>AH4</f>
        <v>RQF1 GCSE(below grade C) &amp; equivalent</v>
      </c>
      <c r="AI88" s="382"/>
      <c r="AJ88" s="382"/>
      <c r="AK88" s="78"/>
      <c r="AL88" s="78"/>
      <c r="AM88" s="79" t="str">
        <f>AL4</f>
        <v>No Qualification</v>
      </c>
      <c r="AN88" s="78"/>
    </row>
    <row r="89" spans="1:40" x14ac:dyDescent="0.2">
      <c r="A89" s="39"/>
      <c r="B89" s="42">
        <f>B5</f>
        <v>2020</v>
      </c>
      <c r="C89" s="42">
        <f>C5</f>
        <v>2025</v>
      </c>
      <c r="D89" s="42">
        <f>D5</f>
        <v>2035</v>
      </c>
      <c r="E89" s="39"/>
      <c r="F89" s="35">
        <f>B89</f>
        <v>2020</v>
      </c>
      <c r="G89" s="35">
        <f>C89</f>
        <v>2025</v>
      </c>
      <c r="H89" s="35">
        <f>D89</f>
        <v>2035</v>
      </c>
      <c r="I89" s="39"/>
      <c r="J89" s="35">
        <f>B89</f>
        <v>2020</v>
      </c>
      <c r="K89" s="35">
        <f>C89</f>
        <v>2025</v>
      </c>
      <c r="L89" s="35">
        <f>D89</f>
        <v>2035</v>
      </c>
      <c r="M89" s="39"/>
      <c r="N89" s="35">
        <f>B89</f>
        <v>2020</v>
      </c>
      <c r="O89" s="35">
        <f>C89</f>
        <v>2025</v>
      </c>
      <c r="P89" s="35">
        <f>D89</f>
        <v>2035</v>
      </c>
      <c r="Q89" s="39"/>
      <c r="R89" s="35">
        <f>F89</f>
        <v>2020</v>
      </c>
      <c r="S89" s="35">
        <f>G89</f>
        <v>2025</v>
      </c>
      <c r="T89" s="35">
        <f>H89</f>
        <v>2035</v>
      </c>
      <c r="U89" s="39"/>
      <c r="V89" s="35">
        <f>J89</f>
        <v>2020</v>
      </c>
      <c r="W89" s="35">
        <f>K89</f>
        <v>2025</v>
      </c>
      <c r="X89" s="35">
        <f>L89</f>
        <v>2035</v>
      </c>
      <c r="Y89" s="39"/>
      <c r="Z89" s="35">
        <f>N89</f>
        <v>2020</v>
      </c>
      <c r="AA89" s="35">
        <f>O89</f>
        <v>2025</v>
      </c>
      <c r="AB89" s="35">
        <f>P89</f>
        <v>2035</v>
      </c>
      <c r="AC89" s="39"/>
      <c r="AD89" s="35">
        <f>R89</f>
        <v>2020</v>
      </c>
      <c r="AE89" s="35">
        <f>S89</f>
        <v>2025</v>
      </c>
      <c r="AF89" s="35">
        <f>T89</f>
        <v>2035</v>
      </c>
      <c r="AG89" s="39"/>
      <c r="AH89" s="35">
        <f>V89</f>
        <v>2020</v>
      </c>
      <c r="AI89" s="35">
        <f>W89</f>
        <v>2025</v>
      </c>
      <c r="AJ89" s="35">
        <f>X89</f>
        <v>2035</v>
      </c>
      <c r="AK89" s="39"/>
      <c r="AL89" s="35">
        <f>Z89</f>
        <v>2020</v>
      </c>
      <c r="AM89" s="35">
        <f>AA89</f>
        <v>2025</v>
      </c>
      <c r="AN89" s="35">
        <f>AB89</f>
        <v>2035</v>
      </c>
    </row>
    <row r="90" spans="1:40" x14ac:dyDescent="0.2">
      <c r="B90" s="32"/>
      <c r="C90" s="32"/>
      <c r="D90" s="32"/>
    </row>
    <row r="91" spans="1:40" x14ac:dyDescent="0.2">
      <c r="A91" s="1" t="str">
        <f>name!C9</f>
        <v>Non-marketed services</v>
      </c>
      <c r="E91" s="77"/>
      <c r="F91" s="77"/>
      <c r="G91" s="77"/>
      <c r="H91" s="77"/>
      <c r="I91" s="77"/>
      <c r="J91" s="77"/>
      <c r="K91" s="77"/>
      <c r="L91" s="77"/>
      <c r="M91" s="77"/>
      <c r="N91" s="77"/>
      <c r="O91" s="77"/>
      <c r="P91" s="77"/>
      <c r="Q91" s="77"/>
      <c r="R91" s="77"/>
      <c r="S91" s="77"/>
      <c r="T91" s="77"/>
      <c r="U91" s="77"/>
      <c r="V91" s="77"/>
      <c r="W91" s="77"/>
      <c r="X91" s="77"/>
      <c r="Y91" s="77"/>
      <c r="Z91" s="77"/>
      <c r="AA91" s="77"/>
      <c r="AB91" s="77"/>
      <c r="AC91" s="77"/>
      <c r="AD91" s="77"/>
      <c r="AE91" s="77"/>
      <c r="AF91" s="77"/>
      <c r="AG91" s="77"/>
      <c r="AH91" s="77"/>
      <c r="AI91" s="77"/>
      <c r="AJ91" s="77"/>
      <c r="AK91" s="77"/>
      <c r="AL91" s="77"/>
      <c r="AM91" s="77"/>
      <c r="AN91" s="77"/>
    </row>
    <row r="92" spans="1:40" x14ac:dyDescent="0.2">
      <c r="A92" s="13" t="str">
        <f t="shared" ref="A92:A101" si="80">A8</f>
        <v>All occupations</v>
      </c>
      <c r="B92" s="305">
        <f>SUM(B93:B101)</f>
        <v>126.54600000000016</v>
      </c>
      <c r="C92" s="305">
        <f>SUM(C93:C101)</f>
        <v>129.7360000000001</v>
      </c>
      <c r="D92" s="305">
        <f>SUM(D93:D101)</f>
        <v>134.63500000000002</v>
      </c>
      <c r="E92" s="304"/>
      <c r="F92" s="305">
        <f>SUM(F93:F101)</f>
        <v>3.3226854805906867</v>
      </c>
      <c r="G92" s="305">
        <f>SUM(G93:G101)</f>
        <v>3.9282796987812492</v>
      </c>
      <c r="H92" s="305">
        <f>SUM(H93:H101)</f>
        <v>4.8820123290348265</v>
      </c>
      <c r="I92" s="304"/>
      <c r="J92" s="305">
        <f>SUM(J93:J101)</f>
        <v>19.069016428558303</v>
      </c>
      <c r="K92" s="305">
        <f>SUM(K93:K101)</f>
        <v>22.223639516082766</v>
      </c>
      <c r="L92" s="305">
        <f>SUM(L93:L101)</f>
        <v>27.181551095072184</v>
      </c>
      <c r="M92" s="304"/>
      <c r="N92" s="305">
        <f>SUM(N93:N101)</f>
        <v>29.858461808474171</v>
      </c>
      <c r="O92" s="305">
        <f>SUM(O93:O101)</f>
        <v>33.082217739761596</v>
      </c>
      <c r="P92" s="305">
        <f>SUM(P93:P101)</f>
        <v>39.267987738123693</v>
      </c>
      <c r="Q92" s="304"/>
      <c r="R92" s="305">
        <f>SUM(R93:R101)</f>
        <v>11.656977364023094</v>
      </c>
      <c r="S92" s="305">
        <f>SUM(S93:S101)</f>
        <v>10.599629579139087</v>
      </c>
      <c r="T92" s="305">
        <f>SUM(T93:T101)</f>
        <v>9.6348349058035083</v>
      </c>
      <c r="U92" s="304"/>
      <c r="V92" s="305">
        <f>SUM(V93:V101)</f>
        <v>5.6735858863791826</v>
      </c>
      <c r="W92" s="305">
        <f>SUM(W93:W101)</f>
        <v>5.9896763594444522</v>
      </c>
      <c r="X92" s="305">
        <f>SUM(X93:X101)</f>
        <v>6.6704172071405381</v>
      </c>
      <c r="Y92" s="304"/>
      <c r="Z92" s="305">
        <f>SUM(Z93:Z101)</f>
        <v>28.114765085498828</v>
      </c>
      <c r="AA92" s="305">
        <f>SUM(AA93:AA101)</f>
        <v>29.173526881009934</v>
      </c>
      <c r="AB92" s="305">
        <f>SUM(AB93:AB101)</f>
        <v>30.173025070633201</v>
      </c>
      <c r="AC92" s="304"/>
      <c r="AD92" s="305">
        <f>SUM(AD93:AD101)</f>
        <v>20.892902677471227</v>
      </c>
      <c r="AE92" s="305">
        <f>SUM(AE93:AE101)</f>
        <v>18.612649578667977</v>
      </c>
      <c r="AF92" s="305">
        <f>SUM(AF93:AF101)</f>
        <v>13.127277000236791</v>
      </c>
      <c r="AG92" s="304"/>
      <c r="AH92" s="305">
        <f>SUM(AH93:AH101)</f>
        <v>6.8852790527891754</v>
      </c>
      <c r="AI92" s="305">
        <f>SUM(AI93:AI101)</f>
        <v>5.052714643359753</v>
      </c>
      <c r="AJ92" s="305">
        <f>SUM(AJ93:AJ101)</f>
        <v>2.7161603121568265</v>
      </c>
      <c r="AK92" s="304"/>
      <c r="AL92" s="305">
        <f>SUM(AL93:AL101)</f>
        <v>1.0723262162155152</v>
      </c>
      <c r="AM92" s="305">
        <f>SUM(AM93:AM101)</f>
        <v>1.0736660037532997</v>
      </c>
      <c r="AN92" s="305">
        <f>SUM(AN93:AN101)</f>
        <v>0.98173434179848984</v>
      </c>
    </row>
    <row r="93" spans="1:40" x14ac:dyDescent="0.2">
      <c r="A93" s="13" t="str">
        <f t="shared" si="80"/>
        <v>Managers, directors and senior officials</v>
      </c>
      <c r="B93" s="305">
        <f>SUM(F93,J93,N93,R93,V93,Z93,AD93,AH93,AL93)</f>
        <v>5.8643670866640623</v>
      </c>
      <c r="C93" s="305">
        <f t="shared" ref="C93:D93" si="81">SUM(G93,K93,O93,S93,W93,AA93,AE93,AI93,AM93)</f>
        <v>5.6348352587848671</v>
      </c>
      <c r="D93" s="305">
        <f t="shared" si="81"/>
        <v>6.2660473446833249</v>
      </c>
      <c r="E93" s="304"/>
      <c r="F93" s="304">
        <v>9.8945494918338733E-2</v>
      </c>
      <c r="G93" s="304">
        <v>0.11671294406622876</v>
      </c>
      <c r="H93" s="304">
        <v>0.15555194299817054</v>
      </c>
      <c r="I93" s="304"/>
      <c r="J93" s="304">
        <v>1.0156789635510786</v>
      </c>
      <c r="K93" s="304">
        <v>1.0964613401457612</v>
      </c>
      <c r="L93" s="304">
        <v>1.3459513054622179</v>
      </c>
      <c r="M93" s="304"/>
      <c r="N93" s="304">
        <v>1.7985455123650758</v>
      </c>
      <c r="O93" s="304">
        <v>1.8249181330132989</v>
      </c>
      <c r="P93" s="304">
        <v>2.2078679903766516</v>
      </c>
      <c r="Q93" s="304"/>
      <c r="R93" s="304">
        <v>1.0146865005256702</v>
      </c>
      <c r="S93" s="304">
        <v>0.95778997976873015</v>
      </c>
      <c r="T93" s="304">
        <v>1.0541896643092028</v>
      </c>
      <c r="U93" s="304"/>
      <c r="V93" s="304">
        <v>0.23743761375421121</v>
      </c>
      <c r="W93" s="304">
        <v>0.20133512278748064</v>
      </c>
      <c r="X93" s="304">
        <v>0.20520113943333887</v>
      </c>
      <c r="Y93" s="304"/>
      <c r="Z93" s="304">
        <v>0.9945219948989672</v>
      </c>
      <c r="AA93" s="304">
        <v>0.85118509282571975</v>
      </c>
      <c r="AB93" s="304">
        <v>0.82691638424859437</v>
      </c>
      <c r="AC93" s="304"/>
      <c r="AD93" s="304">
        <v>0.4416424923879152</v>
      </c>
      <c r="AE93" s="304">
        <v>0.35642297767136949</v>
      </c>
      <c r="AF93" s="304">
        <v>0.28424315219772683</v>
      </c>
      <c r="AG93" s="304"/>
      <c r="AH93" s="304">
        <v>0.18200923274437955</v>
      </c>
      <c r="AI93" s="304">
        <v>0.13415209588921997</v>
      </c>
      <c r="AJ93" s="304">
        <v>8.1032890994608794E-2</v>
      </c>
      <c r="AK93" s="304"/>
      <c r="AL93" s="304">
        <v>8.0899281518426167E-2</v>
      </c>
      <c r="AM93" s="304">
        <v>9.5857572617057074E-2</v>
      </c>
      <c r="AN93" s="304">
        <v>0.10509287466281339</v>
      </c>
    </row>
    <row r="94" spans="1:40" x14ac:dyDescent="0.2">
      <c r="A94" s="13" t="str">
        <f t="shared" si="80"/>
        <v>Professional occupations</v>
      </c>
      <c r="B94" s="305">
        <f t="shared" ref="B94:B101" si="82">SUM(F94,J94,N94,R94,V94,Z94,AD94,AH94,AL94)</f>
        <v>43.733512908381641</v>
      </c>
      <c r="C94" s="305">
        <f t="shared" ref="C94:C101" si="83">SUM(G94,K94,O94,S94,W94,AA94,AE94,AI94,AM94)</f>
        <v>43.437740088809939</v>
      </c>
      <c r="D94" s="305">
        <f t="shared" ref="D94:D101" si="84">SUM(H94,L94,P94,T94,X94,AB94,AF94,AJ94,AN94)</f>
        <v>46.499807042769987</v>
      </c>
      <c r="E94" s="305"/>
      <c r="F94" s="304">
        <v>2.9810631578739821</v>
      </c>
      <c r="G94" s="304">
        <v>3.4722917506467028</v>
      </c>
      <c r="H94" s="304">
        <v>4.2391964452876296</v>
      </c>
      <c r="I94" s="304"/>
      <c r="J94" s="304">
        <v>13.847533129792987</v>
      </c>
      <c r="K94" s="304">
        <v>15.25322237290225</v>
      </c>
      <c r="L94" s="304">
        <v>17.865364914486275</v>
      </c>
      <c r="M94" s="304"/>
      <c r="N94" s="304">
        <v>15.718870105035517</v>
      </c>
      <c r="O94" s="304">
        <v>15.436348659299691</v>
      </c>
      <c r="P94" s="304">
        <v>16.807404467871507</v>
      </c>
      <c r="Q94" s="304"/>
      <c r="R94" s="304">
        <v>3.2534553002139894</v>
      </c>
      <c r="S94" s="304">
        <v>1.7320109717118573</v>
      </c>
      <c r="T94" s="304">
        <v>0.81141438367853669</v>
      </c>
      <c r="U94" s="304"/>
      <c r="V94" s="304">
        <v>1.0543279030548212</v>
      </c>
      <c r="W94" s="304">
        <v>1.0707585434642504</v>
      </c>
      <c r="X94" s="304">
        <v>1.1823838623099718</v>
      </c>
      <c r="Y94" s="304"/>
      <c r="Z94" s="304">
        <v>3.304997597022735</v>
      </c>
      <c r="AA94" s="304">
        <v>3.1773519003569168</v>
      </c>
      <c r="AB94" s="304">
        <v>3.2089880352069455</v>
      </c>
      <c r="AC94" s="304"/>
      <c r="AD94" s="304">
        <v>2.1530902106922718</v>
      </c>
      <c r="AE94" s="304">
        <v>1.8308597165800971</v>
      </c>
      <c r="AF94" s="304">
        <v>1.3631515430468004</v>
      </c>
      <c r="AG94" s="304"/>
      <c r="AH94" s="304">
        <v>1.2823542170585476</v>
      </c>
      <c r="AI94" s="304">
        <v>1.2959492579505922</v>
      </c>
      <c r="AJ94" s="304">
        <v>0.87424038696391759</v>
      </c>
      <c r="AK94" s="304"/>
      <c r="AL94" s="304">
        <v>0.13782128763679385</v>
      </c>
      <c r="AM94" s="304">
        <v>0.16894691589757566</v>
      </c>
      <c r="AN94" s="304">
        <v>0.14766300391840889</v>
      </c>
    </row>
    <row r="95" spans="1:40" x14ac:dyDescent="0.2">
      <c r="A95" s="13" t="str">
        <f t="shared" si="80"/>
        <v>Associate professional occupations</v>
      </c>
      <c r="B95" s="305">
        <f t="shared" si="82"/>
        <v>18.70724338987133</v>
      </c>
      <c r="C95" s="305">
        <f t="shared" si="83"/>
        <v>22.864093226966844</v>
      </c>
      <c r="D95" s="305">
        <f t="shared" si="84"/>
        <v>25.423351861671218</v>
      </c>
      <c r="E95" s="305"/>
      <c r="F95" s="304">
        <v>0.13940873983133248</v>
      </c>
      <c r="G95" s="304">
        <v>0.19824436262118539</v>
      </c>
      <c r="H95" s="304">
        <v>0.29837689703722803</v>
      </c>
      <c r="I95" s="304"/>
      <c r="J95" s="304">
        <v>2.0169372178895375</v>
      </c>
      <c r="K95" s="304">
        <v>2.884524807001851</v>
      </c>
      <c r="L95" s="304">
        <v>3.9845695049977885</v>
      </c>
      <c r="M95" s="304"/>
      <c r="N95" s="304">
        <v>5.2594046452190515</v>
      </c>
      <c r="O95" s="304">
        <v>7.2769856786771498</v>
      </c>
      <c r="P95" s="304">
        <v>9.702881905271548</v>
      </c>
      <c r="Q95" s="304"/>
      <c r="R95" s="304">
        <v>2.2083254972519621</v>
      </c>
      <c r="S95" s="304">
        <v>2.355918476915861</v>
      </c>
      <c r="T95" s="304">
        <v>1.824825634247937</v>
      </c>
      <c r="U95" s="304"/>
      <c r="V95" s="304">
        <v>0.99017869616312204</v>
      </c>
      <c r="W95" s="304">
        <v>1.0740302585831962</v>
      </c>
      <c r="X95" s="304">
        <v>1.2314637884012514</v>
      </c>
      <c r="Y95" s="304"/>
      <c r="Z95" s="304">
        <v>4.0334687090367307</v>
      </c>
      <c r="AA95" s="304">
        <v>4.9012921884050451</v>
      </c>
      <c r="AB95" s="304">
        <v>5.3244650645305791</v>
      </c>
      <c r="AC95" s="304"/>
      <c r="AD95" s="304">
        <v>2.7523000041538395</v>
      </c>
      <c r="AE95" s="304">
        <v>2.8943658320878445</v>
      </c>
      <c r="AF95" s="304">
        <v>2.1973642562375151</v>
      </c>
      <c r="AG95" s="304"/>
      <c r="AH95" s="304">
        <v>1.1649986474310923</v>
      </c>
      <c r="AI95" s="304">
        <v>1.1253230753701757</v>
      </c>
      <c r="AJ95" s="304">
        <v>0.74480651687684829</v>
      </c>
      <c r="AK95" s="304"/>
      <c r="AL95" s="304">
        <v>0.14222123289466296</v>
      </c>
      <c r="AM95" s="304">
        <v>0.15340854730453735</v>
      </c>
      <c r="AN95" s="304">
        <v>0.11459829407052009</v>
      </c>
    </row>
    <row r="96" spans="1:40" x14ac:dyDescent="0.2">
      <c r="A96" s="13" t="str">
        <f t="shared" si="80"/>
        <v>Administrative and secretarial occupations</v>
      </c>
      <c r="B96" s="305">
        <f t="shared" si="82"/>
        <v>10.918089068680821</v>
      </c>
      <c r="C96" s="305">
        <f t="shared" si="83"/>
        <v>10.142827203667929</v>
      </c>
      <c r="D96" s="305">
        <f t="shared" si="84"/>
        <v>7.4970230907310258</v>
      </c>
      <c r="E96" s="305"/>
      <c r="F96" s="304">
        <v>5.7715876564681384E-2</v>
      </c>
      <c r="G96" s="304">
        <v>7.6237331118175974E-2</v>
      </c>
      <c r="H96" s="304">
        <v>0.10087375837054921</v>
      </c>
      <c r="I96" s="304"/>
      <c r="J96" s="304">
        <v>0.69729109109475518</v>
      </c>
      <c r="K96" s="304">
        <v>0.92598197728716147</v>
      </c>
      <c r="L96" s="304">
        <v>1.0436067617498743</v>
      </c>
      <c r="M96" s="304"/>
      <c r="N96" s="304">
        <v>1.9886444157516101</v>
      </c>
      <c r="O96" s="304">
        <v>2.3127242298828432</v>
      </c>
      <c r="P96" s="304">
        <v>2.4074044851117153</v>
      </c>
      <c r="Q96" s="304"/>
      <c r="R96" s="304">
        <v>1.1868872656045313</v>
      </c>
      <c r="S96" s="304">
        <v>1.3766939838925196</v>
      </c>
      <c r="T96" s="304">
        <v>1.4408881261108326</v>
      </c>
      <c r="U96" s="304"/>
      <c r="V96" s="304">
        <v>0.76508515455089832</v>
      </c>
      <c r="W96" s="304">
        <v>0.80365767153592527</v>
      </c>
      <c r="X96" s="304">
        <v>0.76326283771633396</v>
      </c>
      <c r="Y96" s="304"/>
      <c r="Z96" s="304">
        <v>2.489519203207633</v>
      </c>
      <c r="AA96" s="304">
        <v>2.3505780955916671</v>
      </c>
      <c r="AB96" s="304">
        <v>1.2402403256107362</v>
      </c>
      <c r="AC96" s="304"/>
      <c r="AD96" s="304">
        <v>2.3426759922871305</v>
      </c>
      <c r="AE96" s="304">
        <v>1.7044599091395651</v>
      </c>
      <c r="AF96" s="304">
        <v>0.42958604012377472</v>
      </c>
      <c r="AG96" s="304"/>
      <c r="AH96" s="304">
        <v>1.2768069412669643</v>
      </c>
      <c r="AI96" s="304">
        <v>0.53137196897687233</v>
      </c>
      <c r="AJ96" s="304">
        <v>5.6041414409516405E-2</v>
      </c>
      <c r="AK96" s="304"/>
      <c r="AL96" s="304">
        <v>0.11346312835261722</v>
      </c>
      <c r="AM96" s="304">
        <v>6.1122036243198966E-2</v>
      </c>
      <c r="AN96" s="304">
        <v>1.5119341527693387E-2</v>
      </c>
    </row>
    <row r="97" spans="1:40" x14ac:dyDescent="0.2">
      <c r="A97" s="13" t="str">
        <f t="shared" si="80"/>
        <v>Skilled trades occupations</v>
      </c>
      <c r="B97" s="305">
        <f t="shared" si="82"/>
        <v>1.1385180864236444</v>
      </c>
      <c r="C97" s="305">
        <f t="shared" si="83"/>
        <v>1.0530676783590087</v>
      </c>
      <c r="D97" s="305">
        <f t="shared" si="84"/>
        <v>0.85598775588038178</v>
      </c>
      <c r="E97" s="304"/>
      <c r="F97" s="304">
        <v>9.4252847412226518E-3</v>
      </c>
      <c r="G97" s="304">
        <v>1.3276541809017998E-2</v>
      </c>
      <c r="H97" s="304">
        <v>1.7123542168447466E-2</v>
      </c>
      <c r="I97" s="304"/>
      <c r="J97" s="304">
        <v>2.3488176616487423E-2</v>
      </c>
      <c r="K97" s="304">
        <v>3.1954756908371851E-2</v>
      </c>
      <c r="L97" s="304">
        <v>4.4656214202145508E-2</v>
      </c>
      <c r="M97" s="304"/>
      <c r="N97" s="304">
        <v>0.10546337696771614</v>
      </c>
      <c r="O97" s="304">
        <v>0.13184466239549084</v>
      </c>
      <c r="P97" s="304">
        <v>0.16483508820710577</v>
      </c>
      <c r="Q97" s="304"/>
      <c r="R97" s="304">
        <v>6.9077519377706897E-2</v>
      </c>
      <c r="S97" s="304">
        <v>7.590467757629403E-2</v>
      </c>
      <c r="T97" s="304">
        <v>8.8773101153840392E-2</v>
      </c>
      <c r="U97" s="304"/>
      <c r="V97" s="304">
        <v>5.3207441942362606E-2</v>
      </c>
      <c r="W97" s="304">
        <v>6.1005796435675913E-2</v>
      </c>
      <c r="X97" s="304">
        <v>7.2824917664603445E-2</v>
      </c>
      <c r="Y97" s="304"/>
      <c r="Z97" s="304">
        <v>0.25848595424008691</v>
      </c>
      <c r="AA97" s="304">
        <v>0.22849965710544767</v>
      </c>
      <c r="AB97" s="304">
        <v>0.1770546063061807</v>
      </c>
      <c r="AC97" s="304"/>
      <c r="AD97" s="304">
        <v>0.40393279146761701</v>
      </c>
      <c r="AE97" s="304">
        <v>0.33822631969963673</v>
      </c>
      <c r="AF97" s="304">
        <v>0.16808842121885181</v>
      </c>
      <c r="AG97" s="304"/>
      <c r="AH97" s="304">
        <v>0.17302377211718795</v>
      </c>
      <c r="AI97" s="304">
        <v>0.1347511181788737</v>
      </c>
      <c r="AJ97" s="304">
        <v>9.8416450651141116E-2</v>
      </c>
      <c r="AK97" s="304"/>
      <c r="AL97" s="304">
        <v>4.2413768953256777E-2</v>
      </c>
      <c r="AM97" s="304">
        <v>3.7604148250200128E-2</v>
      </c>
      <c r="AN97" s="304">
        <v>2.421541430806564E-2</v>
      </c>
    </row>
    <row r="98" spans="1:40" x14ac:dyDescent="0.2">
      <c r="A98" s="13" t="str">
        <f t="shared" si="80"/>
        <v>Caring, leisure and other service occupations</v>
      </c>
      <c r="B98" s="305">
        <f t="shared" si="82"/>
        <v>39.371174740236029</v>
      </c>
      <c r="C98" s="305">
        <f t="shared" si="83"/>
        <v>40.343743385152159</v>
      </c>
      <c r="D98" s="305">
        <f t="shared" si="84"/>
        <v>42.737199949332762</v>
      </c>
      <c r="E98" s="304"/>
      <c r="F98" s="304">
        <v>2.2769086514741108E-2</v>
      </c>
      <c r="G98" s="304">
        <v>3.4070834717037708E-2</v>
      </c>
      <c r="H98" s="304">
        <v>4.9905435295285822E-2</v>
      </c>
      <c r="I98" s="304"/>
      <c r="J98" s="304">
        <v>1.2872937583977</v>
      </c>
      <c r="K98" s="304">
        <v>1.8014231128826252</v>
      </c>
      <c r="L98" s="304">
        <v>2.6091724062061097</v>
      </c>
      <c r="M98" s="304"/>
      <c r="N98" s="304">
        <v>4.4289727778876706</v>
      </c>
      <c r="O98" s="304">
        <v>5.4909507444631451</v>
      </c>
      <c r="P98" s="304">
        <v>7.286317944450067</v>
      </c>
      <c r="Q98" s="304"/>
      <c r="R98" s="304">
        <v>3.5270561650219898</v>
      </c>
      <c r="S98" s="304">
        <v>3.5940988185241012</v>
      </c>
      <c r="T98" s="304">
        <v>3.7401176172689499</v>
      </c>
      <c r="U98" s="304"/>
      <c r="V98" s="304">
        <v>2.2650687564368028</v>
      </c>
      <c r="W98" s="304">
        <v>2.4403409801155784</v>
      </c>
      <c r="X98" s="304">
        <v>2.8259553931323218</v>
      </c>
      <c r="Y98" s="304"/>
      <c r="Z98" s="304">
        <v>15.557478985122779</v>
      </c>
      <c r="AA98" s="304">
        <v>16.298451586013002</v>
      </c>
      <c r="AB98" s="304">
        <v>18.135777688703676</v>
      </c>
      <c r="AC98" s="304"/>
      <c r="AD98" s="304">
        <v>10.755096008270097</v>
      </c>
      <c r="AE98" s="304">
        <v>9.7431932976951749</v>
      </c>
      <c r="AF98" s="304">
        <v>7.4399783138970941</v>
      </c>
      <c r="AG98" s="304"/>
      <c r="AH98" s="304">
        <v>1.3561170376105109</v>
      </c>
      <c r="AI98" s="304">
        <v>0.73685144319676743</v>
      </c>
      <c r="AJ98" s="304">
        <v>0.43258645101426274</v>
      </c>
      <c r="AK98" s="304"/>
      <c r="AL98" s="304">
        <v>0.17132216497373995</v>
      </c>
      <c r="AM98" s="304">
        <v>0.20436256754473076</v>
      </c>
      <c r="AN98" s="304">
        <v>0.21738869936499403</v>
      </c>
    </row>
    <row r="99" spans="1:40" x14ac:dyDescent="0.2">
      <c r="A99" s="13" t="str">
        <f t="shared" si="80"/>
        <v>Sales and customer service occupations</v>
      </c>
      <c r="B99" s="305">
        <f t="shared" si="82"/>
        <v>1.3356998079078819</v>
      </c>
      <c r="C99" s="305">
        <f t="shared" si="83"/>
        <v>1.4152109213309363</v>
      </c>
      <c r="D99" s="305">
        <f>SUM(H99,L99,P99,T99,X99,AB99,AF99,AJ99,AN99)</f>
        <v>1.4020072409012374</v>
      </c>
      <c r="E99" s="304"/>
      <c r="F99" s="304">
        <v>6.5922053128115617E-3</v>
      </c>
      <c r="G99" s="304">
        <v>9.7324291386859264E-3</v>
      </c>
      <c r="H99" s="304">
        <v>1.1993850166099766E-2</v>
      </c>
      <c r="I99" s="304"/>
      <c r="J99" s="304">
        <v>0.11942662729459075</v>
      </c>
      <c r="K99" s="304">
        <v>0.15447488054910957</v>
      </c>
      <c r="L99" s="304">
        <v>0.1912408147346501</v>
      </c>
      <c r="M99" s="304"/>
      <c r="N99" s="304">
        <v>0.31222413227471635</v>
      </c>
      <c r="O99" s="304">
        <v>0.36204933427996749</v>
      </c>
      <c r="P99" s="304">
        <v>0.4164167878936243</v>
      </c>
      <c r="Q99" s="304"/>
      <c r="R99" s="304">
        <v>0.17147569968629714</v>
      </c>
      <c r="S99" s="304">
        <v>0.16509130205108727</v>
      </c>
      <c r="T99" s="304">
        <v>0.16160300871190825</v>
      </c>
      <c r="U99" s="304"/>
      <c r="V99" s="304">
        <v>0.10196364123436015</v>
      </c>
      <c r="W99" s="304">
        <v>0.11787874342352903</v>
      </c>
      <c r="X99" s="304">
        <v>0.12949677320572403</v>
      </c>
      <c r="Y99" s="304"/>
      <c r="Z99" s="304">
        <v>0.28686267567327089</v>
      </c>
      <c r="AA99" s="304">
        <v>0.29071373150526619</v>
      </c>
      <c r="AB99" s="304">
        <v>0.27837626018623435</v>
      </c>
      <c r="AC99" s="304"/>
      <c r="AD99" s="304">
        <v>0.23471756054482903</v>
      </c>
      <c r="AE99" s="304">
        <v>0.20892012965943133</v>
      </c>
      <c r="AF99" s="304">
        <v>0.12645874418254591</v>
      </c>
      <c r="AG99" s="304"/>
      <c r="AH99" s="304">
        <v>7.5364022321259702E-2</v>
      </c>
      <c r="AI99" s="304">
        <v>7.0870758701409617E-2</v>
      </c>
      <c r="AJ99" s="304">
        <v>4.6066610437431446E-2</v>
      </c>
      <c r="AK99" s="304"/>
      <c r="AL99" s="304">
        <v>2.7073243565746044E-2</v>
      </c>
      <c r="AM99" s="304">
        <v>3.5479612022449786E-2</v>
      </c>
      <c r="AN99" s="304">
        <v>4.0354391383019161E-2</v>
      </c>
    </row>
    <row r="100" spans="1:40" x14ac:dyDescent="0.2">
      <c r="A100" s="13" t="str">
        <f t="shared" si="80"/>
        <v>Process, plant and machine operatives</v>
      </c>
      <c r="B100" s="305">
        <f t="shared" si="82"/>
        <v>1.0851243380842319</v>
      </c>
      <c r="C100" s="305">
        <f t="shared" si="83"/>
        <v>1.1414947535280691</v>
      </c>
      <c r="D100" s="305">
        <f t="shared" si="84"/>
        <v>0.92051651445144955</v>
      </c>
      <c r="E100" s="304"/>
      <c r="F100" s="304">
        <v>4.8377099973481111E-3</v>
      </c>
      <c r="G100" s="304">
        <v>5.8032517783513189E-3</v>
      </c>
      <c r="H100" s="304">
        <v>7.2939137676137616E-3</v>
      </c>
      <c r="I100" s="304"/>
      <c r="J100" s="304">
        <v>1.6530483591264532E-2</v>
      </c>
      <c r="K100" s="304">
        <v>2.6358324160165182E-2</v>
      </c>
      <c r="L100" s="304">
        <v>3.0811937341877059E-2</v>
      </c>
      <c r="M100" s="304"/>
      <c r="N100" s="304">
        <v>7.7473478582066949E-2</v>
      </c>
      <c r="O100" s="304">
        <v>8.503364204830853E-2</v>
      </c>
      <c r="P100" s="304">
        <v>8.2299050714374669E-2</v>
      </c>
      <c r="Q100" s="304"/>
      <c r="R100" s="304">
        <v>4.5802578031431292E-2</v>
      </c>
      <c r="S100" s="304">
        <v>5.9766091410849528E-2</v>
      </c>
      <c r="T100" s="304">
        <v>6.9949884303197665E-2</v>
      </c>
      <c r="U100" s="304"/>
      <c r="V100" s="304">
        <v>9.4346410542411538E-2</v>
      </c>
      <c r="W100" s="304">
        <v>0.10515228079182944</v>
      </c>
      <c r="X100" s="304">
        <v>0.12151328882054972</v>
      </c>
      <c r="Y100" s="304"/>
      <c r="Z100" s="304">
        <v>0.26336056142758441</v>
      </c>
      <c r="AA100" s="304">
        <v>0.2923603342186365</v>
      </c>
      <c r="AB100" s="304">
        <v>0.2946134832803603</v>
      </c>
      <c r="AC100" s="304"/>
      <c r="AD100" s="304">
        <v>0.22454035798360647</v>
      </c>
      <c r="AE100" s="304">
        <v>0.23961874024352384</v>
      </c>
      <c r="AF100" s="304">
        <v>9.7596294687319937E-2</v>
      </c>
      <c r="AG100" s="304"/>
      <c r="AH100" s="304">
        <v>0.3068291237740165</v>
      </c>
      <c r="AI100" s="304">
        <v>0.26852439087741348</v>
      </c>
      <c r="AJ100" s="304">
        <v>0.15763430088618555</v>
      </c>
      <c r="AK100" s="304"/>
      <c r="AL100" s="304">
        <v>5.1403634154502102E-2</v>
      </c>
      <c r="AM100" s="304">
        <v>5.8877697998991445E-2</v>
      </c>
      <c r="AN100" s="304">
        <v>5.8804360649970827E-2</v>
      </c>
    </row>
    <row r="101" spans="1:40" x14ac:dyDescent="0.2">
      <c r="A101" s="39" t="str">
        <f t="shared" si="80"/>
        <v>Elementary occupations</v>
      </c>
      <c r="B101" s="307">
        <f t="shared" si="82"/>
        <v>4.3922705737505279</v>
      </c>
      <c r="C101" s="307">
        <f t="shared" si="83"/>
        <v>3.7029874834003613</v>
      </c>
      <c r="D101" s="307">
        <f t="shared" si="84"/>
        <v>3.0330591995786618</v>
      </c>
      <c r="E101" s="307"/>
      <c r="F101" s="307">
        <v>1.9279248362284575E-3</v>
      </c>
      <c r="G101" s="307">
        <v>1.9102528858634471E-3</v>
      </c>
      <c r="H101" s="307">
        <v>1.6965439438025504E-3</v>
      </c>
      <c r="I101" s="307"/>
      <c r="J101" s="307">
        <v>4.4836980329904651E-2</v>
      </c>
      <c r="K101" s="307">
        <v>4.9237944245473536E-2</v>
      </c>
      <c r="L101" s="307">
        <v>6.617723589124376E-2</v>
      </c>
      <c r="M101" s="307"/>
      <c r="N101" s="307">
        <v>0.16886336439074254</v>
      </c>
      <c r="O101" s="307">
        <v>0.16136265570169786</v>
      </c>
      <c r="P101" s="307">
        <v>0.19256001822709734</v>
      </c>
      <c r="Q101" s="307"/>
      <c r="R101" s="307">
        <v>0.1802108383095154</v>
      </c>
      <c r="S101" s="307">
        <v>0.28235527728778664</v>
      </c>
      <c r="T101" s="307">
        <v>0.44307348601910268</v>
      </c>
      <c r="U101" s="307"/>
      <c r="V101" s="307">
        <v>0.11197026870019249</v>
      </c>
      <c r="W101" s="307">
        <v>0.11551696230698633</v>
      </c>
      <c r="X101" s="307">
        <v>0.13831520645644291</v>
      </c>
      <c r="Y101" s="307"/>
      <c r="Z101" s="307">
        <v>0.92606940486903999</v>
      </c>
      <c r="AA101" s="307">
        <v>0.78309429498823524</v>
      </c>
      <c r="AB101" s="307">
        <v>0.68659322255989141</v>
      </c>
      <c r="AC101" s="307"/>
      <c r="AD101" s="307">
        <v>1.5849072596839175</v>
      </c>
      <c r="AE101" s="307">
        <v>1.2965826558913305</v>
      </c>
      <c r="AF101" s="307">
        <v>1.020810234645162</v>
      </c>
      <c r="AG101" s="307"/>
      <c r="AH101" s="307">
        <v>1.0677760584652169</v>
      </c>
      <c r="AI101" s="307">
        <v>0.75492053421842864</v>
      </c>
      <c r="AJ101" s="307">
        <v>0.22533528992291479</v>
      </c>
      <c r="AK101" s="307"/>
      <c r="AL101" s="307">
        <v>0.30570847416576985</v>
      </c>
      <c r="AM101" s="307">
        <v>0.25800690587455871</v>
      </c>
      <c r="AN101" s="307">
        <v>0.25849796191300434</v>
      </c>
    </row>
  </sheetData>
  <mergeCells count="23">
    <mergeCell ref="AD88:AF88"/>
    <mergeCell ref="Z88:AB88"/>
    <mergeCell ref="AH88:AJ88"/>
    <mergeCell ref="AD4:AF4"/>
    <mergeCell ref="AH4:AJ4"/>
    <mergeCell ref="AL4:AN4"/>
    <mergeCell ref="AD46:AF46"/>
    <mergeCell ref="AH46:AJ46"/>
    <mergeCell ref="AL46:AN46"/>
    <mergeCell ref="Z4:AB4"/>
    <mergeCell ref="N46:P46"/>
    <mergeCell ref="R46:T46"/>
    <mergeCell ref="V46:X46"/>
    <mergeCell ref="Z46:AB46"/>
    <mergeCell ref="N88:P88"/>
    <mergeCell ref="R88:T88"/>
    <mergeCell ref="V88:X88"/>
    <mergeCell ref="B4:D4"/>
    <mergeCell ref="V4:X4"/>
    <mergeCell ref="R4:T4"/>
    <mergeCell ref="N4:P4"/>
    <mergeCell ref="J4:L4"/>
    <mergeCell ref="F4:H4"/>
  </mergeCells>
  <phoneticPr fontId="4" type="noConversion"/>
  <pageMargins left="0.74803149606299213" right="0.74803149606299213" top="0.59055118110236227" bottom="0.59055118110236227" header="0.51181102362204722" footer="0.51181102362204722"/>
  <pageSetup paperSize="9" scale="39" orientation="landscape" r:id="rId1"/>
  <headerFooter alignWithMargins="0"/>
  <rowBreaks count="1" manualBreakCount="1">
    <brk id="42" max="39" man="1"/>
  </rowBreaks>
  <drawing r:id="rId2"/>
</worksheet>
</file>

<file path=xl/worksheets/sheet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F00-000000000000}">
  <sheetPr codeName="Sheet48"/>
  <dimension ref="A1:CT146"/>
  <sheetViews>
    <sheetView showGridLines="0" zoomScale="85" zoomScaleNormal="85" workbookViewId="0">
      <selection sqref="A1:J1"/>
    </sheetView>
  </sheetViews>
  <sheetFormatPr defaultColWidth="9.140625" defaultRowHeight="12.75" x14ac:dyDescent="0.2"/>
  <cols>
    <col min="1" max="1" width="54.7109375" customWidth="1"/>
    <col min="2" max="6" width="8" customWidth="1"/>
    <col min="7" max="7" width="6.7109375" customWidth="1"/>
    <col min="8" max="10" width="10.7109375" customWidth="1"/>
    <col min="11" max="11" width="9.140625" customWidth="1"/>
    <col min="12" max="12" width="17.5703125" customWidth="1"/>
    <col min="13" max="17" width="8" customWidth="1"/>
    <col min="18" max="18" width="6.7109375" customWidth="1"/>
    <col min="19" max="21" width="10.7109375" customWidth="1"/>
    <col min="23" max="23" width="17.7109375" customWidth="1"/>
    <col min="24" max="28" width="8" customWidth="1"/>
    <col min="29" max="29" width="6.7109375" customWidth="1"/>
    <col min="30" max="32" width="10.7109375" customWidth="1"/>
    <col min="34" max="34" width="17.7109375" customWidth="1"/>
    <col min="35" max="39" width="7" customWidth="1"/>
    <col min="40" max="40" width="6.7109375" customWidth="1"/>
    <col min="41" max="43" width="10.7109375" customWidth="1"/>
    <col min="44" max="44" width="9.140625" customWidth="1"/>
    <col min="45" max="45" width="17.7109375" customWidth="1"/>
    <col min="46" max="50" width="8" customWidth="1"/>
    <col min="51" max="51" width="6.7109375" customWidth="1"/>
    <col min="52" max="54" width="10.7109375" customWidth="1"/>
    <col min="56" max="56" width="17.7109375" customWidth="1"/>
    <col min="57" max="61" width="8" customWidth="1"/>
    <col min="62" max="62" width="6.7109375" customWidth="1"/>
    <col min="63" max="65" width="10.7109375" customWidth="1"/>
    <col min="67" max="67" width="17.7109375" customWidth="1"/>
    <col min="68" max="72" width="8" customWidth="1"/>
    <col min="73" max="73" width="6.7109375" customWidth="1"/>
    <col min="74" max="76" width="10.7109375" customWidth="1"/>
    <col min="78" max="78" width="17.5703125" customWidth="1"/>
    <col min="79" max="83" width="8" customWidth="1"/>
    <col min="84" max="84" width="5.85546875" customWidth="1"/>
    <col min="85" max="87" width="10.7109375" customWidth="1"/>
    <col min="88" max="88" width="5.85546875" customWidth="1"/>
    <col min="89" max="89" width="17.7109375" customWidth="1"/>
    <col min="90" max="94" width="8" customWidth="1"/>
    <col min="95" max="95" width="6.85546875" customWidth="1"/>
    <col min="96" max="98" width="10.7109375" customWidth="1"/>
  </cols>
  <sheetData>
    <row r="1" spans="1:98" ht="49.5" customHeight="1" x14ac:dyDescent="0.2">
      <c r="A1" s="381" t="str">
        <f>CONCATENATE("Basic Table 2  Employment Change by Occupation and Replacement Demand, ",name!F4,", ",B$6,"-",F$6,", ",Info!B5)</f>
        <v>Basic Table 2  Employment Change by Occupation and Replacement Demand, RQF8 Doctorate, 2015-2035, Greater Lincolnshire</v>
      </c>
      <c r="B1" s="381"/>
      <c r="C1" s="381"/>
      <c r="D1" s="381"/>
      <c r="E1" s="381"/>
      <c r="F1" s="381"/>
      <c r="G1" s="381"/>
      <c r="H1" s="381"/>
      <c r="I1" s="381"/>
      <c r="J1" s="381"/>
      <c r="L1" s="381" t="str">
        <f>CONCATENATE("Basic Table 2.1  Employment Change by Occupation and Replacement Demand, ",name!F5,", ",M$6,"-",Q$6,", ",Info!B5)</f>
        <v>Basic Table 2.1  Employment Change by Occupation and Replacement Demand, RQF7 Other higher degree, 2015-2035, Greater Lincolnshire</v>
      </c>
      <c r="M1" s="381"/>
      <c r="N1" s="381"/>
      <c r="O1" s="381"/>
      <c r="P1" s="381"/>
      <c r="Q1" s="381"/>
      <c r="R1" s="381"/>
      <c r="S1" s="381"/>
      <c r="T1" s="381"/>
      <c r="U1" s="381"/>
      <c r="W1" s="381" t="str">
        <f>CONCATENATE("Basic Table 2.2  Employment Change by Occupation and Replacement Demand, ",name!F6,", ",X$6,"-",AB$6,", ",Info!B5)</f>
        <v>Basic Table 2.2  Employment Change by Occupation and Replacement Demand, RQF6 First degree, 2015-2035, Greater Lincolnshire</v>
      </c>
      <c r="X1" s="381"/>
      <c r="Y1" s="381"/>
      <c r="Z1" s="381"/>
      <c r="AA1" s="381"/>
      <c r="AB1" s="381"/>
      <c r="AC1" s="381"/>
      <c r="AD1" s="381"/>
      <c r="AE1" s="381"/>
      <c r="AF1" s="381"/>
      <c r="AH1" s="381" t="str">
        <f>CONCATENATE("Basic Table 2.3  Employment Change by Occupation and Replacement Demand, ",name!F7,", ",AI$6,"-",AM$6,", ",Info!B5)</f>
        <v>Basic Table 2.3  Employment Change by Occupation and Replacement Demand, RQF5 Foundation degree;Nursing;Teaching, 2015-2035, Greater Lincolnshire</v>
      </c>
      <c r="AI1" s="381"/>
      <c r="AJ1" s="381"/>
      <c r="AK1" s="381"/>
      <c r="AL1" s="381"/>
      <c r="AM1" s="381"/>
      <c r="AN1" s="381"/>
      <c r="AO1" s="381"/>
      <c r="AP1" s="381"/>
      <c r="AQ1" s="381"/>
      <c r="AS1" s="381" t="str">
        <f>CONCATENATE("Basic Table 2.4  Employment Change by Occupation and Replacement Demand, ",name!F8,", ",AT$6,"-",AX$6,", ",Info!B5)</f>
        <v>Basic Table 2.4  Employment Change by Occupation and Replacement Demand, RQF4 HE below degree level, 2015-2035, Greater Lincolnshire</v>
      </c>
      <c r="AT1" s="381"/>
      <c r="AU1" s="381"/>
      <c r="AV1" s="381"/>
      <c r="AW1" s="381"/>
      <c r="AX1" s="381"/>
      <c r="AY1" s="381"/>
      <c r="AZ1" s="381"/>
      <c r="BA1" s="381"/>
      <c r="BB1" s="381"/>
      <c r="BD1" s="381" t="str">
        <f>CONCATENATE("Basic Table 2.5  Employment Change by Occupation and Replacement Demand, ",name!F9,", ",BE$6,"-",BI$6,", ",Info!B5)</f>
        <v>Basic Table 2.5  Employment Change by Occupation and Replacement Demand, RQF3 A level &amp; equivalent, 2015-2035, Greater Lincolnshire</v>
      </c>
      <c r="BE1" s="381"/>
      <c r="BF1" s="381"/>
      <c r="BG1" s="381"/>
      <c r="BH1" s="381"/>
      <c r="BI1" s="381"/>
      <c r="BJ1" s="381"/>
      <c r="BK1" s="381"/>
      <c r="BL1" s="381"/>
      <c r="BM1" s="381"/>
      <c r="BO1" s="381" t="str">
        <f>CONCATENATE("Basic Table 2.6  Employment Change by Occupation and Replacement Demand, ",name!F10,", ",BP$6,"-",BT$6,", ",Info!B5)</f>
        <v>Basic Table 2.6  Employment Change by Occupation and Replacement Demand, RQF2 GCSE(A-C) &amp; equivalent, 2015-2035, Greater Lincolnshire</v>
      </c>
      <c r="BP1" s="381"/>
      <c r="BQ1" s="381"/>
      <c r="BR1" s="381"/>
      <c r="BS1" s="381"/>
      <c r="BT1" s="381"/>
      <c r="BU1" s="381"/>
      <c r="BV1" s="381"/>
      <c r="BW1" s="381"/>
      <c r="BX1" s="381"/>
      <c r="BZ1" s="381" t="str">
        <f>CONCATENATE("Basic Table 2.7  Employment Change by Occupation and Replacement Demand, ",name!F11,", ",CA$6,"-",CE$6,", ",Info!B5)</f>
        <v>Basic Table 2.7  Employment Change by Occupation and Replacement Demand, RQF1 GCSE(below grade C) &amp; equivalent, 2015-2035, Greater Lincolnshire</v>
      </c>
      <c r="CA1" s="381"/>
      <c r="CB1" s="381"/>
      <c r="CC1" s="381"/>
      <c r="CD1" s="381"/>
      <c r="CE1" s="381"/>
      <c r="CF1" s="381"/>
      <c r="CG1" s="381"/>
      <c r="CH1" s="381"/>
      <c r="CI1" s="381"/>
      <c r="CK1" s="381" t="str">
        <f>CONCATENATE("Basic Table 2.8  Employment Change by Occupation and Replacement Demand, ",name!F12,", ",CL$6,"-",CP$6,", ",Info!B5)</f>
        <v>Basic Table 2.8  Employment Change by Occupation and Replacement Demand, No Qualification, 2015-2035, Greater Lincolnshire</v>
      </c>
      <c r="CL1" s="381"/>
      <c r="CM1" s="381"/>
      <c r="CN1" s="381"/>
      <c r="CO1" s="381"/>
      <c r="CP1" s="381"/>
      <c r="CQ1" s="381"/>
      <c r="CR1" s="381"/>
      <c r="CS1" s="381"/>
      <c r="CT1" s="381"/>
    </row>
    <row r="2" spans="1:98" ht="12.75" customHeight="1" x14ac:dyDescent="0.25">
      <c r="A2" s="365" t="s">
        <v>521</v>
      </c>
      <c r="L2" s="86"/>
      <c r="W2" s="86"/>
      <c r="AH2" s="86"/>
      <c r="AS2" s="86"/>
      <c r="BD2" s="86"/>
      <c r="BO2" s="86"/>
      <c r="BZ2" s="86"/>
      <c r="CK2" s="86"/>
    </row>
    <row r="3" spans="1:98" x14ac:dyDescent="0.2">
      <c r="F3" s="16" t="s">
        <v>36</v>
      </c>
      <c r="J3" s="16" t="s">
        <v>36</v>
      </c>
      <c r="Q3" s="16" t="s">
        <v>36</v>
      </c>
      <c r="U3" s="16" t="s">
        <v>36</v>
      </c>
      <c r="AB3" s="16" t="s">
        <v>36</v>
      </c>
      <c r="AF3" s="16" t="s">
        <v>36</v>
      </c>
      <c r="AM3" s="16" t="s">
        <v>36</v>
      </c>
      <c r="AQ3" s="16" t="s">
        <v>36</v>
      </c>
      <c r="AX3" s="16" t="s">
        <v>36</v>
      </c>
      <c r="BB3" s="16" t="s">
        <v>36</v>
      </c>
      <c r="BI3" s="16" t="s">
        <v>36</v>
      </c>
      <c r="BM3" s="16" t="s">
        <v>36</v>
      </c>
      <c r="BT3" s="16" t="s">
        <v>36</v>
      </c>
      <c r="BX3" s="16" t="s">
        <v>36</v>
      </c>
      <c r="CE3" s="16" t="s">
        <v>36</v>
      </c>
      <c r="CI3" s="16" t="s">
        <v>36</v>
      </c>
      <c r="CP3" s="16" t="s">
        <v>36</v>
      </c>
      <c r="CT3" s="16" t="s">
        <v>36</v>
      </c>
    </row>
    <row r="4" spans="1:98" x14ac:dyDescent="0.2">
      <c r="A4" s="36"/>
      <c r="B4" s="36"/>
      <c r="C4" s="36"/>
      <c r="D4" s="36"/>
      <c r="E4" s="36"/>
      <c r="F4" s="36"/>
      <c r="H4" s="28" t="str">
        <f>CONCATENATE(D6,"-",F6)</f>
        <v>2020-2035</v>
      </c>
      <c r="I4" s="36"/>
      <c r="J4" s="36"/>
      <c r="L4" s="36"/>
      <c r="M4" s="36"/>
      <c r="N4" s="36"/>
      <c r="O4" s="36"/>
      <c r="P4" s="36"/>
      <c r="Q4" s="36"/>
      <c r="S4" s="28" t="str">
        <f>H4</f>
        <v>2020-2035</v>
      </c>
      <c r="T4" s="36"/>
      <c r="U4" s="36"/>
      <c r="W4" s="36"/>
      <c r="X4" s="36"/>
      <c r="Y4" s="36"/>
      <c r="Z4" s="36"/>
      <c r="AA4" s="36"/>
      <c r="AB4" s="36"/>
      <c r="AD4" s="28" t="str">
        <f>S4</f>
        <v>2020-2035</v>
      </c>
      <c r="AE4" s="36"/>
      <c r="AF4" s="36"/>
      <c r="AH4" s="36"/>
      <c r="AI4" s="36"/>
      <c r="AJ4" s="36"/>
      <c r="AK4" s="36"/>
      <c r="AL4" s="36"/>
      <c r="AM4" s="36"/>
      <c r="AO4" s="28" t="str">
        <f>AD4</f>
        <v>2020-2035</v>
      </c>
      <c r="AP4" s="36"/>
      <c r="AQ4" s="36"/>
      <c r="AS4" s="36"/>
      <c r="AT4" s="36"/>
      <c r="AU4" s="36"/>
      <c r="AV4" s="36"/>
      <c r="AW4" s="36"/>
      <c r="AX4" s="36"/>
      <c r="AZ4" s="28" t="str">
        <f>AO4</f>
        <v>2020-2035</v>
      </c>
      <c r="BA4" s="36"/>
      <c r="BB4" s="36"/>
      <c r="BD4" s="36"/>
      <c r="BE4" s="36"/>
      <c r="BF4" s="36"/>
      <c r="BG4" s="36"/>
      <c r="BH4" s="36"/>
      <c r="BI4" s="36"/>
      <c r="BK4" s="28" t="str">
        <f>AZ4</f>
        <v>2020-2035</v>
      </c>
      <c r="BL4" s="36"/>
      <c r="BM4" s="36"/>
      <c r="BO4" s="36"/>
      <c r="BP4" s="36"/>
      <c r="BQ4" s="36"/>
      <c r="BR4" s="36"/>
      <c r="BS4" s="36"/>
      <c r="BT4" s="36"/>
      <c r="BV4" s="28" t="str">
        <f>BK4</f>
        <v>2020-2035</v>
      </c>
      <c r="BW4" s="36"/>
      <c r="BX4" s="36"/>
      <c r="BZ4" s="36"/>
      <c r="CA4" s="36"/>
      <c r="CB4" s="36"/>
      <c r="CC4" s="36"/>
      <c r="CD4" s="36"/>
      <c r="CE4" s="36"/>
      <c r="CG4" s="28" t="str">
        <f>BV4</f>
        <v>2020-2035</v>
      </c>
      <c r="CH4" s="36"/>
      <c r="CI4" s="36"/>
      <c r="CK4" s="36"/>
      <c r="CL4" s="36"/>
      <c r="CM4" s="36"/>
      <c r="CN4" s="36"/>
      <c r="CO4" s="36"/>
      <c r="CP4" s="36"/>
      <c r="CR4" s="28" t="str">
        <f>CG4</f>
        <v>2020-2035</v>
      </c>
      <c r="CS4" s="36"/>
      <c r="CT4" s="36"/>
    </row>
    <row r="5" spans="1:98" x14ac:dyDescent="0.2">
      <c r="H5" s="16" t="s">
        <v>30</v>
      </c>
      <c r="I5" s="16" t="s">
        <v>31</v>
      </c>
      <c r="J5" s="16" t="s">
        <v>33</v>
      </c>
      <c r="S5" s="16" t="s">
        <v>30</v>
      </c>
      <c r="T5" s="16" t="s">
        <v>31</v>
      </c>
      <c r="U5" s="16" t="s">
        <v>33</v>
      </c>
      <c r="AD5" s="16" t="s">
        <v>30</v>
      </c>
      <c r="AE5" s="16" t="s">
        <v>31</v>
      </c>
      <c r="AF5" s="16" t="s">
        <v>33</v>
      </c>
      <c r="AO5" s="16" t="s">
        <v>30</v>
      </c>
      <c r="AP5" s="16" t="s">
        <v>31</v>
      </c>
      <c r="AQ5" s="16" t="s">
        <v>33</v>
      </c>
      <c r="AZ5" s="16" t="s">
        <v>30</v>
      </c>
      <c r="BA5" s="16" t="s">
        <v>31</v>
      </c>
      <c r="BB5" s="16" t="s">
        <v>33</v>
      </c>
      <c r="BK5" s="16" t="s">
        <v>30</v>
      </c>
      <c r="BL5" s="16" t="s">
        <v>31</v>
      </c>
      <c r="BM5" s="16" t="s">
        <v>33</v>
      </c>
      <c r="BV5" s="16" t="s">
        <v>30</v>
      </c>
      <c r="BW5" s="16" t="s">
        <v>31</v>
      </c>
      <c r="BX5" s="16" t="s">
        <v>33</v>
      </c>
      <c r="CG5" s="16" t="s">
        <v>30</v>
      </c>
      <c r="CH5" s="16" t="s">
        <v>31</v>
      </c>
      <c r="CI5" s="16" t="s">
        <v>33</v>
      </c>
      <c r="CR5" s="16" t="s">
        <v>30</v>
      </c>
      <c r="CS5" s="16" t="s">
        <v>31</v>
      </c>
      <c r="CT5" s="16" t="s">
        <v>33</v>
      </c>
    </row>
    <row r="6" spans="1:98" x14ac:dyDescent="0.2">
      <c r="A6" s="41" t="s">
        <v>18</v>
      </c>
      <c r="B6" s="35">
        <v>2015</v>
      </c>
      <c r="C6" s="35">
        <v>2019</v>
      </c>
      <c r="D6" s="35">
        <v>2020</v>
      </c>
      <c r="E6" s="35">
        <v>2025</v>
      </c>
      <c r="F6" s="35">
        <v>2035</v>
      </c>
      <c r="H6" s="63" t="s">
        <v>19</v>
      </c>
      <c r="I6" s="63" t="s">
        <v>32</v>
      </c>
      <c r="J6" s="63" t="s">
        <v>34</v>
      </c>
      <c r="L6" s="41" t="s">
        <v>18</v>
      </c>
      <c r="M6" s="35">
        <f>B6</f>
        <v>2015</v>
      </c>
      <c r="N6" s="35">
        <f t="shared" ref="N6:Q6" si="0">C6</f>
        <v>2019</v>
      </c>
      <c r="O6" s="35">
        <f t="shared" si="0"/>
        <v>2020</v>
      </c>
      <c r="P6" s="35">
        <f t="shared" si="0"/>
        <v>2025</v>
      </c>
      <c r="Q6" s="35">
        <f t="shared" si="0"/>
        <v>2035</v>
      </c>
      <c r="S6" s="63" t="s">
        <v>19</v>
      </c>
      <c r="T6" s="63" t="s">
        <v>32</v>
      </c>
      <c r="U6" s="63" t="s">
        <v>34</v>
      </c>
      <c r="W6" s="41" t="s">
        <v>18</v>
      </c>
      <c r="X6" s="35">
        <f>M6</f>
        <v>2015</v>
      </c>
      <c r="Y6" s="35">
        <f t="shared" ref="Y6:AB6" si="1">N6</f>
        <v>2019</v>
      </c>
      <c r="Z6" s="35">
        <f t="shared" si="1"/>
        <v>2020</v>
      </c>
      <c r="AA6" s="35">
        <f t="shared" si="1"/>
        <v>2025</v>
      </c>
      <c r="AB6" s="35">
        <f t="shared" si="1"/>
        <v>2035</v>
      </c>
      <c r="AD6" s="63" t="s">
        <v>19</v>
      </c>
      <c r="AE6" s="63" t="s">
        <v>32</v>
      </c>
      <c r="AF6" s="63" t="s">
        <v>34</v>
      </c>
      <c r="AH6" s="41" t="s">
        <v>18</v>
      </c>
      <c r="AI6" s="35">
        <f>X6</f>
        <v>2015</v>
      </c>
      <c r="AJ6" s="35">
        <f t="shared" ref="AJ6" si="2">Y6</f>
        <v>2019</v>
      </c>
      <c r="AK6" s="35">
        <f t="shared" ref="AK6" si="3">Z6</f>
        <v>2020</v>
      </c>
      <c r="AL6" s="35">
        <f t="shared" ref="AL6" si="4">AA6</f>
        <v>2025</v>
      </c>
      <c r="AM6" s="35">
        <f t="shared" ref="AM6" si="5">AB6</f>
        <v>2035</v>
      </c>
      <c r="AO6" s="63" t="s">
        <v>19</v>
      </c>
      <c r="AP6" s="63" t="s">
        <v>32</v>
      </c>
      <c r="AQ6" s="63" t="s">
        <v>34</v>
      </c>
      <c r="AS6" s="41" t="s">
        <v>18</v>
      </c>
      <c r="AT6" s="35">
        <f>AI6</f>
        <v>2015</v>
      </c>
      <c r="AU6" s="35">
        <f t="shared" ref="AU6" si="6">AJ6</f>
        <v>2019</v>
      </c>
      <c r="AV6" s="35">
        <f t="shared" ref="AV6" si="7">AK6</f>
        <v>2020</v>
      </c>
      <c r="AW6" s="35">
        <f t="shared" ref="AW6" si="8">AL6</f>
        <v>2025</v>
      </c>
      <c r="AX6" s="35">
        <f t="shared" ref="AX6" si="9">AM6</f>
        <v>2035</v>
      </c>
      <c r="AZ6" s="63" t="s">
        <v>19</v>
      </c>
      <c r="BA6" s="63" t="s">
        <v>32</v>
      </c>
      <c r="BB6" s="63" t="s">
        <v>34</v>
      </c>
      <c r="BD6" s="41" t="s">
        <v>18</v>
      </c>
      <c r="BE6" s="35">
        <f>AT6</f>
        <v>2015</v>
      </c>
      <c r="BF6" s="35">
        <f t="shared" ref="BF6" si="10">AU6</f>
        <v>2019</v>
      </c>
      <c r="BG6" s="35">
        <f t="shared" ref="BG6" si="11">AV6</f>
        <v>2020</v>
      </c>
      <c r="BH6" s="35">
        <f t="shared" ref="BH6" si="12">AW6</f>
        <v>2025</v>
      </c>
      <c r="BI6" s="35">
        <f t="shared" ref="BI6" si="13">AX6</f>
        <v>2035</v>
      </c>
      <c r="BK6" s="63" t="s">
        <v>19</v>
      </c>
      <c r="BL6" s="63" t="s">
        <v>32</v>
      </c>
      <c r="BM6" s="63" t="s">
        <v>34</v>
      </c>
      <c r="BO6" s="41" t="s">
        <v>18</v>
      </c>
      <c r="BP6" s="35">
        <f>BE6</f>
        <v>2015</v>
      </c>
      <c r="BQ6" s="35">
        <f t="shared" ref="BQ6" si="14">BF6</f>
        <v>2019</v>
      </c>
      <c r="BR6" s="35">
        <f t="shared" ref="BR6" si="15">BG6</f>
        <v>2020</v>
      </c>
      <c r="BS6" s="35">
        <f t="shared" ref="BS6" si="16">BH6</f>
        <v>2025</v>
      </c>
      <c r="BT6" s="35">
        <f t="shared" ref="BT6" si="17">BI6</f>
        <v>2035</v>
      </c>
      <c r="BV6" s="63" t="s">
        <v>19</v>
      </c>
      <c r="BW6" s="63" t="s">
        <v>32</v>
      </c>
      <c r="BX6" s="63" t="s">
        <v>34</v>
      </c>
      <c r="BZ6" s="41" t="s">
        <v>18</v>
      </c>
      <c r="CA6" s="35">
        <f>BP6</f>
        <v>2015</v>
      </c>
      <c r="CB6" s="35">
        <f t="shared" ref="CB6" si="18">BQ6</f>
        <v>2019</v>
      </c>
      <c r="CC6" s="35">
        <f t="shared" ref="CC6" si="19">BR6</f>
        <v>2020</v>
      </c>
      <c r="CD6" s="35">
        <f t="shared" ref="CD6" si="20">BS6</f>
        <v>2025</v>
      </c>
      <c r="CE6" s="35">
        <f t="shared" ref="CE6" si="21">BT6</f>
        <v>2035</v>
      </c>
      <c r="CG6" s="63" t="s">
        <v>19</v>
      </c>
      <c r="CH6" s="63" t="s">
        <v>32</v>
      </c>
      <c r="CI6" s="63" t="s">
        <v>34</v>
      </c>
      <c r="CK6" s="41" t="s">
        <v>18</v>
      </c>
      <c r="CL6" s="35">
        <f>CA6</f>
        <v>2015</v>
      </c>
      <c r="CM6" s="35">
        <f t="shared" ref="CM6" si="22">CB6</f>
        <v>2019</v>
      </c>
      <c r="CN6" s="35">
        <f t="shared" ref="CN6" si="23">CC6</f>
        <v>2020</v>
      </c>
      <c r="CO6" s="35">
        <f t="shared" ref="CO6" si="24">CD6</f>
        <v>2025</v>
      </c>
      <c r="CP6" s="35">
        <f t="shared" ref="CP6" si="25">CE6</f>
        <v>2035</v>
      </c>
      <c r="CR6" s="63" t="s">
        <v>19</v>
      </c>
      <c r="CS6" s="63" t="s">
        <v>32</v>
      </c>
      <c r="CT6" s="63" t="s">
        <v>34</v>
      </c>
    </row>
    <row r="8" spans="1:98" x14ac:dyDescent="0.2">
      <c r="A8" s="10" t="str">
        <f>name!D4</f>
        <v>11 Corporate managers and directors</v>
      </c>
      <c r="B8" s="69">
        <v>0.31577843250998061</v>
      </c>
      <c r="C8" s="69">
        <v>0.40994834668665953</v>
      </c>
      <c r="D8" s="69">
        <v>0.41713119198612725</v>
      </c>
      <c r="E8" s="69">
        <v>0.45382306123124722</v>
      </c>
      <c r="F8" s="69">
        <v>0.60171183168837472</v>
      </c>
      <c r="G8" s="10"/>
      <c r="H8" s="69">
        <f>F8-D8</f>
        <v>0.18458063970224747</v>
      </c>
      <c r="I8" s="69">
        <f>'RD T1'!E36</f>
        <v>0.25151287376412074</v>
      </c>
      <c r="J8" s="69">
        <f>SUM(H8:I8)</f>
        <v>0.43609351346636821</v>
      </c>
      <c r="L8" t="str">
        <f>A8</f>
        <v>11 Corporate managers and directors</v>
      </c>
      <c r="M8" s="69">
        <v>2.7672605552114447</v>
      </c>
      <c r="N8" s="69">
        <v>3.9779490786510161</v>
      </c>
      <c r="O8" s="69">
        <v>3.7091591379940407</v>
      </c>
      <c r="P8" s="69">
        <v>3.9324363586743156</v>
      </c>
      <c r="Q8" s="69">
        <v>5.0903125146877928</v>
      </c>
      <c r="R8" s="10"/>
      <c r="S8" s="69">
        <f>Q8-O8</f>
        <v>1.381153376693752</v>
      </c>
      <c r="T8" s="69">
        <f>'RD T1'!E65</f>
        <v>2.1535765279155448</v>
      </c>
      <c r="U8" s="69">
        <f>SUM(S8:T8)</f>
        <v>3.5347299046092968</v>
      </c>
      <c r="W8" t="str">
        <f>A8</f>
        <v>11 Corporate managers and directors</v>
      </c>
      <c r="X8" s="69">
        <v>7.9095981848491421</v>
      </c>
      <c r="Y8" s="69">
        <v>8.8799884061202814</v>
      </c>
      <c r="Z8" s="69">
        <v>10.10723156395826</v>
      </c>
      <c r="AA8" s="69">
        <v>9.5805509847556234</v>
      </c>
      <c r="AB8" s="69">
        <v>11.485411317032682</v>
      </c>
      <c r="AC8" s="69"/>
      <c r="AD8" s="69">
        <f>AB8-Z8</f>
        <v>1.3781797530744218</v>
      </c>
      <c r="AE8" s="69">
        <f>'RD T1'!E94</f>
        <v>5.9080133811430979</v>
      </c>
      <c r="AF8" s="69">
        <f>SUM(AD8:AE8)</f>
        <v>7.2861931342175197</v>
      </c>
      <c r="AH8" t="str">
        <f>L8</f>
        <v>11 Corporate managers and directors</v>
      </c>
      <c r="AI8" s="69">
        <v>1.6637524921304705</v>
      </c>
      <c r="AJ8" s="69">
        <v>1.7917768230057838</v>
      </c>
      <c r="AK8" s="69">
        <v>2.0099830913093695</v>
      </c>
      <c r="AL8" s="69">
        <v>1.813386895730394</v>
      </c>
      <c r="AM8" s="69">
        <v>2.0299662824813258</v>
      </c>
      <c r="AN8" s="69"/>
      <c r="AO8" s="69">
        <f>AM8-AK8</f>
        <v>1.9983191171956349E-2</v>
      </c>
      <c r="AP8" s="69">
        <f>'RD T1'!E123</f>
        <v>1.0179683966171982</v>
      </c>
      <c r="AQ8" s="69">
        <f>SUM(AO8:AP8)</f>
        <v>1.0379515877891545</v>
      </c>
      <c r="AS8" t="str">
        <f>W8</f>
        <v>11 Corporate managers and directors</v>
      </c>
      <c r="AT8" s="69">
        <v>2.4307625482434627</v>
      </c>
      <c r="AU8" s="69">
        <v>2.498755537286534</v>
      </c>
      <c r="AV8" s="69">
        <v>3.0020866163932811</v>
      </c>
      <c r="AW8" s="69">
        <v>2.6175638019861114</v>
      </c>
      <c r="AX8" s="69">
        <v>2.9873255910566687</v>
      </c>
      <c r="AY8" s="69"/>
      <c r="AZ8" s="69">
        <f>AX8-AV8</f>
        <v>-1.4761025336612388E-2</v>
      </c>
      <c r="BA8" s="69">
        <f>'RD T1'!E152</f>
        <v>1.4670204112220226</v>
      </c>
      <c r="BB8" s="69">
        <f>SUM(AZ8:BA8)</f>
        <v>1.4522593858854103</v>
      </c>
      <c r="BD8" t="str">
        <f>AH8</f>
        <v>11 Corporate managers and directors</v>
      </c>
      <c r="BE8" s="69">
        <v>6.1241566835908472</v>
      </c>
      <c r="BF8" s="69">
        <v>7.759921625546327</v>
      </c>
      <c r="BG8" s="69">
        <v>7.8233317853395645</v>
      </c>
      <c r="BH8" s="69">
        <v>6.8419848394546046</v>
      </c>
      <c r="BI8" s="69">
        <v>7.4708481667728854</v>
      </c>
      <c r="BJ8" s="69"/>
      <c r="BK8" s="69">
        <f>BI8-BG8</f>
        <v>-0.35248361856667909</v>
      </c>
      <c r="BL8" s="69">
        <f>'RD T1'!E181</f>
        <v>3.2036124224258598</v>
      </c>
      <c r="BM8" s="69">
        <f>SUM(BK8:BL8)</f>
        <v>2.8511288038591807</v>
      </c>
      <c r="BO8" t="str">
        <f>AS8</f>
        <v>11 Corporate managers and directors</v>
      </c>
      <c r="BP8" s="69">
        <v>4.8151868024059388</v>
      </c>
      <c r="BQ8" s="69">
        <v>5.5308751873814348</v>
      </c>
      <c r="BR8" s="69">
        <v>5.4757474605823431</v>
      </c>
      <c r="BS8" s="69">
        <v>4.128352148709638</v>
      </c>
      <c r="BT8" s="69">
        <v>3.1816994263442395</v>
      </c>
      <c r="BU8" s="69"/>
      <c r="BV8" s="69">
        <f>BT8-BR8</f>
        <v>-2.2940480342381036</v>
      </c>
      <c r="BW8" s="69">
        <f>'RD T1'!E210</f>
        <v>1.8011984770783944</v>
      </c>
      <c r="BX8" s="69">
        <f>SUM(BV8:BW8)</f>
        <v>-0.49284955715970913</v>
      </c>
      <c r="BZ8" t="str">
        <f>BD8</f>
        <v>11 Corporate managers and directors</v>
      </c>
      <c r="CA8" s="69">
        <v>3.6037048061872659</v>
      </c>
      <c r="CB8" s="69">
        <v>3.8020982375587025</v>
      </c>
      <c r="CC8" s="69">
        <v>4.0699578940993204</v>
      </c>
      <c r="CD8" s="69">
        <v>3.2370779038012683</v>
      </c>
      <c r="CE8" s="69">
        <v>2.3349458291549166</v>
      </c>
      <c r="CF8" s="69"/>
      <c r="CG8" s="69">
        <f>CE8-CC8</f>
        <v>-1.7350120649444039</v>
      </c>
      <c r="CH8" s="69">
        <f>'RD T1'!E239</f>
        <v>1.3588811406471153</v>
      </c>
      <c r="CI8" s="69">
        <f>SUM(CG8:CH8)</f>
        <v>-0.37613092429728856</v>
      </c>
      <c r="CK8" t="str">
        <f>BO8</f>
        <v>11 Corporate managers and directors</v>
      </c>
      <c r="CL8" s="69">
        <v>0.61736228734262277</v>
      </c>
      <c r="CM8" s="69">
        <v>0.78385509032771172</v>
      </c>
      <c r="CN8" s="69">
        <v>0.67050060133760592</v>
      </c>
      <c r="CO8" s="69">
        <v>0.64902915558489516</v>
      </c>
      <c r="CP8" s="69">
        <v>0.59067090914645171</v>
      </c>
      <c r="CQ8" s="69"/>
      <c r="CR8" s="69">
        <f>CP8-CN8</f>
        <v>-7.9829692191154211E-2</v>
      </c>
      <c r="CS8" s="69">
        <f>'RD T1'!E268</f>
        <v>0.22458348304178513</v>
      </c>
      <c r="CT8" s="69">
        <f>SUM(CR8:CS8)</f>
        <v>0.14475379085063092</v>
      </c>
    </row>
    <row r="9" spans="1:98" x14ac:dyDescent="0.2">
      <c r="A9" s="10" t="str">
        <f>name!D5</f>
        <v>12 Other managers and proprietors</v>
      </c>
      <c r="B9" s="69">
        <v>0.14157420793278977</v>
      </c>
      <c r="C9" s="69">
        <v>0.18642673381578556</v>
      </c>
      <c r="D9" s="69">
        <v>0.16496269976498343</v>
      </c>
      <c r="E9" s="69">
        <v>0.20765091666750179</v>
      </c>
      <c r="F9" s="69">
        <v>0.29594206198969469</v>
      </c>
      <c r="H9" s="69">
        <f t="shared" ref="H9:H32" si="26">F9-D9</f>
        <v>0.13097936222471127</v>
      </c>
      <c r="I9" s="69">
        <f>'RD T1'!E37</f>
        <v>0.13069087123807185</v>
      </c>
      <c r="J9" s="69">
        <f t="shared" ref="J9:J32" si="27">SUM(H9:I9)</f>
        <v>0.26167023346278312</v>
      </c>
      <c r="L9" t="str">
        <f t="shared" ref="L9:L32" si="28">A9</f>
        <v>12 Other managers and proprietors</v>
      </c>
      <c r="M9" s="69">
        <v>1.15356962036711</v>
      </c>
      <c r="N9" s="69">
        <v>1.5826905146785493</v>
      </c>
      <c r="O9" s="69">
        <v>1.4639151183220365</v>
      </c>
      <c r="P9" s="69">
        <v>1.7843618518391198</v>
      </c>
      <c r="Q9" s="69">
        <v>2.5687214179745523</v>
      </c>
      <c r="S9" s="69">
        <f t="shared" ref="S9:S35" si="29">Q9-O9</f>
        <v>1.1048062996525159</v>
      </c>
      <c r="T9" s="69">
        <f>'RD T1'!E66</f>
        <v>1.0993322092985649</v>
      </c>
      <c r="U9" s="69">
        <f t="shared" ref="U9:U32" si="30">SUM(S9:T9)</f>
        <v>2.2041385089510808</v>
      </c>
      <c r="W9" t="str">
        <f t="shared" ref="W9:W32" si="31">A9</f>
        <v>12 Other managers and proprietors</v>
      </c>
      <c r="X9" s="69">
        <v>3.1069298910253691</v>
      </c>
      <c r="Y9" s="69">
        <v>3.2805761493851771</v>
      </c>
      <c r="Z9" s="69">
        <v>3.6975206687357849</v>
      </c>
      <c r="AA9" s="69">
        <v>4.0605589250514127</v>
      </c>
      <c r="AB9" s="69">
        <v>5.1903732488446197</v>
      </c>
      <c r="AC9" s="69"/>
      <c r="AD9" s="69">
        <f t="shared" ref="AD9:AD32" si="32">AB9-Z9</f>
        <v>1.4928525801088348</v>
      </c>
      <c r="AE9" s="69">
        <f>'RD T1'!E95</f>
        <v>2.6687315970471071</v>
      </c>
      <c r="AF9" s="69">
        <f t="shared" ref="AF9:AF32" si="33">SUM(AD9:AE9)</f>
        <v>4.1615841771559419</v>
      </c>
      <c r="AH9" t="str">
        <f t="shared" ref="AH9:AH32" si="34">L9</f>
        <v>12 Other managers and proprietors</v>
      </c>
      <c r="AI9" s="69">
        <v>0.91419831280338948</v>
      </c>
      <c r="AJ9" s="69">
        <v>0.96014993607739518</v>
      </c>
      <c r="AK9" s="69">
        <v>1.107411270016369</v>
      </c>
      <c r="AL9" s="69">
        <v>1.1099125846460034</v>
      </c>
      <c r="AM9" s="69">
        <v>1.3732970015033099</v>
      </c>
      <c r="AN9" s="69"/>
      <c r="AO9" s="69">
        <f t="shared" ref="AO9:AO32" si="35">AM9-AK9</f>
        <v>0.26588573148694095</v>
      </c>
      <c r="AP9" s="69">
        <f>'RD T1'!E124</f>
        <v>0.72714428277960763</v>
      </c>
      <c r="AQ9" s="69">
        <f t="shared" ref="AQ9:AQ32" si="36">SUM(AO9:AP9)</f>
        <v>0.99303001426654858</v>
      </c>
      <c r="AS9" t="str">
        <f t="shared" ref="AS9:AS32" si="37">W9</f>
        <v>12 Other managers and proprietors</v>
      </c>
      <c r="AT9" s="69">
        <v>1.0335099961954541</v>
      </c>
      <c r="AU9" s="69">
        <v>1.0429666325823981</v>
      </c>
      <c r="AV9" s="69">
        <v>1.2159975935663756</v>
      </c>
      <c r="AW9" s="69">
        <v>1.3095745812412964</v>
      </c>
      <c r="AX9" s="69">
        <v>1.5974877412705082</v>
      </c>
      <c r="AY9" s="69"/>
      <c r="AZ9" s="69">
        <f t="shared" ref="AZ9:AZ32" si="38">AX9-AV9</f>
        <v>0.38149014770413259</v>
      </c>
      <c r="BA9" s="69">
        <f>'RD T1'!E153</f>
        <v>0.81028432785914284</v>
      </c>
      <c r="BB9" s="69">
        <f t="shared" ref="BB9:BB32" si="39">SUM(AZ9:BA9)</f>
        <v>1.1917744755632755</v>
      </c>
      <c r="BD9" t="str">
        <f t="shared" ref="BD9:BD32" si="40">AH9</f>
        <v>12 Other managers and proprietors</v>
      </c>
      <c r="BE9" s="69">
        <v>3.0223707739639254</v>
      </c>
      <c r="BF9" s="69">
        <v>3.2775767416486041</v>
      </c>
      <c r="BG9" s="69">
        <v>3.5490332657397783</v>
      </c>
      <c r="BH9" s="69">
        <v>3.5749873180927532</v>
      </c>
      <c r="BI9" s="69">
        <v>3.9921191232210194</v>
      </c>
      <c r="BJ9" s="69"/>
      <c r="BK9" s="69">
        <f t="shared" ref="BK9:BK32" si="41">BI9-BG9</f>
        <v>0.44308585748124107</v>
      </c>
      <c r="BL9" s="69">
        <f>'RD T1'!E182</f>
        <v>1.657594684856327</v>
      </c>
      <c r="BM9" s="69">
        <f t="shared" ref="BM9:BM32" si="42">SUM(BK9:BL9)</f>
        <v>2.1006805423375683</v>
      </c>
      <c r="BO9" t="str">
        <f t="shared" ref="BO9:BO32" si="43">AS9</f>
        <v>12 Other managers and proprietors</v>
      </c>
      <c r="BP9" s="69">
        <v>3.1365588343495454</v>
      </c>
      <c r="BQ9" s="69">
        <v>3.507373611331444</v>
      </c>
      <c r="BR9" s="69">
        <v>3.4400075515962465</v>
      </c>
      <c r="BS9" s="69">
        <v>3.2001904394563581</v>
      </c>
      <c r="BT9" s="69">
        <v>2.8165742884153424</v>
      </c>
      <c r="BU9" s="69"/>
      <c r="BV9" s="69">
        <f t="shared" ref="BV9:BV32" si="44">BT9-BR9</f>
        <v>-0.62343326318090408</v>
      </c>
      <c r="BW9" s="69">
        <f>'RD T1'!E211</f>
        <v>1.6179932697180039</v>
      </c>
      <c r="BX9" s="69">
        <f t="shared" ref="BX9:BX32" si="45">SUM(BV9:BW9)</f>
        <v>0.99456000653709986</v>
      </c>
      <c r="BZ9" t="str">
        <f t="shared" ref="BZ9:BZ32" si="46">BD9</f>
        <v>12 Other managers and proprietors</v>
      </c>
      <c r="CA9" s="69">
        <v>2.2708325141677603</v>
      </c>
      <c r="CB9" s="69">
        <v>2.1382961398329869</v>
      </c>
      <c r="CC9" s="69">
        <v>2.2721386381501869</v>
      </c>
      <c r="CD9" s="69">
        <v>2.0381498163774059</v>
      </c>
      <c r="CE9" s="69">
        <v>1.4037117145422517</v>
      </c>
      <c r="CF9" s="69"/>
      <c r="CG9" s="69">
        <f t="shared" ref="CG9:CG32" si="47">CE9-CC9</f>
        <v>-0.86842692360793516</v>
      </c>
      <c r="CH9" s="69">
        <f>'RD T1'!E240</f>
        <v>0.85656002170552026</v>
      </c>
      <c r="CI9" s="69">
        <f t="shared" ref="CI9:CI32" si="48">SUM(CG9:CH9)</f>
        <v>-1.1866901902414906E-2</v>
      </c>
      <c r="CK9" t="str">
        <f t="shared" ref="CK9:CK32" si="49">BO9</f>
        <v>12 Other managers and proprietors</v>
      </c>
      <c r="CL9" s="69">
        <v>0.70348823325610588</v>
      </c>
      <c r="CM9" s="69">
        <v>0.80548951306150662</v>
      </c>
      <c r="CN9" s="69">
        <v>0.71217078921417365</v>
      </c>
      <c r="CO9" s="69">
        <v>0.84682834006647412</v>
      </c>
      <c r="CP9" s="69">
        <v>0.93238913387878941</v>
      </c>
      <c r="CQ9" s="69"/>
      <c r="CR9" s="69">
        <f t="shared" ref="CR9:CR32" si="50">CP9-CN9</f>
        <v>0.22021834466461576</v>
      </c>
      <c r="CS9" s="69">
        <f>'RD T1'!E269</f>
        <v>0.32751984905426668</v>
      </c>
      <c r="CT9" s="69">
        <f t="shared" ref="CT9:CT32" si="51">SUM(CR9:CS9)</f>
        <v>0.54773819371888244</v>
      </c>
    </row>
    <row r="10" spans="1:98" x14ac:dyDescent="0.2">
      <c r="A10" s="10" t="str">
        <f>name!D6</f>
        <v>21 Science, research, engineering and technology professionals</v>
      </c>
      <c r="B10" s="69">
        <v>0.88118493499381501</v>
      </c>
      <c r="C10" s="69">
        <v>1.2092507538861998</v>
      </c>
      <c r="D10" s="69">
        <v>1.1795527442345379</v>
      </c>
      <c r="E10" s="69">
        <v>1.6255120577783841</v>
      </c>
      <c r="F10" s="69">
        <v>2.183568369191434</v>
      </c>
      <c r="G10" s="11"/>
      <c r="H10" s="69">
        <f t="shared" si="26"/>
        <v>1.0040156249568961</v>
      </c>
      <c r="I10" s="69">
        <f>'RD T1'!E38</f>
        <v>0.65460031449624601</v>
      </c>
      <c r="J10" s="69">
        <f t="shared" si="27"/>
        <v>1.6586159394531421</v>
      </c>
      <c r="L10" t="str">
        <f t="shared" si="28"/>
        <v>21 Science, research, engineering and technology professionals</v>
      </c>
      <c r="M10" s="69">
        <v>3.2524268545951021</v>
      </c>
      <c r="N10" s="69">
        <v>4.4646848110113302</v>
      </c>
      <c r="O10" s="69">
        <v>4.4020512238924958</v>
      </c>
      <c r="P10" s="69">
        <v>6.4989234197059274</v>
      </c>
      <c r="Q10" s="69">
        <v>8.9689926153910893</v>
      </c>
      <c r="R10" s="11"/>
      <c r="S10" s="69">
        <f t="shared" si="29"/>
        <v>4.5669413914985935</v>
      </c>
      <c r="T10" s="69">
        <f>'RD T1'!E67</f>
        <v>2.7709238787396169</v>
      </c>
      <c r="U10" s="69">
        <f t="shared" si="30"/>
        <v>7.3378652702382103</v>
      </c>
      <c r="W10" t="str">
        <f t="shared" si="31"/>
        <v>21 Science, research, engineering and technology professionals</v>
      </c>
      <c r="X10" s="69">
        <v>7.2921390280084415</v>
      </c>
      <c r="Y10" s="69">
        <v>7.4002275404358588</v>
      </c>
      <c r="Z10" s="69">
        <v>8.484863383096318</v>
      </c>
      <c r="AA10" s="69">
        <v>10.214823554432519</v>
      </c>
      <c r="AB10" s="69">
        <v>11.712657579040988</v>
      </c>
      <c r="AC10" s="69"/>
      <c r="AD10" s="69">
        <f t="shared" si="32"/>
        <v>3.2277941959446697</v>
      </c>
      <c r="AE10" s="69">
        <f>'RD T1'!E96</f>
        <v>4.1490246926974539</v>
      </c>
      <c r="AF10" s="69">
        <f t="shared" si="33"/>
        <v>7.3768188886421235</v>
      </c>
      <c r="AH10" t="str">
        <f t="shared" si="34"/>
        <v>21 Science, research, engineering and technology professionals</v>
      </c>
      <c r="AI10" s="69">
        <v>0.82309582951598914</v>
      </c>
      <c r="AJ10" s="69">
        <v>0.81105418377551974</v>
      </c>
      <c r="AK10" s="69">
        <v>0.98127955071802453</v>
      </c>
      <c r="AL10" s="69">
        <v>1.1723807113600029</v>
      </c>
      <c r="AM10" s="69">
        <v>1.417208690363009</v>
      </c>
      <c r="AN10" s="69"/>
      <c r="AO10" s="69">
        <f t="shared" si="35"/>
        <v>0.43592913964498448</v>
      </c>
      <c r="AP10" s="69">
        <f>'RD T1'!E125</f>
        <v>0.48839823433652307</v>
      </c>
      <c r="AQ10" s="69">
        <f t="shared" si="36"/>
        <v>0.92432737398150755</v>
      </c>
      <c r="AS10" t="str">
        <f t="shared" si="37"/>
        <v>21 Science, research, engineering and technology professionals</v>
      </c>
      <c r="AT10" s="69">
        <v>2.4381580259645994</v>
      </c>
      <c r="AU10" s="69">
        <v>2.2449217366556447</v>
      </c>
      <c r="AV10" s="69">
        <v>2.7629090705919492</v>
      </c>
      <c r="AW10" s="69">
        <v>3.0886035254946949</v>
      </c>
      <c r="AX10" s="69">
        <v>3.4250454497380196</v>
      </c>
      <c r="AY10" s="69"/>
      <c r="AZ10" s="69">
        <f t="shared" si="38"/>
        <v>0.66213637914607038</v>
      </c>
      <c r="BA10" s="69">
        <f>'RD T1'!E154</f>
        <v>1.124685617049505</v>
      </c>
      <c r="BB10" s="69">
        <f t="shared" si="39"/>
        <v>1.7868219961955754</v>
      </c>
      <c r="BD10" t="str">
        <f t="shared" si="40"/>
        <v>21 Science, research, engineering and technology professionals</v>
      </c>
      <c r="BE10" s="69">
        <v>4.0904278829261393</v>
      </c>
      <c r="BF10" s="69">
        <v>5.1504681756539075</v>
      </c>
      <c r="BG10" s="69">
        <v>5.2066510036602676</v>
      </c>
      <c r="BH10" s="69">
        <v>6.3552441353517199</v>
      </c>
      <c r="BI10" s="69">
        <v>7.1806299268421654</v>
      </c>
      <c r="BJ10" s="69"/>
      <c r="BK10" s="69">
        <f t="shared" si="41"/>
        <v>1.9739789231818978</v>
      </c>
      <c r="BL10" s="69">
        <f>'RD T1'!E183</f>
        <v>2.0586316103084212</v>
      </c>
      <c r="BM10" s="69">
        <f t="shared" si="42"/>
        <v>4.0326105334903186</v>
      </c>
      <c r="BO10" t="str">
        <f t="shared" si="43"/>
        <v>21 Science, research, engineering and technology professionals</v>
      </c>
      <c r="BP10" s="69">
        <v>2.6385930500975276</v>
      </c>
      <c r="BQ10" s="69">
        <v>2.9155885343805168</v>
      </c>
      <c r="BR10" s="69">
        <v>2.9786324461879756</v>
      </c>
      <c r="BS10" s="69">
        <v>3.2131997827463241</v>
      </c>
      <c r="BT10" s="69">
        <v>2.949904234679297</v>
      </c>
      <c r="BU10" s="69"/>
      <c r="BV10" s="69">
        <f t="shared" si="44"/>
        <v>-2.8728211508678658E-2</v>
      </c>
      <c r="BW10" s="69">
        <f>'RD T1'!E212</f>
        <v>1.042127770316726</v>
      </c>
      <c r="BX10" s="69">
        <f t="shared" si="45"/>
        <v>1.0133995588080473</v>
      </c>
      <c r="BZ10" t="str">
        <f t="shared" si="46"/>
        <v>21 Science, research, engineering and technology professionals</v>
      </c>
      <c r="CA10" s="69">
        <v>1.5563811225262714</v>
      </c>
      <c r="CB10" s="69">
        <v>1.636969797224938</v>
      </c>
      <c r="CC10" s="69">
        <v>1.7472019807772543</v>
      </c>
      <c r="CD10" s="69">
        <v>1.792809685159924</v>
      </c>
      <c r="CE10" s="69">
        <v>1.2461517091737078</v>
      </c>
      <c r="CF10" s="69"/>
      <c r="CG10" s="69">
        <f t="shared" si="47"/>
        <v>-0.50105027160354654</v>
      </c>
      <c r="CH10" s="69">
        <f>'RD T1'!E241</f>
        <v>0.52333531666930511</v>
      </c>
      <c r="CI10" s="69">
        <f t="shared" si="48"/>
        <v>2.2285045065758569E-2</v>
      </c>
      <c r="CK10" t="str">
        <f t="shared" si="49"/>
        <v>21 Science, research, engineering and technology professionals</v>
      </c>
      <c r="CL10" s="69">
        <v>0.28674855065427202</v>
      </c>
      <c r="CM10" s="69">
        <v>0.36159398626470496</v>
      </c>
      <c r="CN10" s="69">
        <v>0.34438228305067559</v>
      </c>
      <c r="CO10" s="69">
        <v>0.53172148718857271</v>
      </c>
      <c r="CP10" s="69">
        <v>0.50807025944670969</v>
      </c>
      <c r="CQ10" s="69"/>
      <c r="CR10" s="69">
        <f t="shared" si="50"/>
        <v>0.16368797639603411</v>
      </c>
      <c r="CS10" s="69">
        <f>'RD T1'!E270</f>
        <v>0.14458888299456238</v>
      </c>
      <c r="CT10" s="69">
        <f t="shared" si="51"/>
        <v>0.30827685939059646</v>
      </c>
    </row>
    <row r="11" spans="1:98" x14ac:dyDescent="0.2">
      <c r="A11" s="10" t="str">
        <f>name!D7</f>
        <v>22 Health professionals</v>
      </c>
      <c r="B11" s="69">
        <v>0.99051067383038149</v>
      </c>
      <c r="C11" s="69">
        <v>1.4252000544061831</v>
      </c>
      <c r="D11" s="69">
        <v>1.2963197931675607</v>
      </c>
      <c r="E11" s="69">
        <v>1.5856009513884137</v>
      </c>
      <c r="F11" s="69">
        <v>2.0284770163845507</v>
      </c>
      <c r="G11" s="11"/>
      <c r="H11" s="69">
        <f t="shared" si="26"/>
        <v>0.73215722321698995</v>
      </c>
      <c r="I11" s="69">
        <f>'RD T1'!E39</f>
        <v>0.77889464976487655</v>
      </c>
      <c r="J11" s="69">
        <f t="shared" si="27"/>
        <v>1.5110518729818665</v>
      </c>
      <c r="L11" t="str">
        <f t="shared" si="28"/>
        <v>22 Health professionals</v>
      </c>
      <c r="M11" s="69">
        <v>2.9491142929275749</v>
      </c>
      <c r="N11" s="69">
        <v>4.3633482574349909</v>
      </c>
      <c r="O11" s="69">
        <v>3.8115023550599458</v>
      </c>
      <c r="P11" s="69">
        <v>4.2427841447777714</v>
      </c>
      <c r="Q11" s="69">
        <v>5.1745248841407383</v>
      </c>
      <c r="R11" s="11"/>
      <c r="S11" s="69">
        <f t="shared" si="29"/>
        <v>1.3630225290807925</v>
      </c>
      <c r="T11" s="69">
        <f>'RD T1'!E68</f>
        <v>2.0938607654629484</v>
      </c>
      <c r="U11" s="69">
        <f t="shared" si="30"/>
        <v>3.4568832945437409</v>
      </c>
      <c r="W11" t="str">
        <f t="shared" si="31"/>
        <v>22 Health professionals</v>
      </c>
      <c r="X11" s="69">
        <v>6.9733806006495866</v>
      </c>
      <c r="Y11" s="69">
        <v>8.0330089566009839</v>
      </c>
      <c r="Z11" s="69">
        <v>8.5951494090910519</v>
      </c>
      <c r="AA11" s="69">
        <v>8.825030687978586</v>
      </c>
      <c r="AB11" s="69">
        <v>10.205841912928857</v>
      </c>
      <c r="AC11" s="69"/>
      <c r="AD11" s="69">
        <f t="shared" si="32"/>
        <v>1.6106925038378055</v>
      </c>
      <c r="AE11" s="69">
        <f>'RD T1'!E97</f>
        <v>5.4506680425885277</v>
      </c>
      <c r="AF11" s="69">
        <f t="shared" si="33"/>
        <v>7.0613605464263332</v>
      </c>
      <c r="AH11" t="str">
        <f t="shared" si="34"/>
        <v>22 Health professionals</v>
      </c>
      <c r="AI11" s="69">
        <v>3.617921040520371</v>
      </c>
      <c r="AJ11" s="69">
        <v>2.8274609149593624</v>
      </c>
      <c r="AK11" s="69">
        <v>2.7563466086949155</v>
      </c>
      <c r="AL11" s="69">
        <v>1.5163710207563099</v>
      </c>
      <c r="AM11" s="69">
        <v>0.67376300053496574</v>
      </c>
      <c r="AN11" s="69"/>
      <c r="AO11" s="69">
        <f t="shared" si="35"/>
        <v>-2.0825836081599496</v>
      </c>
      <c r="AP11" s="69">
        <f>'RD T1'!E126</f>
        <v>0.53189768839809493</v>
      </c>
      <c r="AQ11" s="69">
        <f t="shared" si="36"/>
        <v>-1.5506859197618548</v>
      </c>
      <c r="AS11" t="str">
        <f t="shared" si="37"/>
        <v>22 Health professionals</v>
      </c>
      <c r="AT11" s="69">
        <v>0.45629087136784807</v>
      </c>
      <c r="AU11" s="69">
        <v>0.53940039581870036</v>
      </c>
      <c r="AV11" s="69">
        <v>0.62531849444881504</v>
      </c>
      <c r="AW11" s="69">
        <v>0.64329756135983962</v>
      </c>
      <c r="AX11" s="69">
        <v>0.74526376357576807</v>
      </c>
      <c r="AY11" s="69"/>
      <c r="AZ11" s="69">
        <f t="shared" si="38"/>
        <v>0.11994526912695302</v>
      </c>
      <c r="BA11" s="69">
        <f>'RD T1'!E155</f>
        <v>0.35441935429514182</v>
      </c>
      <c r="BB11" s="69">
        <f t="shared" si="39"/>
        <v>0.47436462342209484</v>
      </c>
      <c r="BD11" t="str">
        <f t="shared" si="40"/>
        <v>22 Health professionals</v>
      </c>
      <c r="BE11" s="69">
        <v>1.7266264979616628</v>
      </c>
      <c r="BF11" s="69">
        <v>2.1594988820641858</v>
      </c>
      <c r="BG11" s="69">
        <v>2.363968544148388</v>
      </c>
      <c r="BH11" s="69">
        <v>2.3211640204047295</v>
      </c>
      <c r="BI11" s="69">
        <v>2.4284459488250336</v>
      </c>
      <c r="BJ11" s="69"/>
      <c r="BK11" s="69">
        <f t="shared" si="41"/>
        <v>6.4477404676645644E-2</v>
      </c>
      <c r="BL11" s="69">
        <f>'RD T1'!E184</f>
        <v>1.2664711178166477</v>
      </c>
      <c r="BM11" s="69">
        <f t="shared" si="42"/>
        <v>1.3309485224932933</v>
      </c>
      <c r="BO11" t="str">
        <f t="shared" si="43"/>
        <v>22 Health professionals</v>
      </c>
      <c r="BP11" s="69">
        <v>1.3871319009157868</v>
      </c>
      <c r="BQ11" s="69">
        <v>1.6149844525405317</v>
      </c>
      <c r="BR11" s="69">
        <v>1.7208496416992762</v>
      </c>
      <c r="BS11" s="69">
        <v>1.4990343087490803</v>
      </c>
      <c r="BT11" s="69">
        <v>1.1800673692667123</v>
      </c>
      <c r="BU11" s="69"/>
      <c r="BV11" s="69">
        <f t="shared" si="44"/>
        <v>-0.54078227243256394</v>
      </c>
      <c r="BW11" s="69">
        <f>'RD T1'!E213</f>
        <v>0.7094566640400537</v>
      </c>
      <c r="BX11" s="69">
        <f t="shared" si="45"/>
        <v>0.16867439160748976</v>
      </c>
      <c r="BZ11" t="str">
        <f t="shared" si="46"/>
        <v>22 Health professionals</v>
      </c>
      <c r="CA11" s="69">
        <v>0.96565339366815528</v>
      </c>
      <c r="CB11" s="69">
        <v>0.92310691999009031</v>
      </c>
      <c r="CC11" s="69">
        <v>0.9322508015506018</v>
      </c>
      <c r="CD11" s="69">
        <v>0.97377313821976186</v>
      </c>
      <c r="CE11" s="69">
        <v>0.6513560174970211</v>
      </c>
      <c r="CF11" s="69"/>
      <c r="CG11" s="69">
        <f t="shared" si="47"/>
        <v>-0.2808947840535807</v>
      </c>
      <c r="CH11" s="69">
        <f>'RD T1'!E242</f>
        <v>0.36128137086486567</v>
      </c>
      <c r="CI11" s="69">
        <f t="shared" si="48"/>
        <v>8.0386586811284966E-2</v>
      </c>
      <c r="CK11" t="str">
        <f t="shared" si="49"/>
        <v>22 Health professionals</v>
      </c>
      <c r="CL11" s="69">
        <v>8.2185448119469331E-2</v>
      </c>
      <c r="CM11" s="69">
        <v>0.10942993473113455</v>
      </c>
      <c r="CN11" s="69">
        <v>0.10299641085245206</v>
      </c>
      <c r="CO11" s="69">
        <v>0.11875463381039873</v>
      </c>
      <c r="CP11" s="69">
        <v>0.11559269330834007</v>
      </c>
      <c r="CQ11" s="69"/>
      <c r="CR11" s="69">
        <f t="shared" si="50"/>
        <v>1.2596282455888008E-2</v>
      </c>
      <c r="CS11" s="69">
        <f>'RD T1'!E271</f>
        <v>4.6441737031095352E-2</v>
      </c>
      <c r="CT11" s="69">
        <f t="shared" si="51"/>
        <v>5.903801948698336E-2</v>
      </c>
    </row>
    <row r="12" spans="1:98" x14ac:dyDescent="0.2">
      <c r="A12" s="10" t="str">
        <f>name!D8</f>
        <v>23 Teaching and other educational professionals</v>
      </c>
      <c r="B12" s="69">
        <v>1.4948969906741851</v>
      </c>
      <c r="C12" s="69">
        <v>1.6949965289485833</v>
      </c>
      <c r="D12" s="69">
        <v>1.6567646521892918</v>
      </c>
      <c r="E12" s="69">
        <v>1.7510927730941084</v>
      </c>
      <c r="F12" s="69">
        <v>1.9800756478399322</v>
      </c>
      <c r="G12" s="11"/>
      <c r="H12" s="69">
        <f t="shared" si="26"/>
        <v>0.32331099565064036</v>
      </c>
      <c r="I12" s="69">
        <f>'RD T1'!E40</f>
        <v>0.83807404558787035</v>
      </c>
      <c r="J12" s="69">
        <f t="shared" si="27"/>
        <v>1.1613850412385107</v>
      </c>
      <c r="L12" t="str">
        <f t="shared" si="28"/>
        <v>23 Teaching and other educational professionals</v>
      </c>
      <c r="M12" s="69">
        <v>7.8364301217350398</v>
      </c>
      <c r="N12" s="69">
        <v>9.3885002296385913</v>
      </c>
      <c r="O12" s="69">
        <v>9.0602830466007909</v>
      </c>
      <c r="P12" s="69">
        <v>9.4279685828798989</v>
      </c>
      <c r="Q12" s="69">
        <v>10.636409495562843</v>
      </c>
      <c r="R12" s="11"/>
      <c r="S12" s="69">
        <f t="shared" si="29"/>
        <v>1.5761264489620519</v>
      </c>
      <c r="T12" s="69">
        <f>'RD T1'!E69</f>
        <v>4.6277093181880744</v>
      </c>
      <c r="U12" s="69">
        <f t="shared" si="30"/>
        <v>6.2038357671501263</v>
      </c>
      <c r="W12" t="str">
        <f t="shared" si="31"/>
        <v>23 Teaching and other educational professionals</v>
      </c>
      <c r="X12" s="69">
        <v>5.6939415055779694</v>
      </c>
      <c r="Y12" s="69">
        <v>4.6605348911718405</v>
      </c>
      <c r="Z12" s="69">
        <v>5.4689732190269336</v>
      </c>
      <c r="AA12" s="69">
        <v>4.1990341259416413</v>
      </c>
      <c r="AB12" s="69">
        <v>3.418037641478779</v>
      </c>
      <c r="AC12" s="69"/>
      <c r="AD12" s="69">
        <f t="shared" si="32"/>
        <v>-2.0509355775481546</v>
      </c>
      <c r="AE12" s="69">
        <f>'RD T1'!E98</f>
        <v>2.2203170184650318</v>
      </c>
      <c r="AF12" s="69">
        <f t="shared" si="33"/>
        <v>0.16938144091687724</v>
      </c>
      <c r="AH12" t="str">
        <f t="shared" si="34"/>
        <v>23 Teaching and other educational professionals</v>
      </c>
      <c r="AI12" s="69">
        <v>0.8318386737646376</v>
      </c>
      <c r="AJ12" s="69">
        <v>0.45065181511297653</v>
      </c>
      <c r="AK12" s="69">
        <v>0.45639461613226062</v>
      </c>
      <c r="AL12" s="69">
        <v>0.23588762104712868</v>
      </c>
      <c r="AM12" s="69">
        <v>0.24303747919877641</v>
      </c>
      <c r="AN12" s="69"/>
      <c r="AO12" s="69">
        <f t="shared" si="35"/>
        <v>-0.21335713693348421</v>
      </c>
      <c r="AP12" s="69">
        <f>'RD T1'!E127</f>
        <v>7.5916687804523736E-2</v>
      </c>
      <c r="AQ12" s="69">
        <f t="shared" si="36"/>
        <v>-0.13744044912896047</v>
      </c>
      <c r="AS12" t="str">
        <f t="shared" si="37"/>
        <v>23 Teaching and other educational professionals</v>
      </c>
      <c r="AT12" s="69">
        <v>0.25019420535260994</v>
      </c>
      <c r="AU12" s="69">
        <v>0.21677447618688755</v>
      </c>
      <c r="AV12" s="69">
        <v>0.27186356080578344</v>
      </c>
      <c r="AW12" s="69">
        <v>0.22085814744201693</v>
      </c>
      <c r="AX12" s="69">
        <v>0.20637999220826261</v>
      </c>
      <c r="AY12" s="69"/>
      <c r="AZ12" s="69">
        <f t="shared" si="38"/>
        <v>-6.548356859752083E-2</v>
      </c>
      <c r="BA12" s="69">
        <f>'RD T1'!E156</f>
        <v>0.10940189355676817</v>
      </c>
      <c r="BB12" s="69">
        <f t="shared" si="39"/>
        <v>4.3918324959247343E-2</v>
      </c>
      <c r="BD12" t="str">
        <f t="shared" si="40"/>
        <v>23 Teaching and other educational professionals</v>
      </c>
      <c r="BE12" s="69">
        <v>0.87464381890809761</v>
      </c>
      <c r="BF12" s="69">
        <v>0.95458512188676314</v>
      </c>
      <c r="BG12" s="69">
        <v>1.0951048960004408</v>
      </c>
      <c r="BH12" s="69">
        <v>0.98477332536298945</v>
      </c>
      <c r="BI12" s="69">
        <v>1.1305720533346759</v>
      </c>
      <c r="BJ12" s="69"/>
      <c r="BK12" s="69">
        <f t="shared" si="41"/>
        <v>3.5467157334235111E-2</v>
      </c>
      <c r="BL12" s="69">
        <f>'RD T1'!E185</f>
        <v>0.45094211469191525</v>
      </c>
      <c r="BM12" s="69">
        <f t="shared" si="42"/>
        <v>0.48640927202615036</v>
      </c>
      <c r="BO12" t="str">
        <f t="shared" si="43"/>
        <v>23 Teaching and other educational professionals</v>
      </c>
      <c r="BP12" s="69">
        <v>0.65728243329345259</v>
      </c>
      <c r="BQ12" s="69">
        <v>0.63817949873549118</v>
      </c>
      <c r="BR12" s="69">
        <v>0.73412841755982594</v>
      </c>
      <c r="BS12" s="69">
        <v>0.57295368556057258</v>
      </c>
      <c r="BT12" s="69">
        <v>0.4564158698607016</v>
      </c>
      <c r="BU12" s="69"/>
      <c r="BV12" s="69">
        <f t="shared" si="44"/>
        <v>-0.27771254769912435</v>
      </c>
      <c r="BW12" s="69">
        <f>'RD T1'!E214</f>
        <v>0.26746086880964515</v>
      </c>
      <c r="BX12" s="69">
        <f t="shared" si="45"/>
        <v>-1.0251678889479199E-2</v>
      </c>
      <c r="BZ12" t="str">
        <f t="shared" si="46"/>
        <v>23 Teaching and other educational professionals</v>
      </c>
      <c r="CA12" s="69">
        <v>0.52247864157796053</v>
      </c>
      <c r="CB12" s="69">
        <v>0.4443221373020666</v>
      </c>
      <c r="CC12" s="69">
        <v>0.53365107742351248</v>
      </c>
      <c r="CD12" s="69">
        <v>0.46707798086118257</v>
      </c>
      <c r="CE12" s="69">
        <v>0.31923340850186532</v>
      </c>
      <c r="CF12" s="69"/>
      <c r="CG12" s="69">
        <f t="shared" si="47"/>
        <v>-0.21441766892164715</v>
      </c>
      <c r="CH12" s="69">
        <f>'RD T1'!E243</f>
        <v>0.18908145158552994</v>
      </c>
      <c r="CI12" s="69">
        <f t="shared" si="48"/>
        <v>-2.5336217336117212E-2</v>
      </c>
      <c r="CK12" t="str">
        <f t="shared" si="49"/>
        <v>23 Teaching and other educational professionals</v>
      </c>
      <c r="CL12" s="69">
        <v>9.7385078983278597E-2</v>
      </c>
      <c r="CM12" s="69">
        <v>0.12758321162986538</v>
      </c>
      <c r="CN12" s="69">
        <v>0.14869741903873604</v>
      </c>
      <c r="CO12" s="69">
        <v>0.170688519930318</v>
      </c>
      <c r="CP12" s="69">
        <v>0.16757281954446884</v>
      </c>
      <c r="CQ12" s="69"/>
      <c r="CR12" s="69">
        <f t="shared" si="50"/>
        <v>1.8875400505732803E-2</v>
      </c>
      <c r="CS12" s="69">
        <f>'RD T1'!E272</f>
        <v>7.8077087287822061E-2</v>
      </c>
      <c r="CT12" s="69">
        <f t="shared" si="51"/>
        <v>9.6952487793554865E-2</v>
      </c>
    </row>
    <row r="13" spans="1:98" x14ac:dyDescent="0.2">
      <c r="A13" s="10" t="str">
        <f>name!D9</f>
        <v>24 Business, media and public service professionals</v>
      </c>
      <c r="B13" s="69">
        <v>0.32120001149564309</v>
      </c>
      <c r="C13" s="69">
        <v>0.44273797958772432</v>
      </c>
      <c r="D13" s="69">
        <v>0.45169652958833956</v>
      </c>
      <c r="E13" s="69">
        <v>0.55531412165686422</v>
      </c>
      <c r="F13" s="69">
        <v>0.75398451568108682</v>
      </c>
      <c r="G13" s="11"/>
      <c r="H13" s="69">
        <f t="shared" si="26"/>
        <v>0.30228798609274726</v>
      </c>
      <c r="I13" s="69">
        <f>'RD T1'!E41</f>
        <v>0.29111374332199785</v>
      </c>
      <c r="J13" s="69">
        <f t="shared" si="27"/>
        <v>0.59340172941474512</v>
      </c>
      <c r="L13" t="str">
        <f t="shared" si="28"/>
        <v>24 Business, media and public service professionals</v>
      </c>
      <c r="M13" s="69">
        <v>4.1251219228326441</v>
      </c>
      <c r="N13" s="69">
        <v>5.9821604884616928</v>
      </c>
      <c r="O13" s="69">
        <v>6.0336837776903014</v>
      </c>
      <c r="P13" s="69">
        <v>7.0865113699701645</v>
      </c>
      <c r="Q13" s="69">
        <v>9.1112636458209977</v>
      </c>
      <c r="R13" s="11"/>
      <c r="S13" s="69">
        <f t="shared" si="29"/>
        <v>3.0775798681306963</v>
      </c>
      <c r="T13" s="69">
        <f>'RD T1'!E70</f>
        <v>3.5839409525701136</v>
      </c>
      <c r="U13" s="69">
        <f t="shared" si="30"/>
        <v>6.6615208207008099</v>
      </c>
      <c r="W13" t="str">
        <f t="shared" si="31"/>
        <v>24 Business, media and public service professionals</v>
      </c>
      <c r="X13" s="69">
        <v>8.4264403428579016</v>
      </c>
      <c r="Y13" s="69">
        <v>9.0134495794219056</v>
      </c>
      <c r="Z13" s="69">
        <v>11.149457051925712</v>
      </c>
      <c r="AA13" s="69">
        <v>11.487622297797595</v>
      </c>
      <c r="AB13" s="69">
        <v>13.156971627316222</v>
      </c>
      <c r="AC13" s="69"/>
      <c r="AD13" s="69">
        <f t="shared" si="32"/>
        <v>2.0075145753905108</v>
      </c>
      <c r="AE13" s="69">
        <f>'RD T1'!E99</f>
        <v>6.4148510930451828</v>
      </c>
      <c r="AF13" s="69">
        <f t="shared" si="33"/>
        <v>8.4223656684356936</v>
      </c>
      <c r="AH13" t="str">
        <f t="shared" si="34"/>
        <v>24 Business, media and public service professionals</v>
      </c>
      <c r="AI13" s="69">
        <v>1.0302604525718264</v>
      </c>
      <c r="AJ13" s="69">
        <v>0.92866859235955324</v>
      </c>
      <c r="AK13" s="69">
        <v>1.1148755065060769</v>
      </c>
      <c r="AL13" s="69">
        <v>1.0239137520466017</v>
      </c>
      <c r="AM13" s="69">
        <v>1.1587802238738163</v>
      </c>
      <c r="AN13" s="69"/>
      <c r="AO13" s="69">
        <f t="shared" si="35"/>
        <v>4.3904717367739376E-2</v>
      </c>
      <c r="AP13" s="69">
        <f>'RD T1'!E128</f>
        <v>0.42211674790483672</v>
      </c>
      <c r="AQ13" s="69">
        <f t="shared" si="36"/>
        <v>0.4660214652725761</v>
      </c>
      <c r="AS13" t="str">
        <f t="shared" si="37"/>
        <v>24 Business, media and public service professionals</v>
      </c>
      <c r="AT13" s="69">
        <v>1.4845388006840614</v>
      </c>
      <c r="AU13" s="69">
        <v>1.441925931578464</v>
      </c>
      <c r="AV13" s="69">
        <v>1.8735705807770846</v>
      </c>
      <c r="AW13" s="69">
        <v>1.90194519214404</v>
      </c>
      <c r="AX13" s="69">
        <v>2.2167060448097975</v>
      </c>
      <c r="AY13" s="69"/>
      <c r="AZ13" s="69">
        <f t="shared" si="38"/>
        <v>0.34313546403271289</v>
      </c>
      <c r="BA13" s="69">
        <f>'RD T1'!E157</f>
        <v>0.97564283382000827</v>
      </c>
      <c r="BB13" s="69">
        <f t="shared" si="39"/>
        <v>1.3187782978527212</v>
      </c>
      <c r="BD13" t="str">
        <f t="shared" si="40"/>
        <v>24 Business, media and public service professionals</v>
      </c>
      <c r="BE13" s="69">
        <v>3.5148165990530837</v>
      </c>
      <c r="BF13" s="69">
        <v>4.3894839397073744</v>
      </c>
      <c r="BG13" s="69">
        <v>4.7946935912585396</v>
      </c>
      <c r="BH13" s="69">
        <v>4.9330246279972521</v>
      </c>
      <c r="BI13" s="69">
        <v>5.4949692782942625</v>
      </c>
      <c r="BJ13" s="69"/>
      <c r="BK13" s="69">
        <f t="shared" si="41"/>
        <v>0.70027568703572296</v>
      </c>
      <c r="BL13" s="69">
        <f>'RD T1'!E186</f>
        <v>2.1521838175753158</v>
      </c>
      <c r="BM13" s="69">
        <f t="shared" si="42"/>
        <v>2.8524595046110388</v>
      </c>
      <c r="BO13" t="str">
        <f t="shared" si="43"/>
        <v>24 Business, media and public service professionals</v>
      </c>
      <c r="BP13" s="69">
        <v>2.5574447276322245</v>
      </c>
      <c r="BQ13" s="69">
        <v>2.8066597205163326</v>
      </c>
      <c r="BR13" s="69">
        <v>3.117450697312159</v>
      </c>
      <c r="BS13" s="69">
        <v>2.7553866920925456</v>
      </c>
      <c r="BT13" s="69">
        <v>2.2910145399224886</v>
      </c>
      <c r="BU13" s="69"/>
      <c r="BV13" s="69">
        <f t="shared" si="44"/>
        <v>-0.82643615738967036</v>
      </c>
      <c r="BW13" s="69">
        <f>'RD T1'!E215</f>
        <v>1.1063982526167646</v>
      </c>
      <c r="BX13" s="69">
        <f t="shared" si="45"/>
        <v>0.27996209522709425</v>
      </c>
      <c r="BZ13" t="str">
        <f t="shared" si="46"/>
        <v>24 Business, media and public service professionals</v>
      </c>
      <c r="CA13" s="69">
        <v>1.7147171054831913</v>
      </c>
      <c r="CB13" s="69">
        <v>1.7712602749140294</v>
      </c>
      <c r="CC13" s="69">
        <v>2.1037204629685213</v>
      </c>
      <c r="CD13" s="69">
        <v>1.9585010532411602</v>
      </c>
      <c r="CE13" s="69">
        <v>1.3140547727602543</v>
      </c>
      <c r="CF13" s="69"/>
      <c r="CG13" s="69">
        <f t="shared" si="47"/>
        <v>-0.78966569020826705</v>
      </c>
      <c r="CH13" s="69">
        <f>'RD T1'!E244</f>
        <v>0.7195853066234208</v>
      </c>
      <c r="CI13" s="69">
        <f t="shared" si="48"/>
        <v>-7.0080383584846251E-2</v>
      </c>
      <c r="CK13" t="str">
        <f t="shared" si="49"/>
        <v>24 Business, media and public service professionals</v>
      </c>
      <c r="CL13" s="69">
        <v>0.30645896874796674</v>
      </c>
      <c r="CM13" s="69">
        <v>0.39993006705098055</v>
      </c>
      <c r="CN13" s="69">
        <v>0.3959936643803475</v>
      </c>
      <c r="CO13" s="69">
        <v>0.46802654836398561</v>
      </c>
      <c r="CP13" s="69">
        <v>0.41967860592883849</v>
      </c>
      <c r="CQ13" s="69"/>
      <c r="CR13" s="69">
        <f t="shared" si="50"/>
        <v>2.368494154849099E-2</v>
      </c>
      <c r="CS13" s="69">
        <f>'RD T1'!E273</f>
        <v>0.17054618039776975</v>
      </c>
      <c r="CT13" s="69">
        <f t="shared" si="51"/>
        <v>0.19423112194626074</v>
      </c>
    </row>
    <row r="14" spans="1:98" x14ac:dyDescent="0.2">
      <c r="A14" s="10" t="str">
        <f>name!D10</f>
        <v>31 Science, engineering and technology associate professionals</v>
      </c>
      <c r="B14" s="69">
        <v>0.10216576840016058</v>
      </c>
      <c r="C14" s="69">
        <v>0.15026201358572733</v>
      </c>
      <c r="D14" s="69">
        <v>0.15169734629050111</v>
      </c>
      <c r="E14" s="69">
        <v>0.17790578630001921</v>
      </c>
      <c r="F14" s="69">
        <v>0.25993190085150147</v>
      </c>
      <c r="G14" s="11"/>
      <c r="H14" s="69">
        <f t="shared" si="26"/>
        <v>0.10823455456100037</v>
      </c>
      <c r="I14" s="69">
        <f>'RD T1'!E42</f>
        <v>8.8696381809275887E-2</v>
      </c>
      <c r="J14" s="69">
        <f t="shared" si="27"/>
        <v>0.19693093637027625</v>
      </c>
      <c r="L14" t="str">
        <f t="shared" si="28"/>
        <v>31 Science, engineering and technology associate professionals</v>
      </c>
      <c r="M14" s="69">
        <v>0.62681434137239034</v>
      </c>
      <c r="N14" s="69">
        <v>0.87750018789024453</v>
      </c>
      <c r="O14" s="69">
        <v>0.89609726882703056</v>
      </c>
      <c r="P14" s="69">
        <v>1.0212201452135052</v>
      </c>
      <c r="Q14" s="69">
        <v>1.4181359753048874</v>
      </c>
      <c r="R14" s="11"/>
      <c r="S14" s="69">
        <f t="shared" si="29"/>
        <v>0.52203870647785688</v>
      </c>
      <c r="T14" s="69">
        <f>'RD T1'!E71</f>
        <v>0.47477984661874312</v>
      </c>
      <c r="U14" s="69">
        <f t="shared" si="30"/>
        <v>0.99681855309660006</v>
      </c>
      <c r="W14" t="str">
        <f t="shared" si="31"/>
        <v>31 Science, engineering and technology associate professionals</v>
      </c>
      <c r="X14" s="69">
        <v>1.6494603447209413</v>
      </c>
      <c r="Y14" s="69">
        <v>1.8153964373676978</v>
      </c>
      <c r="Z14" s="69">
        <v>2.1446426630365618</v>
      </c>
      <c r="AA14" s="69">
        <v>2.0967598814373285</v>
      </c>
      <c r="AB14" s="69">
        <v>2.4338135075513163</v>
      </c>
      <c r="AC14" s="69"/>
      <c r="AD14" s="69">
        <f t="shared" si="32"/>
        <v>0.2891708445147545</v>
      </c>
      <c r="AE14" s="69">
        <f>'RD T1'!E100</f>
        <v>0.98113721998138437</v>
      </c>
      <c r="AF14" s="69">
        <f t="shared" si="33"/>
        <v>1.2703080644961389</v>
      </c>
      <c r="AH14" t="str">
        <f t="shared" si="34"/>
        <v>31 Science, engineering and technology associate professionals</v>
      </c>
      <c r="AI14" s="69">
        <v>0.30532141325686796</v>
      </c>
      <c r="AJ14" s="69">
        <v>0.31265899403271347</v>
      </c>
      <c r="AK14" s="69">
        <v>0.39083195813041088</v>
      </c>
      <c r="AL14" s="69">
        <v>0.40817800292065914</v>
      </c>
      <c r="AM14" s="69">
        <v>0.54636012671430978</v>
      </c>
      <c r="AN14" s="69"/>
      <c r="AO14" s="69">
        <f t="shared" si="35"/>
        <v>0.1555281685838989</v>
      </c>
      <c r="AP14" s="69">
        <f>'RD T1'!E129</f>
        <v>0.20984460738233618</v>
      </c>
      <c r="AQ14" s="69">
        <f t="shared" si="36"/>
        <v>0.36537277596623507</v>
      </c>
      <c r="AS14" t="str">
        <f t="shared" si="37"/>
        <v>31 Science, engineering and technology associate professionals</v>
      </c>
      <c r="AT14" s="69">
        <v>0.89231008589647265</v>
      </c>
      <c r="AU14" s="69">
        <v>0.81770639476062679</v>
      </c>
      <c r="AV14" s="69">
        <v>1.0211445519242559</v>
      </c>
      <c r="AW14" s="69">
        <v>0.85764945127498204</v>
      </c>
      <c r="AX14" s="69">
        <v>0.91723844436893576</v>
      </c>
      <c r="AY14" s="69"/>
      <c r="AZ14" s="69">
        <f t="shared" si="38"/>
        <v>-0.10390610755532015</v>
      </c>
      <c r="BA14" s="69">
        <f>'RD T1'!E158</f>
        <v>0.33707010769853452</v>
      </c>
      <c r="BB14" s="69">
        <f t="shared" si="39"/>
        <v>0.23316400014321437</v>
      </c>
      <c r="BD14" t="str">
        <f t="shared" si="40"/>
        <v>31 Science, engineering and technology associate professionals</v>
      </c>
      <c r="BE14" s="69">
        <v>1.888119001553543</v>
      </c>
      <c r="BF14" s="69">
        <v>2.2943825698260474</v>
      </c>
      <c r="BG14" s="69">
        <v>2.4576144055774156</v>
      </c>
      <c r="BH14" s="69">
        <v>2.1781897578590401</v>
      </c>
      <c r="BI14" s="69">
        <v>2.1314395075029076</v>
      </c>
      <c r="BJ14" s="69"/>
      <c r="BK14" s="69">
        <f t="shared" si="41"/>
        <v>-0.32617489807450806</v>
      </c>
      <c r="BL14" s="69">
        <f>'RD T1'!E187</f>
        <v>0.78296308920324398</v>
      </c>
      <c r="BM14" s="69">
        <f t="shared" si="42"/>
        <v>0.45678819112873592</v>
      </c>
      <c r="BO14" t="str">
        <f t="shared" si="43"/>
        <v>31 Science, engineering and technology associate professionals</v>
      </c>
      <c r="BP14" s="69">
        <v>1.2451284825789974</v>
      </c>
      <c r="BQ14" s="69">
        <v>1.4581364208437275</v>
      </c>
      <c r="BR14" s="69">
        <v>1.5733118436514835</v>
      </c>
      <c r="BS14" s="69">
        <v>1.3466781062267639</v>
      </c>
      <c r="BT14" s="69">
        <v>1.2799309982185303</v>
      </c>
      <c r="BU14" s="69"/>
      <c r="BV14" s="69">
        <f t="shared" si="44"/>
        <v>-0.29338084543295317</v>
      </c>
      <c r="BW14" s="69">
        <f>'RD T1'!E216</f>
        <v>0.50779338584287792</v>
      </c>
      <c r="BX14" s="69">
        <f t="shared" si="45"/>
        <v>0.21441254040992475</v>
      </c>
      <c r="BZ14" t="str">
        <f t="shared" si="46"/>
        <v>31 Science, engineering and technology associate professionals</v>
      </c>
      <c r="CA14" s="69">
        <v>1.0097451808500817</v>
      </c>
      <c r="CB14" s="69">
        <v>1.1197419275075713</v>
      </c>
      <c r="CC14" s="69">
        <v>1.3303917183502367</v>
      </c>
      <c r="CD14" s="69">
        <v>1.0821793546296152</v>
      </c>
      <c r="CE14" s="69">
        <v>0.86961588159735737</v>
      </c>
      <c r="CF14" s="69"/>
      <c r="CG14" s="69">
        <f t="shared" si="47"/>
        <v>-0.46077583675287936</v>
      </c>
      <c r="CH14" s="69">
        <f>'RD T1'!E245</f>
        <v>0.38597005348949442</v>
      </c>
      <c r="CI14" s="69">
        <f t="shared" si="48"/>
        <v>-7.480578326338494E-2</v>
      </c>
      <c r="CK14" t="str">
        <f t="shared" si="49"/>
        <v>31 Science, engineering and technology associate professionals</v>
      </c>
      <c r="CL14" s="69">
        <v>0.15974664973762476</v>
      </c>
      <c r="CM14" s="69">
        <v>0.2182209105529529</v>
      </c>
      <c r="CN14" s="69">
        <v>0.2453096750615131</v>
      </c>
      <c r="CO14" s="69">
        <v>0.287772893509327</v>
      </c>
      <c r="CP14" s="69">
        <v>0.30242487209061225</v>
      </c>
      <c r="CQ14" s="69"/>
      <c r="CR14" s="69">
        <f t="shared" si="50"/>
        <v>5.7115197029099146E-2</v>
      </c>
      <c r="CS14" s="69">
        <f>'RD T1'!E274</f>
        <v>0.10805300042570755</v>
      </c>
      <c r="CT14" s="69">
        <f t="shared" si="51"/>
        <v>0.16516819745480671</v>
      </c>
    </row>
    <row r="15" spans="1:98" x14ac:dyDescent="0.2">
      <c r="A15" s="10" t="str">
        <f>name!D11</f>
        <v>32 Health and social care associate professionals</v>
      </c>
      <c r="B15" s="69">
        <v>3.3360981782048112E-2</v>
      </c>
      <c r="C15" s="69">
        <v>5.4300893401381285E-2</v>
      </c>
      <c r="D15" s="69">
        <v>3.9544385488059573E-2</v>
      </c>
      <c r="E15" s="69">
        <v>7.3301339104595201E-2</v>
      </c>
      <c r="F15" s="69">
        <v>0.11591058716893121</v>
      </c>
      <c r="G15" s="11"/>
      <c r="H15" s="69">
        <f t="shared" si="26"/>
        <v>7.6366201680871632E-2</v>
      </c>
      <c r="I15" s="69">
        <f>'RD T1'!E43</f>
        <v>4.5970239859717647E-2</v>
      </c>
      <c r="J15" s="69">
        <f t="shared" si="27"/>
        <v>0.12233644154058929</v>
      </c>
      <c r="L15" t="str">
        <f t="shared" si="28"/>
        <v>32 Health and social care associate professionals</v>
      </c>
      <c r="M15" s="69">
        <v>0.68224195823805311</v>
      </c>
      <c r="N15" s="69">
        <v>1.0895194875705996</v>
      </c>
      <c r="O15" s="69">
        <v>0.94217246466835936</v>
      </c>
      <c r="P15" s="69">
        <v>1.7889825347758572</v>
      </c>
      <c r="Q15" s="69">
        <v>2.6774790444438539</v>
      </c>
      <c r="R15" s="11"/>
      <c r="S15" s="69">
        <f t="shared" si="29"/>
        <v>1.7353065797754945</v>
      </c>
      <c r="T15" s="69">
        <f>'RD T1'!E72</f>
        <v>1.0171920638921961</v>
      </c>
      <c r="U15" s="69">
        <f t="shared" si="30"/>
        <v>2.7524986436676908</v>
      </c>
      <c r="W15" t="str">
        <f t="shared" si="31"/>
        <v>32 Health and social care associate professionals</v>
      </c>
      <c r="X15" s="69">
        <v>2.2929622707053254</v>
      </c>
      <c r="Y15" s="69">
        <v>2.7501388450150852</v>
      </c>
      <c r="Z15" s="69">
        <v>2.8617827420405693</v>
      </c>
      <c r="AA15" s="69">
        <v>5.1293470912395476</v>
      </c>
      <c r="AB15" s="69">
        <v>7.1851331613842691</v>
      </c>
      <c r="AC15" s="69"/>
      <c r="AD15" s="69">
        <f t="shared" si="32"/>
        <v>4.3233504193436998</v>
      </c>
      <c r="AE15" s="69">
        <f>'RD T1'!E101</f>
        <v>3.6310069491693531</v>
      </c>
      <c r="AF15" s="69">
        <f t="shared" si="33"/>
        <v>7.9543573685130529</v>
      </c>
      <c r="AH15" t="str">
        <f t="shared" si="34"/>
        <v>32 Health and social care associate professionals</v>
      </c>
      <c r="AI15" s="69">
        <v>1.6296778787968151</v>
      </c>
      <c r="AJ15" s="69">
        <v>1.4228251511168233</v>
      </c>
      <c r="AK15" s="69">
        <v>1.4201333991890113</v>
      </c>
      <c r="AL15" s="69">
        <v>1.6627967230714318</v>
      </c>
      <c r="AM15" s="69">
        <v>1.0654604037070485</v>
      </c>
      <c r="AN15" s="69"/>
      <c r="AO15" s="69">
        <f t="shared" si="35"/>
        <v>-0.35467299548196274</v>
      </c>
      <c r="AP15" s="69">
        <f>'RD T1'!E130</f>
        <v>0.6490407014650732</v>
      </c>
      <c r="AQ15" s="69">
        <f t="shared" si="36"/>
        <v>0.29436770598311046</v>
      </c>
      <c r="AS15" t="str">
        <f t="shared" si="37"/>
        <v>32 Health and social care associate professionals</v>
      </c>
      <c r="AT15" s="69">
        <v>0.36530193645368203</v>
      </c>
      <c r="AU15" s="69">
        <v>0.42751198308643185</v>
      </c>
      <c r="AV15" s="69">
        <v>0.47412825156361654</v>
      </c>
      <c r="AW15" s="69">
        <v>0.70445737436232292</v>
      </c>
      <c r="AX15" s="69">
        <v>0.874351523822812</v>
      </c>
      <c r="AY15" s="69"/>
      <c r="AZ15" s="69">
        <f t="shared" si="38"/>
        <v>0.40022327225919546</v>
      </c>
      <c r="BA15" s="69">
        <f>'RD T1'!E159</f>
        <v>0.43786197962609935</v>
      </c>
      <c r="BB15" s="69">
        <f t="shared" si="39"/>
        <v>0.83808525188529481</v>
      </c>
      <c r="BD15" t="str">
        <f t="shared" si="40"/>
        <v>32 Health and social care associate professionals</v>
      </c>
      <c r="BE15" s="69">
        <v>1.5217126403180035</v>
      </c>
      <c r="BF15" s="69">
        <v>1.8885030742925222</v>
      </c>
      <c r="BG15" s="69">
        <v>2.0645290306702528</v>
      </c>
      <c r="BH15" s="69">
        <v>3.2804281095566483</v>
      </c>
      <c r="BI15" s="69">
        <v>3.9495732116287194</v>
      </c>
      <c r="BJ15" s="69"/>
      <c r="BK15" s="69">
        <f t="shared" si="41"/>
        <v>1.8850441809584666</v>
      </c>
      <c r="BL15" s="69">
        <f>'RD T1'!E188</f>
        <v>1.9467304922175188</v>
      </c>
      <c r="BM15" s="69">
        <f t="shared" si="42"/>
        <v>3.8317746731759854</v>
      </c>
      <c r="BO15" t="str">
        <f t="shared" si="43"/>
        <v>32 Health and social care associate professionals</v>
      </c>
      <c r="BP15" s="69">
        <v>1.3134355990071753</v>
      </c>
      <c r="BQ15" s="69">
        <v>1.4817895411876469</v>
      </c>
      <c r="BR15" s="69">
        <v>1.522421541011507</v>
      </c>
      <c r="BS15" s="69">
        <v>2.0819480000403399</v>
      </c>
      <c r="BT15" s="69">
        <v>1.7252342502211273</v>
      </c>
      <c r="BU15" s="69"/>
      <c r="BV15" s="69">
        <f t="shared" si="44"/>
        <v>0.20281270920962036</v>
      </c>
      <c r="BW15" s="69">
        <f>'RD T1'!E217</f>
        <v>1.0802982985563812</v>
      </c>
      <c r="BX15" s="69">
        <f t="shared" si="45"/>
        <v>1.2831110077660015</v>
      </c>
      <c r="BZ15" t="str">
        <f t="shared" si="46"/>
        <v>32 Health and social care associate professionals</v>
      </c>
      <c r="CA15" s="69">
        <v>0.58252854075800831</v>
      </c>
      <c r="CB15" s="69">
        <v>0.44168631460521435</v>
      </c>
      <c r="CC15" s="69">
        <v>0.44585420428295058</v>
      </c>
      <c r="CD15" s="69">
        <v>0.64972635301457649</v>
      </c>
      <c r="CE15" s="69">
        <v>0.45265736033703302</v>
      </c>
      <c r="CF15" s="69"/>
      <c r="CG15" s="69">
        <f t="shared" si="47"/>
        <v>6.8031560540824376E-3</v>
      </c>
      <c r="CH15" s="69">
        <f>'RD T1'!E246</f>
        <v>0.24750987218334849</v>
      </c>
      <c r="CI15" s="69">
        <f t="shared" si="48"/>
        <v>0.25431302823743096</v>
      </c>
      <c r="CK15" t="str">
        <f t="shared" si="49"/>
        <v>32 Health and social care associate professionals</v>
      </c>
      <c r="CL15" s="69">
        <v>5.8273191029537784E-2</v>
      </c>
      <c r="CM15" s="69">
        <v>6.4630698967841196E-2</v>
      </c>
      <c r="CN15" s="69">
        <v>6.2897593381535583E-2</v>
      </c>
      <c r="CO15" s="69">
        <v>0.10846836796451496</v>
      </c>
      <c r="CP15" s="69">
        <v>0.12225770132720087</v>
      </c>
      <c r="CQ15" s="69"/>
      <c r="CR15" s="69">
        <f t="shared" si="50"/>
        <v>5.9360107945665291E-2</v>
      </c>
      <c r="CS15" s="69">
        <f>'RD T1'!E275</f>
        <v>4.9044496256533204E-2</v>
      </c>
      <c r="CT15" s="69">
        <f t="shared" si="51"/>
        <v>0.1084046042021985</v>
      </c>
    </row>
    <row r="16" spans="1:98" x14ac:dyDescent="0.2">
      <c r="A16" s="10" t="str">
        <f>name!D12</f>
        <v>33 Protective service occupations</v>
      </c>
      <c r="B16" s="69">
        <v>1.4802998211797709E-2</v>
      </c>
      <c r="C16" s="69">
        <v>2.0315301908897729E-2</v>
      </c>
      <c r="D16" s="69">
        <v>1.900256954913351E-2</v>
      </c>
      <c r="E16" s="69">
        <v>2.2246625203344972E-2</v>
      </c>
      <c r="F16" s="69">
        <v>3.5429418048816011E-2</v>
      </c>
      <c r="G16" s="11"/>
      <c r="H16" s="69">
        <f t="shared" si="26"/>
        <v>1.6426848499682501E-2</v>
      </c>
      <c r="I16" s="69">
        <f>'RD T1'!E44</f>
        <v>1.0138417065443718E-2</v>
      </c>
      <c r="J16" s="69">
        <f t="shared" si="27"/>
        <v>2.6565265565126221E-2</v>
      </c>
      <c r="L16" t="str">
        <f t="shared" si="28"/>
        <v>33 Protective service occupations</v>
      </c>
      <c r="M16" s="69">
        <v>0.2213658680190044</v>
      </c>
      <c r="N16" s="69">
        <v>0.2760450493238969</v>
      </c>
      <c r="O16" s="69">
        <v>0.27918701847453203</v>
      </c>
      <c r="P16" s="69">
        <v>0.29573652215547019</v>
      </c>
      <c r="Q16" s="69">
        <v>0.4408335598615778</v>
      </c>
      <c r="R16" s="11"/>
      <c r="S16" s="69">
        <f t="shared" si="29"/>
        <v>0.16164654138704576</v>
      </c>
      <c r="T16" s="69">
        <f>'RD T1'!E73</f>
        <v>0.11198110226462997</v>
      </c>
      <c r="U16" s="69">
        <f t="shared" si="30"/>
        <v>0.27362764365167574</v>
      </c>
      <c r="W16" t="str">
        <f t="shared" si="31"/>
        <v>33 Protective service occupations</v>
      </c>
      <c r="X16" s="69">
        <v>1.086571603378335</v>
      </c>
      <c r="Y16" s="69">
        <v>1.1105918594666111</v>
      </c>
      <c r="Z16" s="69">
        <v>1.336270559191616</v>
      </c>
      <c r="AA16" s="69">
        <v>1.2314865344421198</v>
      </c>
      <c r="AB16" s="69">
        <v>1.6812531531470312</v>
      </c>
      <c r="AC16" s="69"/>
      <c r="AD16" s="69">
        <f t="shared" si="32"/>
        <v>0.3449825939554152</v>
      </c>
      <c r="AE16" s="69">
        <f>'RD T1'!E102</f>
        <v>0.55405884863530064</v>
      </c>
      <c r="AF16" s="69">
        <f t="shared" si="33"/>
        <v>0.89904144259071583</v>
      </c>
      <c r="AH16" t="str">
        <f t="shared" si="34"/>
        <v>33 Protective service occupations</v>
      </c>
      <c r="AI16" s="69">
        <v>0.30554199149406902</v>
      </c>
      <c r="AJ16" s="69">
        <v>0.30099119713892974</v>
      </c>
      <c r="AK16" s="69">
        <v>0.3764903469858773</v>
      </c>
      <c r="AL16" s="69">
        <v>0.34455077560879077</v>
      </c>
      <c r="AM16" s="69">
        <v>0.44278653208814001</v>
      </c>
      <c r="AN16" s="69"/>
      <c r="AO16" s="69">
        <f t="shared" si="35"/>
        <v>6.6296185102262706E-2</v>
      </c>
      <c r="AP16" s="69">
        <f>'RD T1'!E131</f>
        <v>0.13448700688423568</v>
      </c>
      <c r="AQ16" s="69">
        <f t="shared" si="36"/>
        <v>0.20078319198649838</v>
      </c>
      <c r="AS16" t="str">
        <f t="shared" si="37"/>
        <v>33 Protective service occupations</v>
      </c>
      <c r="AT16" s="69">
        <v>0.28206407381144555</v>
      </c>
      <c r="AU16" s="69">
        <v>0.2327416994410223</v>
      </c>
      <c r="AV16" s="69">
        <v>0.27335088896490656</v>
      </c>
      <c r="AW16" s="69">
        <v>0.20817393590632219</v>
      </c>
      <c r="AX16" s="69">
        <v>0.23029522017216508</v>
      </c>
      <c r="AY16" s="69"/>
      <c r="AZ16" s="69">
        <f t="shared" si="38"/>
        <v>-4.3055668792741475E-2</v>
      </c>
      <c r="BA16" s="69">
        <f>'RD T1'!E160</f>
        <v>7.6376542536063033E-2</v>
      </c>
      <c r="BB16" s="69">
        <f t="shared" si="39"/>
        <v>3.3320873743321558E-2</v>
      </c>
      <c r="BD16" t="str">
        <f t="shared" si="40"/>
        <v>33 Protective service occupations</v>
      </c>
      <c r="BE16" s="69">
        <v>1.3241555806063234</v>
      </c>
      <c r="BF16" s="69">
        <v>1.3764041877766853</v>
      </c>
      <c r="BG16" s="69">
        <v>1.3291785008613848</v>
      </c>
      <c r="BH16" s="69">
        <v>1.2153576383266278</v>
      </c>
      <c r="BI16" s="69">
        <v>1.2004895547750127</v>
      </c>
      <c r="BJ16" s="69"/>
      <c r="BK16" s="69">
        <f t="shared" si="41"/>
        <v>-0.12868894608637205</v>
      </c>
      <c r="BL16" s="69">
        <f>'RD T1'!E189</f>
        <v>0.31248581660856645</v>
      </c>
      <c r="BM16" s="69">
        <f t="shared" si="42"/>
        <v>0.1837968705221944</v>
      </c>
      <c r="BO16" t="str">
        <f t="shared" si="43"/>
        <v>33 Protective service occupations</v>
      </c>
      <c r="BP16" s="69">
        <v>1.3355517985731491</v>
      </c>
      <c r="BQ16" s="69">
        <v>1.3562543334629504</v>
      </c>
      <c r="BR16" s="69">
        <v>1.31375376856002</v>
      </c>
      <c r="BS16" s="69">
        <v>1.0126699385739582</v>
      </c>
      <c r="BT16" s="69">
        <v>0.78760830955088845</v>
      </c>
      <c r="BU16" s="69"/>
      <c r="BV16" s="69">
        <f t="shared" si="44"/>
        <v>-0.52614545900913157</v>
      </c>
      <c r="BW16" s="69">
        <f>'RD T1'!E218</f>
        <v>0.27273030205591048</v>
      </c>
      <c r="BX16" s="69">
        <f t="shared" si="45"/>
        <v>-0.25341515695322109</v>
      </c>
      <c r="BZ16" t="str">
        <f t="shared" si="46"/>
        <v>33 Protective service occupations</v>
      </c>
      <c r="CA16" s="69">
        <v>0.76223992430129317</v>
      </c>
      <c r="CB16" s="69">
        <v>0.66343190472587676</v>
      </c>
      <c r="CC16" s="69">
        <v>0.70521900208186394</v>
      </c>
      <c r="CD16" s="69">
        <v>0.53605807882363443</v>
      </c>
      <c r="CE16" s="69">
        <v>0.3772911420890705</v>
      </c>
      <c r="CF16" s="69"/>
      <c r="CG16" s="69">
        <f t="shared" si="47"/>
        <v>-0.32792785999279345</v>
      </c>
      <c r="CH16" s="69">
        <f>'RD T1'!E247</f>
        <v>0.1609295595840998</v>
      </c>
      <c r="CI16" s="69">
        <f t="shared" si="48"/>
        <v>-0.16699830040869365</v>
      </c>
      <c r="CK16" t="str">
        <f t="shared" si="49"/>
        <v>33 Protective service occupations</v>
      </c>
      <c r="CL16" s="69">
        <v>0.1239378577467953</v>
      </c>
      <c r="CM16" s="69">
        <v>0.10666738082179997</v>
      </c>
      <c r="CN16" s="69">
        <v>9.3520246564536808E-2</v>
      </c>
      <c r="CO16" s="69">
        <v>8.0153867504789283E-2</v>
      </c>
      <c r="CP16" s="69">
        <v>3.0983071681913398E-2</v>
      </c>
      <c r="CQ16" s="69"/>
      <c r="CR16" s="69">
        <f t="shared" si="50"/>
        <v>-6.2537174882623406E-2</v>
      </c>
      <c r="CS16" s="69">
        <f>'RD T1'!E276</f>
        <v>1.4611683693830263E-2</v>
      </c>
      <c r="CT16" s="69">
        <f t="shared" si="51"/>
        <v>-4.7925491188793141E-2</v>
      </c>
    </row>
    <row r="17" spans="1:98" x14ac:dyDescent="0.2">
      <c r="A17" s="10" t="str">
        <f>name!D13</f>
        <v>34 Culture, media and sports occupations</v>
      </c>
      <c r="B17" s="69">
        <v>5.4031361037537126E-2</v>
      </c>
      <c r="C17" s="69">
        <v>8.4133807553431264E-2</v>
      </c>
      <c r="D17" s="69">
        <v>8.8767825991790089E-2</v>
      </c>
      <c r="E17" s="69">
        <v>9.3834133277179613E-2</v>
      </c>
      <c r="F17" s="69">
        <v>0.1192011310054857</v>
      </c>
      <c r="G17" s="11"/>
      <c r="H17" s="69">
        <f t="shared" si="26"/>
        <v>3.0433305013695608E-2</v>
      </c>
      <c r="I17" s="69">
        <f>'RD T1'!E45</f>
        <v>4.7204916855821462E-2</v>
      </c>
      <c r="J17" s="69">
        <f t="shared" si="27"/>
        <v>7.7638221869517077E-2</v>
      </c>
      <c r="L17" t="str">
        <f t="shared" si="28"/>
        <v>34 Culture, media and sports occupations</v>
      </c>
      <c r="M17" s="69">
        <v>0.89037500866396391</v>
      </c>
      <c r="N17" s="69">
        <v>1.2488610982692006</v>
      </c>
      <c r="O17" s="69">
        <v>1.1459800972115457</v>
      </c>
      <c r="P17" s="69">
        <v>1.1217432638119689</v>
      </c>
      <c r="Q17" s="69">
        <v>1.4108340578639889</v>
      </c>
      <c r="R17" s="11"/>
      <c r="S17" s="69">
        <f t="shared" si="29"/>
        <v>0.26485396065244315</v>
      </c>
      <c r="T17" s="69">
        <f>'RD T1'!E74</f>
        <v>0.560374323623547</v>
      </c>
      <c r="U17" s="69">
        <f t="shared" si="30"/>
        <v>0.82522828427599015</v>
      </c>
      <c r="W17" t="str">
        <f t="shared" si="31"/>
        <v>34 Culture, media and sports occupations</v>
      </c>
      <c r="X17" s="69">
        <v>2.3505438049991039</v>
      </c>
      <c r="Y17" s="69">
        <v>2.1747499405566622</v>
      </c>
      <c r="Z17" s="69">
        <v>2.4493624935180351</v>
      </c>
      <c r="AA17" s="69">
        <v>2.1142769585699734</v>
      </c>
      <c r="AB17" s="69">
        <v>2.2689271725625026</v>
      </c>
      <c r="AC17" s="69"/>
      <c r="AD17" s="69">
        <f t="shared" si="32"/>
        <v>-0.1804353209555325</v>
      </c>
      <c r="AE17" s="69">
        <f>'RD T1'!E103</f>
        <v>1.0824781044464875</v>
      </c>
      <c r="AF17" s="69">
        <f t="shared" si="33"/>
        <v>0.90204278349095501</v>
      </c>
      <c r="AH17" t="str">
        <f t="shared" si="34"/>
        <v>34 Culture, media and sports occupations</v>
      </c>
      <c r="AI17" s="69">
        <v>0.28060322484231442</v>
      </c>
      <c r="AJ17" s="69">
        <v>0.28468679592465662</v>
      </c>
      <c r="AK17" s="69">
        <v>0.34911832683106159</v>
      </c>
      <c r="AL17" s="69">
        <v>0.30401827285099164</v>
      </c>
      <c r="AM17" s="69">
        <v>0.39079163686536528</v>
      </c>
      <c r="AN17" s="69"/>
      <c r="AO17" s="69">
        <f t="shared" si="35"/>
        <v>4.167331003430369E-2</v>
      </c>
      <c r="AP17" s="69">
        <f>'RD T1'!E132</f>
        <v>0.159631076079227</v>
      </c>
      <c r="AQ17" s="69">
        <f t="shared" si="36"/>
        <v>0.20130438611353069</v>
      </c>
      <c r="AS17" t="str">
        <f t="shared" si="37"/>
        <v>34 Culture, media and sports occupations</v>
      </c>
      <c r="AT17" s="69">
        <v>0.40103807890037896</v>
      </c>
      <c r="AU17" s="69">
        <v>0.3648999856920358</v>
      </c>
      <c r="AV17" s="69">
        <v>0.40440931898911409</v>
      </c>
      <c r="AW17" s="69">
        <v>0.33039427509045199</v>
      </c>
      <c r="AX17" s="69">
        <v>0.34077051496054356</v>
      </c>
      <c r="AY17" s="69"/>
      <c r="AZ17" s="69">
        <f t="shared" si="38"/>
        <v>-6.3638804028570528E-2</v>
      </c>
      <c r="BA17" s="69">
        <f>'RD T1'!E161</f>
        <v>0.1627138477974191</v>
      </c>
      <c r="BB17" s="69">
        <f t="shared" si="39"/>
        <v>9.907504376884857E-2</v>
      </c>
      <c r="BD17" t="str">
        <f t="shared" si="40"/>
        <v>34 Culture, media and sports occupations</v>
      </c>
      <c r="BE17" s="69">
        <v>1.13030616647392</v>
      </c>
      <c r="BF17" s="69">
        <v>1.1646684903101214</v>
      </c>
      <c r="BG17" s="69">
        <v>1.1298375496592095</v>
      </c>
      <c r="BH17" s="69">
        <v>0.88136063752978133</v>
      </c>
      <c r="BI17" s="69">
        <v>0.90987612639566251</v>
      </c>
      <c r="BJ17" s="69"/>
      <c r="BK17" s="69">
        <f t="shared" si="41"/>
        <v>-0.21996142326354695</v>
      </c>
      <c r="BL17" s="69">
        <f>'RD T1'!E190</f>
        <v>0.34977431739728765</v>
      </c>
      <c r="BM17" s="69">
        <f t="shared" si="42"/>
        <v>0.1298128941337407</v>
      </c>
      <c r="BO17" t="str">
        <f t="shared" si="43"/>
        <v>34 Culture, media and sports occupations</v>
      </c>
      <c r="BP17" s="69">
        <v>0.61551088864397285</v>
      </c>
      <c r="BQ17" s="69">
        <v>0.50989789462795565</v>
      </c>
      <c r="BR17" s="69">
        <v>0.47949200588278107</v>
      </c>
      <c r="BS17" s="69">
        <v>0.30317875288162671</v>
      </c>
      <c r="BT17" s="69">
        <v>0.17935577120863191</v>
      </c>
      <c r="BU17" s="69"/>
      <c r="BV17" s="69">
        <f t="shared" si="44"/>
        <v>-0.30013623467414918</v>
      </c>
      <c r="BW17" s="69">
        <f>'RD T1'!E219</f>
        <v>0.1100364292058624</v>
      </c>
      <c r="BX17" s="69">
        <f t="shared" si="45"/>
        <v>-0.19009980546828678</v>
      </c>
      <c r="BZ17" t="str">
        <f t="shared" si="46"/>
        <v>34 Culture, media and sports occupations</v>
      </c>
      <c r="CA17" s="69">
        <v>0.51129602724288925</v>
      </c>
      <c r="CB17" s="69">
        <v>0.43593566263101419</v>
      </c>
      <c r="CC17" s="69">
        <v>0.44285011612719072</v>
      </c>
      <c r="CD17" s="69">
        <v>0.32860800590733286</v>
      </c>
      <c r="CE17" s="69">
        <v>0.19955940006463685</v>
      </c>
      <c r="CF17" s="69"/>
      <c r="CG17" s="69">
        <f t="shared" si="47"/>
        <v>-0.24329071606255387</v>
      </c>
      <c r="CH17" s="69">
        <f>'RD T1'!E248</f>
        <v>0.11044494251848871</v>
      </c>
      <c r="CI17" s="69">
        <f t="shared" si="48"/>
        <v>-0.13284577354406515</v>
      </c>
      <c r="CK17" t="str">
        <f t="shared" si="49"/>
        <v>34 Culture, media and sports occupations</v>
      </c>
      <c r="CL17" s="69">
        <v>0.12544445855442068</v>
      </c>
      <c r="CM17" s="69">
        <v>0.16011326559419903</v>
      </c>
      <c r="CN17" s="69">
        <v>0.14825515914203705</v>
      </c>
      <c r="CO17" s="69">
        <v>0.15164845656020387</v>
      </c>
      <c r="CP17" s="69">
        <v>0.1317894961339858</v>
      </c>
      <c r="CQ17" s="69"/>
      <c r="CR17" s="69">
        <f t="shared" si="50"/>
        <v>-1.6465663008051246E-2</v>
      </c>
      <c r="CS17" s="69">
        <f>'RD T1'!E277</f>
        <v>5.2524980706046824E-2</v>
      </c>
      <c r="CT17" s="69">
        <f t="shared" si="51"/>
        <v>3.6059317697995578E-2</v>
      </c>
    </row>
    <row r="18" spans="1:98" x14ac:dyDescent="0.2">
      <c r="A18" s="10" t="str">
        <f>name!D14</f>
        <v>35 Business and public service associate professionals</v>
      </c>
      <c r="B18" s="69">
        <v>0.23929684926904399</v>
      </c>
      <c r="C18" s="69">
        <v>0.29932471815668976</v>
      </c>
      <c r="D18" s="69">
        <v>0.28951606068078672</v>
      </c>
      <c r="E18" s="69">
        <v>0.35423972800805542</v>
      </c>
      <c r="F18" s="69">
        <v>0.48605562041168859</v>
      </c>
      <c r="G18" s="11"/>
      <c r="H18" s="69">
        <f t="shared" si="26"/>
        <v>0.19653955973090187</v>
      </c>
      <c r="I18" s="69">
        <f>'RD T1'!E46</f>
        <v>0.1758884145510306</v>
      </c>
      <c r="J18" s="69">
        <f t="shared" si="27"/>
        <v>0.37242797428193247</v>
      </c>
      <c r="L18" t="str">
        <f t="shared" si="28"/>
        <v>35 Business and public service associate professionals</v>
      </c>
      <c r="M18" s="69">
        <v>2.4237636525380037</v>
      </c>
      <c r="N18" s="69">
        <v>3.3387558688766719</v>
      </c>
      <c r="O18" s="69">
        <v>3.1591002076536201</v>
      </c>
      <c r="P18" s="69">
        <v>3.778656385224624</v>
      </c>
      <c r="Q18" s="69">
        <v>4.9045112999318299</v>
      </c>
      <c r="R18" s="11"/>
      <c r="S18" s="69">
        <f t="shared" si="29"/>
        <v>1.7454110922782098</v>
      </c>
      <c r="T18" s="69">
        <f>'RD T1'!E75</f>
        <v>1.8500402730169365</v>
      </c>
      <c r="U18" s="69">
        <f t="shared" si="30"/>
        <v>3.5954513652951463</v>
      </c>
      <c r="W18" t="str">
        <f t="shared" si="31"/>
        <v>35 Business and public service associate professionals</v>
      </c>
      <c r="X18" s="69">
        <v>6.3367494623211122</v>
      </c>
      <c r="Y18" s="69">
        <v>6.4013806982208985</v>
      </c>
      <c r="Z18" s="69">
        <v>7.1967686981432744</v>
      </c>
      <c r="AA18" s="69">
        <v>7.5182489549498239</v>
      </c>
      <c r="AB18" s="69">
        <v>8.4830844966507755</v>
      </c>
      <c r="AC18" s="69"/>
      <c r="AD18" s="69">
        <f t="shared" si="32"/>
        <v>1.2863157985075011</v>
      </c>
      <c r="AE18" s="69">
        <f>'RD T1'!E104</f>
        <v>3.9998928030392871</v>
      </c>
      <c r="AF18" s="69">
        <f t="shared" si="33"/>
        <v>5.2862086015467877</v>
      </c>
      <c r="AH18" t="str">
        <f t="shared" si="34"/>
        <v>35 Business and public service associate professionals</v>
      </c>
      <c r="AI18" s="69">
        <v>1.8646368850138697</v>
      </c>
      <c r="AJ18" s="69">
        <v>1.8772625952344302</v>
      </c>
      <c r="AK18" s="69">
        <v>2.214480260503001</v>
      </c>
      <c r="AL18" s="69">
        <v>2.3546497886520505</v>
      </c>
      <c r="AM18" s="69">
        <v>2.8499501628419166</v>
      </c>
      <c r="AN18" s="69"/>
      <c r="AO18" s="69">
        <f t="shared" si="35"/>
        <v>0.63546990233891565</v>
      </c>
      <c r="AP18" s="69">
        <f>'RD T1'!E133</f>
        <v>1.2202585665667041</v>
      </c>
      <c r="AQ18" s="69">
        <f t="shared" si="36"/>
        <v>1.8557284689056197</v>
      </c>
      <c r="AS18" t="str">
        <f t="shared" si="37"/>
        <v>35 Business and public service associate professionals</v>
      </c>
      <c r="AT18" s="69">
        <v>1.7212301762227735</v>
      </c>
      <c r="AU18" s="69">
        <v>1.6497312075316206</v>
      </c>
      <c r="AV18" s="69">
        <v>1.9604676642650976</v>
      </c>
      <c r="AW18" s="69">
        <v>2.0129223453298271</v>
      </c>
      <c r="AX18" s="69">
        <v>2.3716557570603629</v>
      </c>
      <c r="AY18" s="69"/>
      <c r="AZ18" s="69">
        <f t="shared" si="38"/>
        <v>0.41118809279526536</v>
      </c>
      <c r="BA18" s="69">
        <f>'RD T1'!E162</f>
        <v>0.99740929170118142</v>
      </c>
      <c r="BB18" s="69">
        <f t="shared" si="39"/>
        <v>1.4085973844964468</v>
      </c>
      <c r="BD18" t="str">
        <f t="shared" si="40"/>
        <v>35 Business and public service associate professionals</v>
      </c>
      <c r="BE18" s="69">
        <v>5.2779798997970069</v>
      </c>
      <c r="BF18" s="69">
        <v>5.8385526376341206</v>
      </c>
      <c r="BG18" s="69">
        <v>6.1681199091314411</v>
      </c>
      <c r="BH18" s="69">
        <v>5.9221418520706042</v>
      </c>
      <c r="BI18" s="69">
        <v>5.9354171969611338</v>
      </c>
      <c r="BJ18" s="69"/>
      <c r="BK18" s="69">
        <f t="shared" si="41"/>
        <v>-0.23270271217030736</v>
      </c>
      <c r="BL18" s="69">
        <f>'RD T1'!E191</f>
        <v>2.5045234799228022</v>
      </c>
      <c r="BM18" s="69">
        <f t="shared" si="42"/>
        <v>2.2718207677524949</v>
      </c>
      <c r="BO18" t="str">
        <f t="shared" si="43"/>
        <v>35 Business and public service associate professionals</v>
      </c>
      <c r="BP18" s="69">
        <v>4.3935908365574363</v>
      </c>
      <c r="BQ18" s="69">
        <v>4.4895697627876361</v>
      </c>
      <c r="BR18" s="69">
        <v>4.6602124500013931</v>
      </c>
      <c r="BS18" s="69">
        <v>4.0523871834688405</v>
      </c>
      <c r="BT18" s="69">
        <v>3.2875516087083705</v>
      </c>
      <c r="BU18" s="69"/>
      <c r="BV18" s="69">
        <f t="shared" si="44"/>
        <v>-1.3726608412930226</v>
      </c>
      <c r="BW18" s="69">
        <f>'RD T1'!E220</f>
        <v>1.5557636504992594</v>
      </c>
      <c r="BX18" s="69">
        <f t="shared" si="45"/>
        <v>0.18310280920623678</v>
      </c>
      <c r="BZ18" t="str">
        <f t="shared" si="46"/>
        <v>35 Business and public service associate professionals</v>
      </c>
      <c r="CA18" s="69">
        <v>2.994386804169257</v>
      </c>
      <c r="CB18" s="69">
        <v>2.7693862352935992</v>
      </c>
      <c r="CC18" s="69">
        <v>2.8699623158727148</v>
      </c>
      <c r="CD18" s="69">
        <v>2.4595242757907978</v>
      </c>
      <c r="CE18" s="69">
        <v>1.5762055818511229</v>
      </c>
      <c r="CF18" s="69"/>
      <c r="CG18" s="69">
        <f t="shared" si="47"/>
        <v>-1.2937567340215919</v>
      </c>
      <c r="CH18" s="69">
        <f>'RD T1'!E249</f>
        <v>0.81838554447708145</v>
      </c>
      <c r="CI18" s="69">
        <f t="shared" si="48"/>
        <v>-0.47537118954451041</v>
      </c>
      <c r="CK18" t="str">
        <f t="shared" si="49"/>
        <v>35 Business and public service associate professionals</v>
      </c>
      <c r="CL18" s="69">
        <v>0.50156390265659956</v>
      </c>
      <c r="CM18" s="69">
        <v>0.57143120573646478</v>
      </c>
      <c r="CN18" s="69">
        <v>0.51019474216407845</v>
      </c>
      <c r="CO18" s="69">
        <v>0.45874981447303098</v>
      </c>
      <c r="CP18" s="69">
        <v>0.39945071394905268</v>
      </c>
      <c r="CQ18" s="69"/>
      <c r="CR18" s="69">
        <f t="shared" si="50"/>
        <v>-0.11074402821502577</v>
      </c>
      <c r="CS18" s="69">
        <f>'RD T1'!E278</f>
        <v>0.15144586915430802</v>
      </c>
      <c r="CT18" s="69">
        <f t="shared" si="51"/>
        <v>4.0701840939282252E-2</v>
      </c>
    </row>
    <row r="19" spans="1:98" x14ac:dyDescent="0.2">
      <c r="A19" s="10" t="str">
        <f>name!D15</f>
        <v>41 Administrative occupations</v>
      </c>
      <c r="B19" s="69">
        <v>0.16026452737332814</v>
      </c>
      <c r="C19" s="69">
        <v>0.21474521257311768</v>
      </c>
      <c r="D19" s="69">
        <v>0.19221244002832472</v>
      </c>
      <c r="E19" s="69">
        <v>0.24829277210833905</v>
      </c>
      <c r="F19" s="69">
        <v>0.35081493601250252</v>
      </c>
      <c r="G19" s="11"/>
      <c r="H19" s="69">
        <f t="shared" si="26"/>
        <v>0.1586024959841778</v>
      </c>
      <c r="I19" s="69">
        <f>'RD T1'!E47</f>
        <v>0.132891934646827</v>
      </c>
      <c r="J19" s="69">
        <f t="shared" si="27"/>
        <v>0.29149443063100478</v>
      </c>
      <c r="L19" t="str">
        <f t="shared" si="28"/>
        <v>41 Administrative occupations</v>
      </c>
      <c r="M19" s="69">
        <v>1.843817896914985</v>
      </c>
      <c r="N19" s="69">
        <v>2.6044270609283022</v>
      </c>
      <c r="O19" s="69">
        <v>2.3360221356666755</v>
      </c>
      <c r="P19" s="69">
        <v>3.0932249409809209</v>
      </c>
      <c r="Q19" s="69">
        <v>4.2811573527727855</v>
      </c>
      <c r="R19" s="11"/>
      <c r="S19" s="69">
        <f t="shared" si="29"/>
        <v>1.94513521710611</v>
      </c>
      <c r="T19" s="69">
        <f>'RD T1'!E76</f>
        <v>1.6543504468268029</v>
      </c>
      <c r="U19" s="69">
        <f t="shared" si="30"/>
        <v>3.5994856639329127</v>
      </c>
      <c r="W19" t="str">
        <f t="shared" si="31"/>
        <v>41 Administrative occupations</v>
      </c>
      <c r="X19" s="69">
        <v>6.7232113183978779</v>
      </c>
      <c r="Y19" s="69">
        <v>7.0714964685569708</v>
      </c>
      <c r="Z19" s="69">
        <v>7.5959630127852149</v>
      </c>
      <c r="AA19" s="69">
        <v>9.0648027909644551</v>
      </c>
      <c r="AB19" s="69">
        <v>11.255972463413688</v>
      </c>
      <c r="AC19" s="69"/>
      <c r="AD19" s="69">
        <f t="shared" si="32"/>
        <v>3.6600094506284728</v>
      </c>
      <c r="AE19" s="69">
        <f>'RD T1'!E105</f>
        <v>5.5371483023641623</v>
      </c>
      <c r="AF19" s="69">
        <f t="shared" si="33"/>
        <v>9.1971577529926343</v>
      </c>
      <c r="AH19" t="str">
        <f t="shared" si="34"/>
        <v>41 Administrative occupations</v>
      </c>
      <c r="AI19" s="69">
        <v>2.7791503523362286</v>
      </c>
      <c r="AJ19" s="69">
        <v>2.9808971819780949</v>
      </c>
      <c r="AK19" s="69">
        <v>3.1166708147941167</v>
      </c>
      <c r="AL19" s="69">
        <v>3.6112120001654819</v>
      </c>
      <c r="AM19" s="69">
        <v>4.4503793368073499</v>
      </c>
      <c r="AN19" s="69"/>
      <c r="AO19" s="69">
        <f t="shared" si="35"/>
        <v>1.3337085220132332</v>
      </c>
      <c r="AP19" s="69">
        <f>'RD T1'!E134</f>
        <v>2.3181898307571176</v>
      </c>
      <c r="AQ19" s="69">
        <f t="shared" si="36"/>
        <v>3.6518983527703508</v>
      </c>
      <c r="AS19" t="str">
        <f t="shared" si="37"/>
        <v>41 Administrative occupations</v>
      </c>
      <c r="AT19" s="69">
        <v>2.5380587310410943</v>
      </c>
      <c r="AU19" s="69">
        <v>2.6595691673096189</v>
      </c>
      <c r="AV19" s="69">
        <v>2.804387916677376</v>
      </c>
      <c r="AW19" s="69">
        <v>3.0819258370379394</v>
      </c>
      <c r="AX19" s="69">
        <v>3.7146695558762204</v>
      </c>
      <c r="AY19" s="69"/>
      <c r="AZ19" s="69">
        <f t="shared" si="38"/>
        <v>0.91028163919884442</v>
      </c>
      <c r="BA19" s="69">
        <f>'RD T1'!E163</f>
        <v>1.8675098267802417</v>
      </c>
      <c r="BB19" s="69">
        <f t="shared" si="39"/>
        <v>2.7777914659790861</v>
      </c>
      <c r="BD19" t="str">
        <f t="shared" si="40"/>
        <v>41 Administrative occupations</v>
      </c>
      <c r="BE19" s="69">
        <v>8.6233333464882698</v>
      </c>
      <c r="BF19" s="69">
        <v>8.7808542553106239</v>
      </c>
      <c r="BG19" s="69">
        <v>9.5716277630280242</v>
      </c>
      <c r="BH19" s="69">
        <v>9.4781885984993117</v>
      </c>
      <c r="BI19" s="69">
        <v>8.9155999669563855</v>
      </c>
      <c r="BJ19" s="69"/>
      <c r="BK19" s="69">
        <f t="shared" si="41"/>
        <v>-0.65602779607163875</v>
      </c>
      <c r="BL19" s="69">
        <f>'RD T1'!E192</f>
        <v>4.4313653918744338</v>
      </c>
      <c r="BM19" s="69">
        <f t="shared" si="42"/>
        <v>3.775337595802795</v>
      </c>
      <c r="BO19" t="str">
        <f t="shared" si="43"/>
        <v>41 Administrative occupations</v>
      </c>
      <c r="BP19" s="69">
        <v>10.815855775807657</v>
      </c>
      <c r="BQ19" s="69">
        <v>10.065331160104678</v>
      </c>
      <c r="BR19" s="69">
        <v>10.591895118542745</v>
      </c>
      <c r="BS19" s="69">
        <v>9.3623021935306614</v>
      </c>
      <c r="BT19" s="69">
        <v>6.6843394795852769</v>
      </c>
      <c r="BU19" s="69"/>
      <c r="BV19" s="69">
        <f t="shared" si="44"/>
        <v>-3.9075556389574677</v>
      </c>
      <c r="BW19" s="69">
        <f>'RD T1'!E221</f>
        <v>3.9902452204501486</v>
      </c>
      <c r="BX19" s="69">
        <f t="shared" si="45"/>
        <v>8.2689581492680908E-2</v>
      </c>
      <c r="BZ19" t="str">
        <f t="shared" si="46"/>
        <v>41 Administrative occupations</v>
      </c>
      <c r="CA19" s="69">
        <v>6.6787450586204322</v>
      </c>
      <c r="CB19" s="69">
        <v>4.7484919913094128</v>
      </c>
      <c r="CC19" s="69">
        <v>4.8507406659395258</v>
      </c>
      <c r="CD19" s="69">
        <v>3.7692322364707618</v>
      </c>
      <c r="CE19" s="69">
        <v>1.5782038503102922</v>
      </c>
      <c r="CF19" s="69"/>
      <c r="CG19" s="69">
        <f t="shared" si="47"/>
        <v>-3.2725368156292336</v>
      </c>
      <c r="CH19" s="69">
        <f>'RD T1'!E250</f>
        <v>1.1130212689143901</v>
      </c>
      <c r="CI19" s="69">
        <f t="shared" si="48"/>
        <v>-2.1595155467148435</v>
      </c>
      <c r="CK19" t="str">
        <f t="shared" si="49"/>
        <v>41 Administrative occupations</v>
      </c>
      <c r="CL19" s="69">
        <v>1.201212275341716</v>
      </c>
      <c r="CM19" s="69">
        <v>1.116198164357362</v>
      </c>
      <c r="CN19" s="69">
        <v>0.95596887245197026</v>
      </c>
      <c r="CO19" s="69">
        <v>0.86831092402768406</v>
      </c>
      <c r="CP19" s="69">
        <v>0.55787832456626241</v>
      </c>
      <c r="CQ19" s="69"/>
      <c r="CR19" s="69">
        <f t="shared" si="50"/>
        <v>-0.39809054788570786</v>
      </c>
      <c r="CS19" s="69">
        <f>'RD T1'!E279</f>
        <v>0.27074525710306901</v>
      </c>
      <c r="CT19" s="69">
        <f t="shared" si="51"/>
        <v>-0.12734529078263884</v>
      </c>
    </row>
    <row r="20" spans="1:98" x14ac:dyDescent="0.2">
      <c r="A20" s="10" t="str">
        <f>name!D16</f>
        <v>42 Secretarial and related occupations</v>
      </c>
      <c r="B20" s="69">
        <v>1.4189189760373687E-2</v>
      </c>
      <c r="C20" s="69">
        <v>2.1975062476567397E-2</v>
      </c>
      <c r="D20" s="69">
        <v>1.9422382480105558E-2</v>
      </c>
      <c r="E20" s="69">
        <v>2.9981566063101914E-2</v>
      </c>
      <c r="F20" s="69">
        <v>4.8220456974661936E-2</v>
      </c>
      <c r="G20" s="11"/>
      <c r="H20" s="69">
        <f t="shared" si="26"/>
        <v>2.8798074494556378E-2</v>
      </c>
      <c r="I20" s="69">
        <f>'RD T1'!E48</f>
        <v>1.8473417909930893E-2</v>
      </c>
      <c r="J20" s="69">
        <f t="shared" si="27"/>
        <v>4.7271492404487275E-2</v>
      </c>
      <c r="L20" t="str">
        <f t="shared" si="28"/>
        <v>42 Secretarial and related occupations</v>
      </c>
      <c r="M20" s="69">
        <v>0.33404016928240127</v>
      </c>
      <c r="N20" s="69">
        <v>0.46191350285075511</v>
      </c>
      <c r="O20" s="69">
        <v>0.38255049692205584</v>
      </c>
      <c r="P20" s="69">
        <v>0.55880598652090674</v>
      </c>
      <c r="Q20" s="69">
        <v>0.71866788684878447</v>
      </c>
      <c r="R20" s="11"/>
      <c r="S20" s="69">
        <f t="shared" si="29"/>
        <v>0.33611738992672863</v>
      </c>
      <c r="T20" s="69">
        <f>'RD T1'!E77</f>
        <v>0.2968872398332621</v>
      </c>
      <c r="U20" s="69">
        <f t="shared" si="30"/>
        <v>0.63300462975999072</v>
      </c>
      <c r="W20" t="str">
        <f t="shared" si="31"/>
        <v>42 Secretarial and related occupations</v>
      </c>
      <c r="X20" s="69">
        <v>1.2637998961987307</v>
      </c>
      <c r="Y20" s="69">
        <v>1.3635137304396114</v>
      </c>
      <c r="Z20" s="69">
        <v>1.3642916171390982</v>
      </c>
      <c r="AA20" s="69">
        <v>1.7426922432916414</v>
      </c>
      <c r="AB20" s="69">
        <v>2.3340956992013617</v>
      </c>
      <c r="AC20" s="69"/>
      <c r="AD20" s="69">
        <f t="shared" si="32"/>
        <v>0.96980408206226354</v>
      </c>
      <c r="AE20" s="69">
        <f>'RD T1'!E106</f>
        <v>1.1903212393803695</v>
      </c>
      <c r="AF20" s="69">
        <f t="shared" si="33"/>
        <v>2.1601253214426333</v>
      </c>
      <c r="AH20" t="str">
        <f t="shared" si="34"/>
        <v>42 Secretarial and related occupations</v>
      </c>
      <c r="AI20" s="69">
        <v>0.57134582349916796</v>
      </c>
      <c r="AJ20" s="69">
        <v>0.60265927914808348</v>
      </c>
      <c r="AK20" s="69">
        <v>0.61648759026252953</v>
      </c>
      <c r="AL20" s="69">
        <v>0.70868767388170029</v>
      </c>
      <c r="AM20" s="69">
        <v>0.74205530545114962</v>
      </c>
      <c r="AN20" s="69"/>
      <c r="AO20" s="69">
        <f t="shared" si="35"/>
        <v>0.12556771518862009</v>
      </c>
      <c r="AP20" s="69">
        <f>'RD T1'!E135</f>
        <v>0.42211197104127007</v>
      </c>
      <c r="AQ20" s="69">
        <f t="shared" si="36"/>
        <v>0.54767968622989016</v>
      </c>
      <c r="AS20" t="str">
        <f t="shared" si="37"/>
        <v>42 Secretarial and related occupations</v>
      </c>
      <c r="AT20" s="69">
        <v>0.45627503886505677</v>
      </c>
      <c r="AU20" s="69">
        <v>0.46320298630753914</v>
      </c>
      <c r="AV20" s="69">
        <v>0.4707866002186808</v>
      </c>
      <c r="AW20" s="69">
        <v>0.53508329400523669</v>
      </c>
      <c r="AX20" s="69">
        <v>0.48326938798591573</v>
      </c>
      <c r="AY20" s="69"/>
      <c r="AZ20" s="69">
        <f t="shared" si="38"/>
        <v>1.2482787767234937E-2</v>
      </c>
      <c r="BA20" s="69">
        <f>'RD T1'!E164</f>
        <v>0.29962624740256888</v>
      </c>
      <c r="BB20" s="69">
        <f t="shared" si="39"/>
        <v>0.31210903516980382</v>
      </c>
      <c r="BD20" t="str">
        <f t="shared" si="40"/>
        <v>42 Secretarial and related occupations</v>
      </c>
      <c r="BE20" s="69">
        <v>1.882245726249137</v>
      </c>
      <c r="BF20" s="69">
        <v>1.8463590981686013</v>
      </c>
      <c r="BG20" s="69">
        <v>1.8430326497894307</v>
      </c>
      <c r="BH20" s="69">
        <v>1.7045119253726777</v>
      </c>
      <c r="BI20" s="69">
        <v>0.68890535945603237</v>
      </c>
      <c r="BJ20" s="69"/>
      <c r="BK20" s="69">
        <f t="shared" si="41"/>
        <v>-1.1541272903333983</v>
      </c>
      <c r="BL20" s="69">
        <f>'RD T1'!E193</f>
        <v>0.64340078230648656</v>
      </c>
      <c r="BM20" s="69">
        <f t="shared" si="42"/>
        <v>-0.51072650802691177</v>
      </c>
      <c r="BO20" t="str">
        <f t="shared" si="43"/>
        <v>42 Secretarial and related occupations</v>
      </c>
      <c r="BP20" s="69">
        <v>2.6079336491424487</v>
      </c>
      <c r="BQ20" s="69">
        <v>2.2714453708289386</v>
      </c>
      <c r="BR20" s="69">
        <v>2.2521171657572658</v>
      </c>
      <c r="BS20" s="69">
        <v>1.6760285216262107</v>
      </c>
      <c r="BT20" s="69">
        <v>0.60787360536135504</v>
      </c>
      <c r="BU20" s="69"/>
      <c r="BV20" s="69">
        <f t="shared" si="44"/>
        <v>-1.6442435603959109</v>
      </c>
      <c r="BW20" s="69">
        <f>'RD T1'!E222</f>
        <v>0.65875930156578599</v>
      </c>
      <c r="BX20" s="69">
        <f t="shared" si="45"/>
        <v>-0.98548425883012492</v>
      </c>
      <c r="BZ20" t="str">
        <f t="shared" si="46"/>
        <v>42 Secretarial and related occupations</v>
      </c>
      <c r="CA20" s="69">
        <v>2.484157890684878</v>
      </c>
      <c r="CB20" s="69">
        <v>1.8654268546555424</v>
      </c>
      <c r="CC20" s="69">
        <v>1.8150930725764316</v>
      </c>
      <c r="CD20" s="69">
        <v>1.0941601280964406</v>
      </c>
      <c r="CE20" s="69">
        <v>0.40546933395533324</v>
      </c>
      <c r="CF20" s="69"/>
      <c r="CG20" s="69">
        <f t="shared" si="47"/>
        <v>-1.4096237386210984</v>
      </c>
      <c r="CH20" s="69">
        <f>'RD T1'!E251</f>
        <v>0.37306487599156002</v>
      </c>
      <c r="CI20" s="69">
        <f t="shared" si="48"/>
        <v>-1.0365588626295383</v>
      </c>
      <c r="CK20" t="str">
        <f t="shared" si="49"/>
        <v>42 Secretarial and related occupations</v>
      </c>
      <c r="CL20" s="69">
        <v>0.38877377907914973</v>
      </c>
      <c r="CM20" s="69">
        <v>0.40742381128501581</v>
      </c>
      <c r="CN20" s="69">
        <v>0.37287009699674112</v>
      </c>
      <c r="CO20" s="69">
        <v>0.40252424225920874</v>
      </c>
      <c r="CP20" s="69">
        <v>0.35905398778892728</v>
      </c>
      <c r="CQ20" s="69"/>
      <c r="CR20" s="69">
        <f t="shared" si="50"/>
        <v>-1.3816109207813843E-2</v>
      </c>
      <c r="CS20" s="69">
        <f>'RD T1'!E280</f>
        <v>0.18372771696081161</v>
      </c>
      <c r="CT20" s="69">
        <f t="shared" si="51"/>
        <v>0.16991160775299777</v>
      </c>
    </row>
    <row r="21" spans="1:98" x14ac:dyDescent="0.2">
      <c r="A21" s="10" t="str">
        <f>name!D17</f>
        <v>51 Skilled agricultural and related trades</v>
      </c>
      <c r="B21" s="69">
        <v>1.792515328874859E-2</v>
      </c>
      <c r="C21" s="69">
        <v>4.8604183470445941E-2</v>
      </c>
      <c r="D21" s="69">
        <v>1.8945121710926761E-2</v>
      </c>
      <c r="E21" s="69">
        <v>2.2110991851524969E-2</v>
      </c>
      <c r="F21" s="69">
        <v>2.7841335331566967E-2</v>
      </c>
      <c r="G21" s="11"/>
      <c r="H21" s="69">
        <f t="shared" si="26"/>
        <v>8.8962136206402059E-3</v>
      </c>
      <c r="I21" s="69">
        <f>'RD T1'!E49</f>
        <v>1.5752030972573612E-2</v>
      </c>
      <c r="J21" s="69">
        <f t="shared" si="27"/>
        <v>2.4648244593213818E-2</v>
      </c>
      <c r="L21" t="str">
        <f t="shared" si="28"/>
        <v>51 Skilled agricultural and related trades</v>
      </c>
      <c r="M21" s="69">
        <v>0.116796409638106</v>
      </c>
      <c r="N21" s="69">
        <v>0.13178412028129338</v>
      </c>
      <c r="O21" s="69">
        <v>0.11000268285421991</v>
      </c>
      <c r="P21" s="69">
        <v>0.10720353373447432</v>
      </c>
      <c r="Q21" s="69">
        <v>0.1440630427692707</v>
      </c>
      <c r="R21" s="11"/>
      <c r="S21" s="69">
        <f t="shared" si="29"/>
        <v>3.4060359915050797E-2</v>
      </c>
      <c r="T21" s="69">
        <f>'RD T1'!E78</f>
        <v>6.3362883184692298E-2</v>
      </c>
      <c r="U21" s="69">
        <f t="shared" si="30"/>
        <v>9.7423243099743095E-2</v>
      </c>
      <c r="W21" t="str">
        <f t="shared" si="31"/>
        <v>51 Skilled agricultural and related trades</v>
      </c>
      <c r="X21" s="69">
        <v>1.1998898481652709</v>
      </c>
      <c r="Y21" s="69">
        <v>1.3370341174881515</v>
      </c>
      <c r="Z21" s="69">
        <v>1.7484689387454295</v>
      </c>
      <c r="AA21" s="69">
        <v>1.8923542062052812</v>
      </c>
      <c r="AB21" s="69">
        <v>2.5373534396011883</v>
      </c>
      <c r="AC21" s="69"/>
      <c r="AD21" s="69">
        <f t="shared" si="32"/>
        <v>0.78888450085575879</v>
      </c>
      <c r="AE21" s="69">
        <f>'RD T1'!E107</f>
        <v>1.360008382196672</v>
      </c>
      <c r="AF21" s="69">
        <f t="shared" si="33"/>
        <v>2.1488928830524308</v>
      </c>
      <c r="AH21" t="str">
        <f t="shared" si="34"/>
        <v>51 Skilled agricultural and related trades</v>
      </c>
      <c r="AI21" s="69">
        <v>0.42374944524199726</v>
      </c>
      <c r="AJ21" s="69">
        <v>0.46677397691977318</v>
      </c>
      <c r="AK21" s="69">
        <v>0.50082618274613366</v>
      </c>
      <c r="AL21" s="69">
        <v>0.50121352849414014</v>
      </c>
      <c r="AM21" s="69">
        <v>0.61956689296912071</v>
      </c>
      <c r="AN21" s="69"/>
      <c r="AO21" s="69">
        <f t="shared" si="35"/>
        <v>0.11874071022298704</v>
      </c>
      <c r="AP21" s="69">
        <f>'RD T1'!E136</f>
        <v>0.3872995328939951</v>
      </c>
      <c r="AQ21" s="69">
        <f t="shared" si="36"/>
        <v>0.50604024311698215</v>
      </c>
      <c r="AS21" t="str">
        <f t="shared" si="37"/>
        <v>51 Skilled agricultural and related trades</v>
      </c>
      <c r="AT21" s="69">
        <v>0.67402148198761935</v>
      </c>
      <c r="AU21" s="69">
        <v>0.57717963021154894</v>
      </c>
      <c r="AV21" s="69">
        <v>0.82668019693700112</v>
      </c>
      <c r="AW21" s="69">
        <v>0.82143942147607352</v>
      </c>
      <c r="AX21" s="69">
        <v>1.0527183234196997</v>
      </c>
      <c r="AY21" s="69"/>
      <c r="AZ21" s="69">
        <f t="shared" si="38"/>
        <v>0.22603812648269861</v>
      </c>
      <c r="BA21" s="69">
        <f>'RD T1'!E165</f>
        <v>0.5570747806262174</v>
      </c>
      <c r="BB21" s="69">
        <f t="shared" si="39"/>
        <v>0.78311290710891601</v>
      </c>
      <c r="BD21" t="str">
        <f t="shared" si="40"/>
        <v>51 Skilled agricultural and related trades</v>
      </c>
      <c r="BE21" s="69">
        <v>1.5366917005087597</v>
      </c>
      <c r="BF21" s="69">
        <v>1.5412193750448577</v>
      </c>
      <c r="BG21" s="69">
        <v>1.729974251825271</v>
      </c>
      <c r="BH21" s="69">
        <v>1.5462862991218307</v>
      </c>
      <c r="BI21" s="69">
        <v>1.4886890514438949</v>
      </c>
      <c r="BJ21" s="69"/>
      <c r="BK21" s="69">
        <f t="shared" si="41"/>
        <v>-0.24128520038137613</v>
      </c>
      <c r="BL21" s="69">
        <f>'RD T1'!E194</f>
        <v>0.81896467499488879</v>
      </c>
      <c r="BM21" s="69">
        <f t="shared" si="42"/>
        <v>0.57767947461351266</v>
      </c>
      <c r="BO21" t="str">
        <f t="shared" si="43"/>
        <v>51 Skilled agricultural and related trades</v>
      </c>
      <c r="BP21" s="69">
        <v>2.0874190187561128</v>
      </c>
      <c r="BQ21" s="69">
        <v>2.1945746030834727</v>
      </c>
      <c r="BR21" s="69">
        <v>2.3819531426796625</v>
      </c>
      <c r="BS21" s="69">
        <v>2.1400619390999962</v>
      </c>
      <c r="BT21" s="69">
        <v>1.9893129178142144</v>
      </c>
      <c r="BU21" s="69"/>
      <c r="BV21" s="69">
        <f t="shared" si="44"/>
        <v>-0.39264022486544814</v>
      </c>
      <c r="BW21" s="69">
        <f>'RD T1'!E223</f>
        <v>1.1138478262886964</v>
      </c>
      <c r="BX21" s="69">
        <f t="shared" si="45"/>
        <v>0.72120760142324825</v>
      </c>
      <c r="BZ21" t="str">
        <f t="shared" si="46"/>
        <v>51 Skilled agricultural and related trades</v>
      </c>
      <c r="CA21" s="69">
        <v>1.8235061956308114</v>
      </c>
      <c r="CB21" s="69">
        <v>1.4474760955097006</v>
      </c>
      <c r="CC21" s="69">
        <v>1.7018197955948795</v>
      </c>
      <c r="CD21" s="69">
        <v>1.2443626370179799</v>
      </c>
      <c r="CE21" s="69">
        <v>0.74439045765683587</v>
      </c>
      <c r="CF21" s="69"/>
      <c r="CG21" s="69">
        <f t="shared" si="47"/>
        <v>-0.95742933793804363</v>
      </c>
      <c r="CH21" s="69">
        <f>'RD T1'!E252</f>
        <v>0.53223426079087988</v>
      </c>
      <c r="CI21" s="69">
        <f t="shared" si="48"/>
        <v>-0.42519507714716376</v>
      </c>
      <c r="CK21" t="str">
        <f t="shared" si="49"/>
        <v>51 Skilled agricultural and related trades</v>
      </c>
      <c r="CL21" s="69">
        <v>1.0726987781614461</v>
      </c>
      <c r="CM21" s="69">
        <v>0.8656478274073518</v>
      </c>
      <c r="CN21" s="69">
        <v>1.0347930505290741</v>
      </c>
      <c r="CO21" s="69">
        <v>1.0501417032465807</v>
      </c>
      <c r="CP21" s="69">
        <v>0.64602945403287626</v>
      </c>
      <c r="CQ21" s="69"/>
      <c r="CR21" s="69">
        <f t="shared" si="50"/>
        <v>-0.38876359649619785</v>
      </c>
      <c r="CS21" s="69">
        <f>'RD T1'!E281</f>
        <v>0.30916052751343703</v>
      </c>
      <c r="CT21" s="69">
        <f t="shared" si="51"/>
        <v>-7.9603068982760816E-2</v>
      </c>
    </row>
    <row r="22" spans="1:98" x14ac:dyDescent="0.2">
      <c r="A22" s="10" t="str">
        <f>name!D18</f>
        <v>52 Skilled metal, electrical and electronic trades</v>
      </c>
      <c r="B22" s="69">
        <v>1.2976879060761441E-2</v>
      </c>
      <c r="C22" s="69">
        <v>1.2990051924944686E-2</v>
      </c>
      <c r="D22" s="69">
        <v>1.5206961044977079E-2</v>
      </c>
      <c r="E22" s="69">
        <v>1.8958621790646155E-2</v>
      </c>
      <c r="F22" s="69">
        <v>2.711416492755897E-2</v>
      </c>
      <c r="G22" s="11"/>
      <c r="H22" s="69">
        <f t="shared" si="26"/>
        <v>1.1907203882581891E-2</v>
      </c>
      <c r="I22" s="69">
        <f>'RD T1'!E50</f>
        <v>9.5185340902249026E-3</v>
      </c>
      <c r="J22" s="69">
        <f t="shared" si="27"/>
        <v>2.1425737972806794E-2</v>
      </c>
      <c r="L22" t="str">
        <f t="shared" si="28"/>
        <v>52 Skilled metal, electrical and electronic trades</v>
      </c>
      <c r="M22" s="69">
        <v>0.27467308431814547</v>
      </c>
      <c r="N22" s="69">
        <v>0.34043832775311478</v>
      </c>
      <c r="O22" s="69">
        <v>0.27433079124908633</v>
      </c>
      <c r="P22" s="69">
        <v>0.38829481517899983</v>
      </c>
      <c r="Q22" s="69">
        <v>0.59098278540717397</v>
      </c>
      <c r="R22" s="11"/>
      <c r="S22" s="69">
        <f t="shared" si="29"/>
        <v>0.31665199415808765</v>
      </c>
      <c r="T22" s="69">
        <f>'RD T1'!E79</f>
        <v>0.20143740477288818</v>
      </c>
      <c r="U22" s="69">
        <f t="shared" si="30"/>
        <v>0.51808939893097583</v>
      </c>
      <c r="W22" t="str">
        <f t="shared" si="31"/>
        <v>52 Skilled metal, electrical and electronic trades</v>
      </c>
      <c r="X22" s="69">
        <v>0.92247176546731713</v>
      </c>
      <c r="Y22" s="69">
        <v>0.85572572550878123</v>
      </c>
      <c r="Z22" s="69">
        <v>0.88670012677403687</v>
      </c>
      <c r="AA22" s="69">
        <v>1.0176295990472157</v>
      </c>
      <c r="AB22" s="69">
        <v>1.287397896430128</v>
      </c>
      <c r="AC22" s="69"/>
      <c r="AD22" s="69">
        <f t="shared" si="32"/>
        <v>0.40069776965609116</v>
      </c>
      <c r="AE22" s="69">
        <f>'RD T1'!E108</f>
        <v>0.5210030047184846</v>
      </c>
      <c r="AF22" s="69">
        <f t="shared" si="33"/>
        <v>0.92170077437457576</v>
      </c>
      <c r="AH22" t="str">
        <f t="shared" si="34"/>
        <v>52 Skilled metal, electrical and electronic trades</v>
      </c>
      <c r="AI22" s="69">
        <v>0.42286638223577033</v>
      </c>
      <c r="AJ22" s="69">
        <v>0.35880681926754332</v>
      </c>
      <c r="AK22" s="69">
        <v>0.3990426220735338</v>
      </c>
      <c r="AL22" s="69">
        <v>0.4359818695490234</v>
      </c>
      <c r="AM22" s="69">
        <v>0.54423966441156713</v>
      </c>
      <c r="AN22" s="69"/>
      <c r="AO22" s="69">
        <f t="shared" si="35"/>
        <v>0.14519704233803332</v>
      </c>
      <c r="AP22" s="69">
        <f>'RD T1'!E137</f>
        <v>0.2071192219813037</v>
      </c>
      <c r="AQ22" s="69">
        <f t="shared" si="36"/>
        <v>0.35231626431933705</v>
      </c>
      <c r="AS22" t="str">
        <f t="shared" si="37"/>
        <v>52 Skilled metal, electrical and electronic trades</v>
      </c>
      <c r="AT22" s="69">
        <v>1.5770263618526656</v>
      </c>
      <c r="AU22" s="69">
        <v>1.2848790594275992</v>
      </c>
      <c r="AV22" s="69">
        <v>1.3796711498587209</v>
      </c>
      <c r="AW22" s="69">
        <v>1.3842959447082956</v>
      </c>
      <c r="AX22" s="69">
        <v>1.5745540271952683</v>
      </c>
      <c r="AY22" s="69"/>
      <c r="AZ22" s="69">
        <f t="shared" si="38"/>
        <v>0.19488287733654741</v>
      </c>
      <c r="BA22" s="69">
        <f>'RD T1'!E166</f>
        <v>0.62492540295297272</v>
      </c>
      <c r="BB22" s="69">
        <f t="shared" si="39"/>
        <v>0.81980828028952013</v>
      </c>
      <c r="BD22" t="str">
        <f t="shared" si="40"/>
        <v>52 Skilled metal, electrical and electronic trades</v>
      </c>
      <c r="BE22" s="69">
        <v>8.9990887389051046</v>
      </c>
      <c r="BF22" s="69">
        <v>9.4107940178309715</v>
      </c>
      <c r="BG22" s="69">
        <v>7.968263194825763</v>
      </c>
      <c r="BH22" s="69">
        <v>7.9439183774890605</v>
      </c>
      <c r="BI22" s="69">
        <v>7.6223354158364769</v>
      </c>
      <c r="BJ22" s="69"/>
      <c r="BK22" s="69">
        <f t="shared" si="41"/>
        <v>-0.34592777898928606</v>
      </c>
      <c r="BL22" s="69">
        <f>'RD T1'!E195</f>
        <v>2.808396024408963</v>
      </c>
      <c r="BM22" s="69">
        <f t="shared" si="42"/>
        <v>2.4624682454196769</v>
      </c>
      <c r="BO22" t="str">
        <f t="shared" si="43"/>
        <v>52 Skilled metal, electrical and electronic trades</v>
      </c>
      <c r="BP22" s="69">
        <v>5.2095927083429148</v>
      </c>
      <c r="BQ22" s="69">
        <v>5.0400627470724499</v>
      </c>
      <c r="BR22" s="69">
        <v>4.3527028416633966</v>
      </c>
      <c r="BS22" s="69">
        <v>3.9317716663150839</v>
      </c>
      <c r="BT22" s="69">
        <v>3.1957561364494373</v>
      </c>
      <c r="BU22" s="69"/>
      <c r="BV22" s="69">
        <f t="shared" si="44"/>
        <v>-1.1569467052139593</v>
      </c>
      <c r="BW22" s="69">
        <f>'RD T1'!E224</f>
        <v>1.3300475986180991</v>
      </c>
      <c r="BX22" s="69">
        <f t="shared" si="45"/>
        <v>0.17310089340413981</v>
      </c>
      <c r="BZ22" t="str">
        <f t="shared" si="46"/>
        <v>52 Skilled metal, electrical and electronic trades</v>
      </c>
      <c r="CA22" s="69">
        <v>2.814232037757102</v>
      </c>
      <c r="CB22" s="69">
        <v>2.3480104300282969</v>
      </c>
      <c r="CC22" s="69">
        <v>2.173735555223534</v>
      </c>
      <c r="CD22" s="69">
        <v>1.7027614833779849</v>
      </c>
      <c r="CE22" s="69">
        <v>0.92406737598304134</v>
      </c>
      <c r="CF22" s="69"/>
      <c r="CG22" s="69">
        <f t="shared" si="47"/>
        <v>-1.2496681792404927</v>
      </c>
      <c r="CH22" s="69">
        <f>'RD T1'!E253</f>
        <v>0.55752458495379342</v>
      </c>
      <c r="CI22" s="69">
        <f t="shared" si="48"/>
        <v>-0.69214359428669925</v>
      </c>
      <c r="CK22" t="str">
        <f t="shared" si="49"/>
        <v>52 Skilled metal, electrical and electronic trades</v>
      </c>
      <c r="CL22" s="69">
        <v>0.93806343132534764</v>
      </c>
      <c r="CM22" s="69">
        <v>0.96067598192346437</v>
      </c>
      <c r="CN22" s="69">
        <v>0.80588607528651823</v>
      </c>
      <c r="CO22" s="69">
        <v>0.84379983383317014</v>
      </c>
      <c r="CP22" s="69">
        <v>0.62011643531946947</v>
      </c>
      <c r="CQ22" s="69"/>
      <c r="CR22" s="69">
        <f t="shared" si="50"/>
        <v>-0.18576963996704876</v>
      </c>
      <c r="CS22" s="69">
        <f>'RD T1'!E282</f>
        <v>0.23588041619478797</v>
      </c>
      <c r="CT22" s="69">
        <f t="shared" si="51"/>
        <v>5.0110776227739212E-2</v>
      </c>
    </row>
    <row r="23" spans="1:98" x14ac:dyDescent="0.2">
      <c r="A23" s="10" t="str">
        <f>name!D19</f>
        <v>53 Skilled construction and building trades</v>
      </c>
      <c r="B23" s="69">
        <v>6.2078177196989263E-3</v>
      </c>
      <c r="C23" s="69">
        <v>3.8592994122753225E-3</v>
      </c>
      <c r="D23" s="69">
        <v>2.9716582092465162E-3</v>
      </c>
      <c r="E23" s="69">
        <v>4.7390473523984452E-3</v>
      </c>
      <c r="F23" s="69">
        <v>4.8820143539467509E-3</v>
      </c>
      <c r="G23" s="11"/>
      <c r="H23" s="69">
        <f t="shared" si="26"/>
        <v>1.9103561447002346E-3</v>
      </c>
      <c r="I23" s="69">
        <f>'RD T1'!E51</f>
        <v>2.1424617422354103E-3</v>
      </c>
      <c r="J23" s="69">
        <f t="shared" si="27"/>
        <v>4.0528178869356449E-3</v>
      </c>
      <c r="L23" t="str">
        <f t="shared" si="28"/>
        <v>53 Skilled construction and building trades</v>
      </c>
      <c r="M23" s="69">
        <v>0.10154884639689447</v>
      </c>
      <c r="N23" s="69">
        <v>0.10600804139859971</v>
      </c>
      <c r="O23" s="69">
        <v>8.5282642393508634E-2</v>
      </c>
      <c r="P23" s="69">
        <v>0.10898043529949342</v>
      </c>
      <c r="Q23" s="69">
        <v>0.13856746182881616</v>
      </c>
      <c r="R23" s="11"/>
      <c r="S23" s="69">
        <f t="shared" si="29"/>
        <v>5.3284819435307523E-2</v>
      </c>
      <c r="T23" s="69">
        <f>'RD T1'!E80</f>
        <v>5.6782453237793531E-2</v>
      </c>
      <c r="U23" s="69">
        <f t="shared" si="30"/>
        <v>0.11006727267310105</v>
      </c>
      <c r="W23" t="str">
        <f t="shared" si="31"/>
        <v>53 Skilled construction and building trades</v>
      </c>
      <c r="X23" s="69">
        <v>0.49089888252015268</v>
      </c>
      <c r="Y23" s="69">
        <v>0.3729038726859743</v>
      </c>
      <c r="Z23" s="69">
        <v>0.38558188758244538</v>
      </c>
      <c r="AA23" s="69">
        <v>0.43510409833261371</v>
      </c>
      <c r="AB23" s="69">
        <v>0.51406007542353016</v>
      </c>
      <c r="AC23" s="69"/>
      <c r="AD23" s="69">
        <f t="shared" si="32"/>
        <v>0.12847818784108478</v>
      </c>
      <c r="AE23" s="69">
        <f>'RD T1'!E109</f>
        <v>0.22735496322711854</v>
      </c>
      <c r="AF23" s="69">
        <f t="shared" si="33"/>
        <v>0.35583315106820335</v>
      </c>
      <c r="AH23" t="str">
        <f t="shared" si="34"/>
        <v>53 Skilled construction and building trades</v>
      </c>
      <c r="AI23" s="69">
        <v>0.27191399058820792</v>
      </c>
      <c r="AJ23" s="69">
        <v>0.24763547088122306</v>
      </c>
      <c r="AK23" s="69">
        <v>0.25252420502716877</v>
      </c>
      <c r="AL23" s="69">
        <v>0.28266017266005111</v>
      </c>
      <c r="AM23" s="69">
        <v>0.33718531063820867</v>
      </c>
      <c r="AN23" s="69"/>
      <c r="AO23" s="69">
        <f t="shared" si="35"/>
        <v>8.46611056110399E-2</v>
      </c>
      <c r="AP23" s="69">
        <f>'RD T1'!E138</f>
        <v>0.15457346333814864</v>
      </c>
      <c r="AQ23" s="69">
        <f t="shared" si="36"/>
        <v>0.23923456894918854</v>
      </c>
      <c r="AS23" t="str">
        <f t="shared" si="37"/>
        <v>53 Skilled construction and building trades</v>
      </c>
      <c r="AT23" s="69">
        <v>0.4774420964289372</v>
      </c>
      <c r="AU23" s="69">
        <v>0.40441550425640976</v>
      </c>
      <c r="AV23" s="69">
        <v>0.39787387065722157</v>
      </c>
      <c r="AW23" s="69">
        <v>0.44445795027698831</v>
      </c>
      <c r="AX23" s="69">
        <v>0.4972981607246989</v>
      </c>
      <c r="AY23" s="69"/>
      <c r="AZ23" s="69">
        <f t="shared" si="38"/>
        <v>9.9424290067477328E-2</v>
      </c>
      <c r="BA23" s="69">
        <f>'RD T1'!E167</f>
        <v>0.23117536758002852</v>
      </c>
      <c r="BB23" s="69">
        <f t="shared" si="39"/>
        <v>0.33059965764750587</v>
      </c>
      <c r="BD23" t="str">
        <f t="shared" si="40"/>
        <v>53 Skilled construction and building trades</v>
      </c>
      <c r="BE23" s="69">
        <v>5.0210475053076076</v>
      </c>
      <c r="BF23" s="69">
        <v>4.798813262056111</v>
      </c>
      <c r="BG23" s="69">
        <v>3.7934232585021608</v>
      </c>
      <c r="BH23" s="69">
        <v>3.6718057753876021</v>
      </c>
      <c r="BI23" s="69">
        <v>3.2046828856799934</v>
      </c>
      <c r="BJ23" s="69"/>
      <c r="BK23" s="69">
        <f t="shared" si="41"/>
        <v>-0.5887403728221674</v>
      </c>
      <c r="BL23" s="69">
        <f>'RD T1'!E196</f>
        <v>1.3262924216202781</v>
      </c>
      <c r="BM23" s="69">
        <f t="shared" si="42"/>
        <v>0.73755204879811065</v>
      </c>
      <c r="BO23" t="str">
        <f t="shared" si="43"/>
        <v>53 Skilled construction and building trades</v>
      </c>
      <c r="BP23" s="69">
        <v>4.4205551339845961</v>
      </c>
      <c r="BQ23" s="69">
        <v>4.4821160997945286</v>
      </c>
      <c r="BR23" s="69">
        <v>3.6022915746835626</v>
      </c>
      <c r="BS23" s="69">
        <v>3.5216911503438131</v>
      </c>
      <c r="BT23" s="69">
        <v>3.2082217410459344</v>
      </c>
      <c r="BU23" s="69"/>
      <c r="BV23" s="69">
        <f t="shared" si="44"/>
        <v>-0.39406983363762826</v>
      </c>
      <c r="BW23" s="69">
        <f>'RD T1'!E225</f>
        <v>1.4481686586651619</v>
      </c>
      <c r="BX23" s="69">
        <f t="shared" si="45"/>
        <v>1.0540988250275336</v>
      </c>
      <c r="BZ23" t="str">
        <f t="shared" si="46"/>
        <v>53 Skilled construction and building trades</v>
      </c>
      <c r="CA23" s="69">
        <v>2.5156241338597587</v>
      </c>
      <c r="CB23" s="69">
        <v>2.1785538233582762</v>
      </c>
      <c r="CC23" s="69">
        <v>1.8778341405325634</v>
      </c>
      <c r="CD23" s="69">
        <v>1.5710202906390434</v>
      </c>
      <c r="CE23" s="69">
        <v>1.0876958030393273</v>
      </c>
      <c r="CF23" s="69"/>
      <c r="CG23" s="69">
        <f t="shared" si="47"/>
        <v>-0.79013833749323603</v>
      </c>
      <c r="CH23" s="69">
        <f>'RD T1'!E254</f>
        <v>0.6084383595358146</v>
      </c>
      <c r="CI23" s="69">
        <f t="shared" si="48"/>
        <v>-0.18169997795742143</v>
      </c>
      <c r="CK23" t="str">
        <f t="shared" si="49"/>
        <v>53 Skilled construction and building trades</v>
      </c>
      <c r="CL23" s="69">
        <v>1.1682021342548763</v>
      </c>
      <c r="CM23" s="69">
        <v>1.0648086645380226</v>
      </c>
      <c r="CN23" s="69">
        <v>0.76749619767815502</v>
      </c>
      <c r="CO23" s="69">
        <v>0.68983274885124468</v>
      </c>
      <c r="CP23" s="69">
        <v>0.21815674997919779</v>
      </c>
      <c r="CQ23" s="69"/>
      <c r="CR23" s="69">
        <f t="shared" si="50"/>
        <v>-0.54933944769895726</v>
      </c>
      <c r="CS23" s="69">
        <f>'RD T1'!E283</f>
        <v>0.14803175067417396</v>
      </c>
      <c r="CT23" s="69">
        <f t="shared" si="51"/>
        <v>-0.40130769702478331</v>
      </c>
    </row>
    <row r="24" spans="1:98" x14ac:dyDescent="0.2">
      <c r="A24" s="10" t="str">
        <f>name!D20</f>
        <v>54 Textiles, printing and other skilled trades</v>
      </c>
      <c r="B24" s="69">
        <v>3.3017650282940125E-2</v>
      </c>
      <c r="C24" s="69">
        <v>3.498658938776316E-2</v>
      </c>
      <c r="D24" s="69">
        <v>3.0561953138294334E-2</v>
      </c>
      <c r="E24" s="69">
        <v>4.3509071017408689E-2</v>
      </c>
      <c r="F24" s="69">
        <v>6.04132788008854E-2</v>
      </c>
      <c r="G24" s="11"/>
      <c r="H24" s="69">
        <f t="shared" si="26"/>
        <v>2.9851325662591067E-2</v>
      </c>
      <c r="I24" s="69">
        <f>'RD T1'!E52</f>
        <v>2.0928455595235311E-2</v>
      </c>
      <c r="J24" s="69">
        <f t="shared" si="27"/>
        <v>5.0779781257826381E-2</v>
      </c>
      <c r="L24" t="str">
        <f t="shared" si="28"/>
        <v>54 Textiles, printing and other skilled trades</v>
      </c>
      <c r="M24" s="69">
        <v>0.26225258908662841</v>
      </c>
      <c r="N24" s="69">
        <v>0.37989090647342433</v>
      </c>
      <c r="O24" s="69">
        <v>0.30619860428837159</v>
      </c>
      <c r="P24" s="69">
        <v>0.3784598352675464</v>
      </c>
      <c r="Q24" s="69">
        <v>0.53116455673679508</v>
      </c>
      <c r="R24" s="11"/>
      <c r="S24" s="69">
        <f t="shared" si="29"/>
        <v>0.22496595244842349</v>
      </c>
      <c r="T24" s="69">
        <f>'RD T1'!E81</f>
        <v>0.20530338144422799</v>
      </c>
      <c r="U24" s="69">
        <f t="shared" si="30"/>
        <v>0.43026933389265148</v>
      </c>
      <c r="W24" t="str">
        <f t="shared" si="31"/>
        <v>54 Textiles, printing and other skilled trades</v>
      </c>
      <c r="X24" s="69">
        <v>0.71222062874441927</v>
      </c>
      <c r="Y24" s="69">
        <v>0.68048709849463895</v>
      </c>
      <c r="Z24" s="69">
        <v>0.66739997336749968</v>
      </c>
      <c r="AA24" s="69">
        <v>0.82002215872239004</v>
      </c>
      <c r="AB24" s="69">
        <v>1.057032418536145</v>
      </c>
      <c r="AC24" s="69"/>
      <c r="AD24" s="69">
        <f t="shared" si="32"/>
        <v>0.38963244516864537</v>
      </c>
      <c r="AE24" s="69">
        <f>'RD T1'!E110</f>
        <v>0.46968542569638655</v>
      </c>
      <c r="AF24" s="69">
        <f t="shared" si="33"/>
        <v>0.85931787086503197</v>
      </c>
      <c r="AH24" t="str">
        <f t="shared" si="34"/>
        <v>54 Textiles, printing and other skilled trades</v>
      </c>
      <c r="AI24" s="69">
        <v>0.33191504773495795</v>
      </c>
      <c r="AJ24" s="69">
        <v>0.29401131511430584</v>
      </c>
      <c r="AK24" s="69">
        <v>0.32292146397860699</v>
      </c>
      <c r="AL24" s="69">
        <v>0.36094454770403411</v>
      </c>
      <c r="AM24" s="69">
        <v>0.47379303418297392</v>
      </c>
      <c r="AN24" s="69"/>
      <c r="AO24" s="69">
        <f t="shared" si="35"/>
        <v>0.15087157020436692</v>
      </c>
      <c r="AP24" s="69">
        <f>'RD T1'!E139</f>
        <v>0.2083348835042452</v>
      </c>
      <c r="AQ24" s="69">
        <f t="shared" si="36"/>
        <v>0.35920645370861215</v>
      </c>
      <c r="AS24" t="str">
        <f t="shared" si="37"/>
        <v>54 Textiles, printing and other skilled trades</v>
      </c>
      <c r="AT24" s="69">
        <v>0.34467011033999473</v>
      </c>
      <c r="AU24" s="69">
        <v>0.3171435143175742</v>
      </c>
      <c r="AV24" s="69">
        <v>0.32201856620635472</v>
      </c>
      <c r="AW24" s="69">
        <v>0.37748611570127949</v>
      </c>
      <c r="AX24" s="69">
        <v>0.46953804147861999</v>
      </c>
      <c r="AY24" s="69"/>
      <c r="AZ24" s="69">
        <f t="shared" si="38"/>
        <v>0.14751947527226528</v>
      </c>
      <c r="BA24" s="69">
        <f>'RD T1'!E168</f>
        <v>0.21477192524200439</v>
      </c>
      <c r="BB24" s="69">
        <f t="shared" si="39"/>
        <v>0.36229140051426967</v>
      </c>
      <c r="BD24" t="str">
        <f t="shared" si="40"/>
        <v>54 Textiles, printing and other skilled trades</v>
      </c>
      <c r="BE24" s="69">
        <v>2.3008589562019952</v>
      </c>
      <c r="BF24" s="69">
        <v>2.1044925345213832</v>
      </c>
      <c r="BG24" s="69">
        <v>1.9874115724300216</v>
      </c>
      <c r="BH24" s="69">
        <v>2.0629428039243116</v>
      </c>
      <c r="BI24" s="69">
        <v>1.9518924912999016</v>
      </c>
      <c r="BJ24" s="69"/>
      <c r="BK24" s="69">
        <f t="shared" si="41"/>
        <v>-3.5519081130120034E-2</v>
      </c>
      <c r="BL24" s="69">
        <f>'RD T1'!E197</f>
        <v>0.84068086122491859</v>
      </c>
      <c r="BM24" s="69">
        <f t="shared" si="42"/>
        <v>0.80516178009479855</v>
      </c>
      <c r="BO24" t="str">
        <f t="shared" si="43"/>
        <v>54 Textiles, printing and other skilled trades</v>
      </c>
      <c r="BP24" s="69">
        <v>3.1620229617162119</v>
      </c>
      <c r="BQ24" s="69">
        <v>2.5697316656732618</v>
      </c>
      <c r="BR24" s="69">
        <v>2.4730116880845285</v>
      </c>
      <c r="BS24" s="69">
        <v>2.2584324248537389</v>
      </c>
      <c r="BT24" s="69">
        <v>1.8477178322174537</v>
      </c>
      <c r="BU24" s="69"/>
      <c r="BV24" s="69">
        <f t="shared" si="44"/>
        <v>-0.62529385586707487</v>
      </c>
      <c r="BW24" s="69">
        <f>'RD T1'!E226</f>
        <v>0.83334860471837446</v>
      </c>
      <c r="BX24" s="69">
        <f t="shared" si="45"/>
        <v>0.2080547488512996</v>
      </c>
      <c r="BZ24" t="str">
        <f t="shared" si="46"/>
        <v>54 Textiles, printing and other skilled trades</v>
      </c>
      <c r="CA24" s="69">
        <v>2.8338876494332732</v>
      </c>
      <c r="CB24" s="69">
        <v>2.1664743684969059</v>
      </c>
      <c r="CC24" s="69">
        <v>2.2278499704829202</v>
      </c>
      <c r="CD24" s="69">
        <v>2.1614829473182025</v>
      </c>
      <c r="CE24" s="69">
        <v>1.632054811919835</v>
      </c>
      <c r="CF24" s="69"/>
      <c r="CG24" s="69">
        <f t="shared" si="47"/>
        <v>-0.59579515856308518</v>
      </c>
      <c r="CH24" s="69">
        <f>'RD T1'!E255</f>
        <v>0.73094775223590625</v>
      </c>
      <c r="CI24" s="69">
        <f t="shared" si="48"/>
        <v>0.13515259367282106</v>
      </c>
      <c r="CK24" t="str">
        <f t="shared" si="49"/>
        <v>54 Textiles, printing and other skilled trades</v>
      </c>
      <c r="CL24" s="69">
        <v>0.99409244785924555</v>
      </c>
      <c r="CM24" s="69">
        <v>0.80830681663000359</v>
      </c>
      <c r="CN24" s="69">
        <v>0.72128503851836634</v>
      </c>
      <c r="CO24" s="69">
        <v>0.60394075655400936</v>
      </c>
      <c r="CP24" s="69">
        <v>0.3640049365065211</v>
      </c>
      <c r="CQ24" s="69"/>
      <c r="CR24" s="69">
        <f t="shared" si="50"/>
        <v>-0.35728010201184524</v>
      </c>
      <c r="CS24" s="69">
        <f>'RD T1'!E284</f>
        <v>0.16458399133881862</v>
      </c>
      <c r="CT24" s="69">
        <f t="shared" si="51"/>
        <v>-0.19269611067302661</v>
      </c>
    </row>
    <row r="25" spans="1:98" x14ac:dyDescent="0.2">
      <c r="A25" s="10" t="str">
        <f>name!D21</f>
        <v>61 Caring personal service occupations</v>
      </c>
      <c r="B25" s="69">
        <v>2.6944374870070623E-2</v>
      </c>
      <c r="C25" s="69">
        <v>3.4667394775593684E-2</v>
      </c>
      <c r="D25" s="69">
        <v>2.7953604330419924E-2</v>
      </c>
      <c r="E25" s="69">
        <v>4.016198555533837E-2</v>
      </c>
      <c r="F25" s="69">
        <v>5.8395102922470438E-2</v>
      </c>
      <c r="G25" s="11"/>
      <c r="H25" s="69">
        <f t="shared" si="26"/>
        <v>3.0441498592050514E-2</v>
      </c>
      <c r="I25" s="69">
        <f>'RD T1'!E53</f>
        <v>2.2618629826166217E-2</v>
      </c>
      <c r="J25" s="69">
        <f t="shared" si="27"/>
        <v>5.306012841821673E-2</v>
      </c>
      <c r="L25" t="str">
        <f t="shared" si="28"/>
        <v>61 Caring personal service occupations</v>
      </c>
      <c r="M25" s="69">
        <v>1.3250714964286245</v>
      </c>
      <c r="N25" s="69">
        <v>1.936339258902976</v>
      </c>
      <c r="O25" s="69">
        <v>1.5797656335175001</v>
      </c>
      <c r="P25" s="69">
        <v>2.2084104452610358</v>
      </c>
      <c r="Q25" s="69">
        <v>3.1785659977111158</v>
      </c>
      <c r="R25" s="11"/>
      <c r="S25" s="69">
        <f t="shared" si="29"/>
        <v>1.5988003641936157</v>
      </c>
      <c r="T25" s="69">
        <f>'RD T1'!E82</f>
        <v>1.2936620210528353</v>
      </c>
      <c r="U25" s="69">
        <f t="shared" si="30"/>
        <v>2.8924623852464508</v>
      </c>
      <c r="W25" t="str">
        <f t="shared" si="31"/>
        <v>61 Caring personal service occupations</v>
      </c>
      <c r="X25" s="69">
        <v>4.8530920733773222</v>
      </c>
      <c r="Y25" s="69">
        <v>5.4123415760011229</v>
      </c>
      <c r="Z25" s="69">
        <v>5.3224859142201293</v>
      </c>
      <c r="AA25" s="69">
        <v>6.4984091775936346</v>
      </c>
      <c r="AB25" s="69">
        <v>8.5021762961630731</v>
      </c>
      <c r="AC25" s="69"/>
      <c r="AD25" s="69">
        <f t="shared" si="32"/>
        <v>3.1796903819429438</v>
      </c>
      <c r="AE25" s="69">
        <f>'RD T1'!E111</f>
        <v>4.6293017826370022</v>
      </c>
      <c r="AF25" s="69">
        <f t="shared" si="33"/>
        <v>7.808992164579946</v>
      </c>
      <c r="AH25" t="str">
        <f t="shared" si="34"/>
        <v>61 Caring personal service occupations</v>
      </c>
      <c r="AI25" s="69">
        <v>4.3611092368019495</v>
      </c>
      <c r="AJ25" s="69">
        <v>4.2744480965346643</v>
      </c>
      <c r="AK25" s="69">
        <v>4.1144436033435809</v>
      </c>
      <c r="AL25" s="69">
        <v>4.2936610365379444</v>
      </c>
      <c r="AM25" s="69">
        <v>4.6566555182853131</v>
      </c>
      <c r="AN25" s="69"/>
      <c r="AO25" s="69">
        <f t="shared" si="35"/>
        <v>0.54221191494173215</v>
      </c>
      <c r="AP25" s="69">
        <f>'RD T1'!E140</f>
        <v>2.5829592258496121</v>
      </c>
      <c r="AQ25" s="69">
        <f t="shared" si="36"/>
        <v>3.1251711407913443</v>
      </c>
      <c r="AS25" t="str">
        <f t="shared" si="37"/>
        <v>61 Caring personal service occupations</v>
      </c>
      <c r="AT25" s="69">
        <v>2.2990527107694527</v>
      </c>
      <c r="AU25" s="69">
        <v>2.5075283986047592</v>
      </c>
      <c r="AV25" s="69">
        <v>2.3812856909302922</v>
      </c>
      <c r="AW25" s="69">
        <v>2.5606107562466449</v>
      </c>
      <c r="AX25" s="69">
        <v>2.9582466693610492</v>
      </c>
      <c r="AY25" s="69"/>
      <c r="AZ25" s="69">
        <f t="shared" si="38"/>
        <v>0.576960978430757</v>
      </c>
      <c r="BA25" s="69">
        <f>'RD T1'!E169</f>
        <v>1.5784763447865107</v>
      </c>
      <c r="BB25" s="69">
        <f t="shared" si="39"/>
        <v>2.1554373232172677</v>
      </c>
      <c r="BD25" t="str">
        <f t="shared" si="40"/>
        <v>61 Caring personal service occupations</v>
      </c>
      <c r="BE25" s="69">
        <v>14.393289807248594</v>
      </c>
      <c r="BF25" s="69">
        <v>16.187420767604884</v>
      </c>
      <c r="BG25" s="69">
        <v>16.298747255851165</v>
      </c>
      <c r="BH25" s="69">
        <v>17.100741293556954</v>
      </c>
      <c r="BI25" s="69">
        <v>19.112063200436204</v>
      </c>
      <c r="BJ25" s="69"/>
      <c r="BK25" s="69">
        <f t="shared" si="41"/>
        <v>2.8133159445850389</v>
      </c>
      <c r="BL25" s="69">
        <f>'RD T1'!E198</f>
        <v>9.6560197722676584</v>
      </c>
      <c r="BM25" s="69">
        <f t="shared" si="42"/>
        <v>12.469335716852697</v>
      </c>
      <c r="BO25" t="str">
        <f t="shared" si="43"/>
        <v>61 Caring personal service occupations</v>
      </c>
      <c r="BP25" s="69">
        <v>12.40288383635532</v>
      </c>
      <c r="BQ25" s="69">
        <v>12.078673426657769</v>
      </c>
      <c r="BR25" s="69">
        <v>11.452557361223693</v>
      </c>
      <c r="BS25" s="69">
        <v>10.440204728616491</v>
      </c>
      <c r="BT25" s="69">
        <v>8.029889151023335</v>
      </c>
      <c r="BU25" s="69"/>
      <c r="BV25" s="69">
        <f t="shared" si="44"/>
        <v>-3.4226682102003583</v>
      </c>
      <c r="BW25" s="69">
        <f>'RD T1'!E227</f>
        <v>5.0037315983224069</v>
      </c>
      <c r="BX25" s="69">
        <f t="shared" si="45"/>
        <v>1.5810633881220486</v>
      </c>
      <c r="BZ25" t="str">
        <f t="shared" si="46"/>
        <v>61 Caring personal service occupations</v>
      </c>
      <c r="CA25" s="69">
        <v>3.9693707871765245</v>
      </c>
      <c r="CB25" s="69">
        <v>1.8642913549163218</v>
      </c>
      <c r="CC25" s="69">
        <v>1.7639788276190278</v>
      </c>
      <c r="CD25" s="69">
        <v>1.2081049150568484</v>
      </c>
      <c r="CE25" s="69">
        <v>0.86194475934348846</v>
      </c>
      <c r="CF25" s="69"/>
      <c r="CG25" s="69">
        <f t="shared" si="47"/>
        <v>-0.90203406827553934</v>
      </c>
      <c r="CH25" s="69">
        <f>'RD T1'!E256</f>
        <v>0.39263712880689411</v>
      </c>
      <c r="CI25" s="69">
        <f t="shared" si="48"/>
        <v>-0.50939693946864528</v>
      </c>
      <c r="CK25" t="str">
        <f t="shared" si="49"/>
        <v>61 Caring personal service occupations</v>
      </c>
      <c r="CL25" s="69">
        <v>0.43746510909492115</v>
      </c>
      <c r="CM25" s="69">
        <v>0.4022549544380295</v>
      </c>
      <c r="CN25" s="69">
        <v>0.35576059852997477</v>
      </c>
      <c r="CO25" s="69">
        <v>0.4965233746889281</v>
      </c>
      <c r="CP25" s="69">
        <v>0.55240333167130395</v>
      </c>
      <c r="CQ25" s="69"/>
      <c r="CR25" s="69">
        <f t="shared" si="50"/>
        <v>0.19664273314132918</v>
      </c>
      <c r="CS25" s="69">
        <f>'RD T1'!E285</f>
        <v>0.14721216640530202</v>
      </c>
      <c r="CT25" s="69">
        <f t="shared" si="51"/>
        <v>0.34385489954663118</v>
      </c>
    </row>
    <row r="26" spans="1:98" x14ac:dyDescent="0.2">
      <c r="A26" s="10" t="str">
        <f>name!D22</f>
        <v>62 Leisure, travel and related personal service occupations</v>
      </c>
      <c r="B26" s="69">
        <v>9.0403540085300139E-3</v>
      </c>
      <c r="C26" s="69">
        <v>1.6777550306444126E-2</v>
      </c>
      <c r="D26" s="69">
        <v>1.0603118405203848E-2</v>
      </c>
      <c r="E26" s="69">
        <v>1.3929696647366964E-2</v>
      </c>
      <c r="F26" s="69">
        <v>2.2173363896481803E-2</v>
      </c>
      <c r="G26" s="11"/>
      <c r="H26" s="69">
        <f t="shared" si="26"/>
        <v>1.1570245491277956E-2</v>
      </c>
      <c r="I26" s="69">
        <f>'RD T1'!E54</f>
        <v>7.8604336700473145E-3</v>
      </c>
      <c r="J26" s="69">
        <f t="shared" si="27"/>
        <v>1.9430679161325272E-2</v>
      </c>
      <c r="L26" t="str">
        <f t="shared" si="28"/>
        <v>62 Leisure, travel and related personal service occupations</v>
      </c>
      <c r="M26" s="69">
        <v>0.19015785741688102</v>
      </c>
      <c r="N26" s="69">
        <v>0.3411672687442362</v>
      </c>
      <c r="O26" s="69">
        <v>0.25670922694022624</v>
      </c>
      <c r="P26" s="69">
        <v>0.29240124565332515</v>
      </c>
      <c r="Q26" s="69">
        <v>0.39249099456072412</v>
      </c>
      <c r="R26" s="11"/>
      <c r="S26" s="69">
        <f t="shared" si="29"/>
        <v>0.13578176762049787</v>
      </c>
      <c r="T26" s="69">
        <f>'RD T1'!E83</f>
        <v>0.15419383481543555</v>
      </c>
      <c r="U26" s="69">
        <f t="shared" si="30"/>
        <v>0.28997560243593345</v>
      </c>
      <c r="W26" t="str">
        <f t="shared" si="31"/>
        <v>62 Leisure, travel and related personal service occupations</v>
      </c>
      <c r="X26" s="69">
        <v>0.87441614599607664</v>
      </c>
      <c r="Y26" s="69">
        <v>1.2131817429304335</v>
      </c>
      <c r="Z26" s="69">
        <v>1.2053866296179285</v>
      </c>
      <c r="AA26" s="69">
        <v>1.3930928145730599</v>
      </c>
      <c r="AB26" s="69">
        <v>1.9709702231322639</v>
      </c>
      <c r="AC26" s="69"/>
      <c r="AD26" s="69">
        <f t="shared" si="32"/>
        <v>0.76558359351433536</v>
      </c>
      <c r="AE26" s="69">
        <f>'RD T1'!E112</f>
        <v>0.97160256045896376</v>
      </c>
      <c r="AF26" s="69">
        <f t="shared" si="33"/>
        <v>1.7371861539732991</v>
      </c>
      <c r="AH26" t="str">
        <f t="shared" si="34"/>
        <v>62 Leisure, travel and related personal service occupations</v>
      </c>
      <c r="AI26" s="69">
        <v>0.58008595215412517</v>
      </c>
      <c r="AJ26" s="69">
        <v>0.85122411384327856</v>
      </c>
      <c r="AK26" s="69">
        <v>0.83143641497391674</v>
      </c>
      <c r="AL26" s="69">
        <v>0.88972410374263666</v>
      </c>
      <c r="AM26" s="69">
        <v>1.2444964117358273</v>
      </c>
      <c r="AN26" s="69"/>
      <c r="AO26" s="69">
        <f t="shared" si="35"/>
        <v>0.41305999676191052</v>
      </c>
      <c r="AP26" s="69">
        <f>'RD T1'!E141</f>
        <v>0.60996649597734975</v>
      </c>
      <c r="AQ26" s="69">
        <f t="shared" si="36"/>
        <v>1.0230264927392603</v>
      </c>
      <c r="AS26" t="str">
        <f t="shared" si="37"/>
        <v>62 Leisure, travel and related personal service occupations</v>
      </c>
      <c r="AT26" s="69">
        <v>0.65259564262787573</v>
      </c>
      <c r="AU26" s="69">
        <v>0.968747625268639</v>
      </c>
      <c r="AV26" s="69">
        <v>1.064033943304717</v>
      </c>
      <c r="AW26" s="69">
        <v>1.1564584260818669</v>
      </c>
      <c r="AX26" s="69">
        <v>1.7241903604050091</v>
      </c>
      <c r="AY26" s="69"/>
      <c r="AZ26" s="69">
        <f t="shared" si="38"/>
        <v>0.66015641710029205</v>
      </c>
      <c r="BA26" s="69">
        <f>'RD T1'!E170</f>
        <v>0.82664898637427187</v>
      </c>
      <c r="BB26" s="69">
        <f t="shared" si="39"/>
        <v>1.4868054034745639</v>
      </c>
      <c r="BD26" t="str">
        <f t="shared" si="40"/>
        <v>62 Leisure, travel and related personal service occupations</v>
      </c>
      <c r="BE26" s="69">
        <v>2.6495379443377489</v>
      </c>
      <c r="BF26" s="69">
        <v>3.4587620341633794</v>
      </c>
      <c r="BG26" s="69">
        <v>3.4157720179335165</v>
      </c>
      <c r="BH26" s="69">
        <v>2.9356771878286363</v>
      </c>
      <c r="BI26" s="69">
        <v>2.7137897948452001</v>
      </c>
      <c r="BJ26" s="69"/>
      <c r="BK26" s="69">
        <f t="shared" si="41"/>
        <v>-0.70198222308831637</v>
      </c>
      <c r="BL26" s="69">
        <f>'RD T1'!E199</f>
        <v>1.3034232694784591</v>
      </c>
      <c r="BM26" s="69">
        <f t="shared" si="42"/>
        <v>0.60144104639014273</v>
      </c>
      <c r="BO26" t="str">
        <f t="shared" si="43"/>
        <v>62 Leisure, travel and related personal service occupations</v>
      </c>
      <c r="BP26" s="69">
        <v>2.9121092022148174</v>
      </c>
      <c r="BQ26" s="69">
        <v>3.6048647791147519</v>
      </c>
      <c r="BR26" s="69">
        <v>3.442681394748162</v>
      </c>
      <c r="BS26" s="69">
        <v>2.6834448091767489</v>
      </c>
      <c r="BT26" s="69">
        <v>2.0939993130372025</v>
      </c>
      <c r="BU26" s="69"/>
      <c r="BV26" s="69">
        <f t="shared" si="44"/>
        <v>-1.3486820817109595</v>
      </c>
      <c r="BW26" s="69">
        <f>'RD T1'!E228</f>
        <v>1.2551188832310785</v>
      </c>
      <c r="BX26" s="69">
        <f t="shared" si="45"/>
        <v>-9.3563198479881038E-2</v>
      </c>
      <c r="BZ26" t="str">
        <f t="shared" si="46"/>
        <v>62 Leisure, travel and related personal service occupations</v>
      </c>
      <c r="CA26" s="69">
        <v>2.1269636926698197</v>
      </c>
      <c r="CB26" s="69">
        <v>2.3343263248707511</v>
      </c>
      <c r="CC26" s="69">
        <v>2.2755612825461231</v>
      </c>
      <c r="CD26" s="69">
        <v>2.2329505113550616</v>
      </c>
      <c r="CE26" s="69">
        <v>1.696236008713768</v>
      </c>
      <c r="CF26" s="69"/>
      <c r="CG26" s="69">
        <f t="shared" si="47"/>
        <v>-0.5793252738323551</v>
      </c>
      <c r="CH26" s="69">
        <f>'RD T1'!E257</f>
        <v>0.84899287189075545</v>
      </c>
      <c r="CI26" s="69">
        <f t="shared" si="48"/>
        <v>0.26966759805840035</v>
      </c>
      <c r="CK26" t="str">
        <f t="shared" si="49"/>
        <v>62 Leisure, travel and related personal service occupations</v>
      </c>
      <c r="CL26" s="69">
        <v>0.6232215748419927</v>
      </c>
      <c r="CM26" s="69">
        <v>0.62294670558957133</v>
      </c>
      <c r="CN26" s="69">
        <v>0.49276766034611624</v>
      </c>
      <c r="CO26" s="69">
        <v>0.36960845862121577</v>
      </c>
      <c r="CP26" s="69">
        <v>0.18466484099635128</v>
      </c>
      <c r="CQ26" s="69"/>
      <c r="CR26" s="69">
        <f t="shared" si="50"/>
        <v>-0.30810281934976497</v>
      </c>
      <c r="CS26" s="69">
        <f>'RD T1'!E286</f>
        <v>0.10133287735864165</v>
      </c>
      <c r="CT26" s="69">
        <f t="shared" si="51"/>
        <v>-0.20676994199112331</v>
      </c>
    </row>
    <row r="27" spans="1:98" x14ac:dyDescent="0.2">
      <c r="A27" s="10" t="str">
        <f>name!D23</f>
        <v>63 Community and civil enforcement occupations</v>
      </c>
      <c r="B27" s="69">
        <v>1.0714327003073082E-3</v>
      </c>
      <c r="C27" s="69">
        <v>1.5112389439569248E-3</v>
      </c>
      <c r="D27" s="69">
        <v>1.1601351558866127E-3</v>
      </c>
      <c r="E27" s="69">
        <v>1.6939608176143436E-3</v>
      </c>
      <c r="F27" s="69">
        <v>2.3867702958965103E-3</v>
      </c>
      <c r="G27" s="11"/>
      <c r="H27" s="69">
        <f t="shared" si="26"/>
        <v>1.2266351400098976E-3</v>
      </c>
      <c r="I27" s="69">
        <f>'RD T1'!E55</f>
        <v>9.7510724732304118E-4</v>
      </c>
      <c r="J27" s="69">
        <f t="shared" si="27"/>
        <v>2.2017423873329387E-3</v>
      </c>
      <c r="L27" t="str">
        <f t="shared" si="28"/>
        <v>63 Community and civil enforcement occupations</v>
      </c>
      <c r="M27" s="69">
        <v>1.4930661705762741E-2</v>
      </c>
      <c r="N27" s="69">
        <v>1.6044990399967717E-2</v>
      </c>
      <c r="O27" s="69">
        <v>1.7131487405293057E-2</v>
      </c>
      <c r="P27" s="69">
        <v>1.8276929587823704E-2</v>
      </c>
      <c r="Q27" s="69">
        <v>2.7662666344143386E-2</v>
      </c>
      <c r="R27" s="11"/>
      <c r="S27" s="69">
        <f t="shared" si="29"/>
        <v>1.0531178938850329E-2</v>
      </c>
      <c r="T27" s="69">
        <f>'RD T1'!E84</f>
        <v>1.0484168222637646E-2</v>
      </c>
      <c r="U27" s="69">
        <f t="shared" si="30"/>
        <v>2.1015347161487976E-2</v>
      </c>
      <c r="W27" t="str">
        <f t="shared" si="31"/>
        <v>63 Community and civil enforcement occupations</v>
      </c>
      <c r="X27" s="69">
        <v>7.4595616769071116E-2</v>
      </c>
      <c r="Y27" s="69">
        <v>7.0989540154963324E-2</v>
      </c>
      <c r="Z27" s="69">
        <v>8.3294572968285283E-2</v>
      </c>
      <c r="AA27" s="69">
        <v>8.5539875529817122E-2</v>
      </c>
      <c r="AB27" s="69">
        <v>0.11647289605082468</v>
      </c>
      <c r="AC27" s="69"/>
      <c r="AD27" s="69">
        <f t="shared" si="32"/>
        <v>3.3178323082539402E-2</v>
      </c>
      <c r="AE27" s="69">
        <f>'RD T1'!E113</f>
        <v>5.7039292990951326E-2</v>
      </c>
      <c r="AF27" s="69">
        <f t="shared" si="33"/>
        <v>9.0217616073490728E-2</v>
      </c>
      <c r="AH27" t="str">
        <f t="shared" si="34"/>
        <v>63 Community and civil enforcement occupations</v>
      </c>
      <c r="AI27" s="69">
        <v>2.1563436676427159E-2</v>
      </c>
      <c r="AJ27" s="69">
        <v>1.832843795810141E-2</v>
      </c>
      <c r="AK27" s="69">
        <v>2.5958509676105728E-2</v>
      </c>
      <c r="AL27" s="69">
        <v>2.1521595886164657E-2</v>
      </c>
      <c r="AM27" s="69">
        <v>2.9182005297270667E-2</v>
      </c>
      <c r="AN27" s="69"/>
      <c r="AO27" s="69">
        <f t="shared" si="35"/>
        <v>3.2234956211649388E-3</v>
      </c>
      <c r="AP27" s="69">
        <f>'RD T1'!E142</f>
        <v>1.3192577790429915E-2</v>
      </c>
      <c r="AQ27" s="69">
        <f t="shared" si="36"/>
        <v>1.6416073411594852E-2</v>
      </c>
      <c r="AS27" t="str">
        <f t="shared" si="37"/>
        <v>63 Community and civil enforcement occupations</v>
      </c>
      <c r="AT27" s="69">
        <v>2.1941192890726529E-2</v>
      </c>
      <c r="AU27" s="69">
        <v>1.7207818768529861E-2</v>
      </c>
      <c r="AV27" s="69">
        <v>2.2476763454542713E-2</v>
      </c>
      <c r="AW27" s="69">
        <v>1.6786093452907862E-2</v>
      </c>
      <c r="AX27" s="69">
        <v>1.9432646692547306E-2</v>
      </c>
      <c r="AY27" s="69"/>
      <c r="AZ27" s="69">
        <f t="shared" si="38"/>
        <v>-3.0441167619954072E-3</v>
      </c>
      <c r="BA27" s="69">
        <f>'RD T1'!E171</f>
        <v>1.0241695206466736E-2</v>
      </c>
      <c r="BB27" s="69">
        <f t="shared" si="39"/>
        <v>7.1975784444713291E-3</v>
      </c>
      <c r="BD27" t="str">
        <f t="shared" si="40"/>
        <v>63 Community and civil enforcement occupations</v>
      </c>
      <c r="BE27" s="69">
        <v>0.10447654820522613</v>
      </c>
      <c r="BF27" s="69">
        <v>7.9057599129116252E-2</v>
      </c>
      <c r="BG27" s="69">
        <v>0.10350418259535203</v>
      </c>
      <c r="BH27" s="69">
        <v>7.2513080681505998E-2</v>
      </c>
      <c r="BI27" s="69">
        <v>9.079739796249145E-2</v>
      </c>
      <c r="BJ27" s="69"/>
      <c r="BK27" s="69">
        <f t="shared" si="41"/>
        <v>-1.2706784632860582E-2</v>
      </c>
      <c r="BL27" s="69">
        <f>'RD T1'!E200</f>
        <v>2.9375416599300493E-2</v>
      </c>
      <c r="BM27" s="69">
        <f t="shared" si="42"/>
        <v>1.666863196643991E-2</v>
      </c>
      <c r="BO27" t="str">
        <f t="shared" si="43"/>
        <v>63 Community and civil enforcement occupations</v>
      </c>
      <c r="BP27" s="69">
        <v>0.14031201368792512</v>
      </c>
      <c r="BQ27" s="69">
        <v>0.11818927194025813</v>
      </c>
      <c r="BR27" s="69">
        <v>0.14612243505159064</v>
      </c>
      <c r="BS27" s="69">
        <v>0.10539362509566652</v>
      </c>
      <c r="BT27" s="69">
        <v>0.1095657847214426</v>
      </c>
      <c r="BU27" s="69"/>
      <c r="BV27" s="69">
        <f t="shared" si="44"/>
        <v>-3.6556650330148044E-2</v>
      </c>
      <c r="BW27" s="69">
        <f>'RD T1'!E229</f>
        <v>4.5600175066160133E-2</v>
      </c>
      <c r="BX27" s="69">
        <f t="shared" si="45"/>
        <v>9.0435247360120888E-3</v>
      </c>
      <c r="BZ27" t="str">
        <f t="shared" si="46"/>
        <v>63 Community and civil enforcement occupations</v>
      </c>
      <c r="CA27" s="69">
        <v>0.12101565742431704</v>
      </c>
      <c r="CB27" s="69">
        <v>9.3623315945798702E-2</v>
      </c>
      <c r="CC27" s="69">
        <v>0.1275508265654661</v>
      </c>
      <c r="CD27" s="69">
        <v>8.8162461559999739E-2</v>
      </c>
      <c r="CE27" s="69">
        <v>6.9386470765148506E-2</v>
      </c>
      <c r="CF27" s="69"/>
      <c r="CG27" s="69">
        <f t="shared" si="47"/>
        <v>-5.8164355800317591E-2</v>
      </c>
      <c r="CH27" s="69">
        <f>'RD T1'!E258</f>
        <v>3.392990912478816E-2</v>
      </c>
      <c r="CI27" s="69">
        <f t="shared" si="48"/>
        <v>-2.4234446675529431E-2</v>
      </c>
      <c r="CK27" t="str">
        <f t="shared" si="49"/>
        <v>63 Community and civil enforcement occupations</v>
      </c>
      <c r="CL27" s="69">
        <v>3.4860448473481971E-2</v>
      </c>
      <c r="CM27" s="69">
        <v>2.3239520211133034E-2</v>
      </c>
      <c r="CN27" s="69">
        <v>2.7368929434454691E-2</v>
      </c>
      <c r="CO27" s="69">
        <v>1.3575910458444588E-2</v>
      </c>
      <c r="CP27" s="69">
        <v>9.4082406101108872E-3</v>
      </c>
      <c r="CQ27" s="69"/>
      <c r="CR27" s="69">
        <f t="shared" si="50"/>
        <v>-1.7960688824343804E-2</v>
      </c>
      <c r="CS27" s="69">
        <f>'RD T1'!E287</f>
        <v>3.4289579163313266E-3</v>
      </c>
      <c r="CT27" s="69">
        <f t="shared" si="51"/>
        <v>-1.4531730908012477E-2</v>
      </c>
    </row>
    <row r="28" spans="1:98" x14ac:dyDescent="0.2">
      <c r="A28" s="10" t="str">
        <f>name!D24</f>
        <v>71 Sales occupations</v>
      </c>
      <c r="B28" s="69">
        <v>6.4806577335044968E-2</v>
      </c>
      <c r="C28" s="69">
        <v>8.259526323061081E-2</v>
      </c>
      <c r="D28" s="69">
        <v>5.8241852536194849E-2</v>
      </c>
      <c r="E28" s="69">
        <v>7.0341292092787555E-2</v>
      </c>
      <c r="F28" s="69">
        <v>9.1812022630362408E-2</v>
      </c>
      <c r="G28" s="11"/>
      <c r="H28" s="69">
        <f t="shared" si="26"/>
        <v>3.3570170094167559E-2</v>
      </c>
      <c r="I28" s="69">
        <f>'RD T1'!E56</f>
        <v>3.2316950021191032E-2</v>
      </c>
      <c r="J28" s="69">
        <f t="shared" si="27"/>
        <v>6.5887120115358591E-2</v>
      </c>
      <c r="L28" t="str">
        <f t="shared" si="28"/>
        <v>71 Sales occupations</v>
      </c>
      <c r="M28" s="69">
        <v>0.86756624850238739</v>
      </c>
      <c r="N28" s="69">
        <v>1.0831231789106042</v>
      </c>
      <c r="O28" s="69">
        <v>0.93949261501268089</v>
      </c>
      <c r="P28" s="69">
        <v>1.2008889036415669</v>
      </c>
      <c r="Q28" s="69">
        <v>1.8192090923331956</v>
      </c>
      <c r="R28" s="11"/>
      <c r="S28" s="69">
        <f t="shared" si="29"/>
        <v>0.87971647732051472</v>
      </c>
      <c r="T28" s="69">
        <f>'RD T1'!E85</f>
        <v>0.60984844321920406</v>
      </c>
      <c r="U28" s="69">
        <f t="shared" si="30"/>
        <v>1.4895649205397188</v>
      </c>
      <c r="W28" t="str">
        <f t="shared" si="31"/>
        <v>71 Sales occupations</v>
      </c>
      <c r="X28" s="69">
        <v>3.9884528161506618</v>
      </c>
      <c r="Y28" s="69">
        <v>3.9346652606122934</v>
      </c>
      <c r="Z28" s="69">
        <v>4.2115081769632043</v>
      </c>
      <c r="AA28" s="69">
        <v>4.7874163376336618</v>
      </c>
      <c r="AB28" s="69">
        <v>6.6535725286105301</v>
      </c>
      <c r="AC28" s="69"/>
      <c r="AD28" s="69">
        <f t="shared" si="32"/>
        <v>2.4420643516473257</v>
      </c>
      <c r="AE28" s="69">
        <f>'RD T1'!E114</f>
        <v>2.9628745127957923</v>
      </c>
      <c r="AF28" s="69">
        <f t="shared" si="33"/>
        <v>5.4049388644431176</v>
      </c>
      <c r="AH28" t="str">
        <f t="shared" si="34"/>
        <v>71 Sales occupations</v>
      </c>
      <c r="AI28" s="69">
        <v>1.4511121934784907</v>
      </c>
      <c r="AJ28" s="69">
        <v>1.4411912995290692</v>
      </c>
      <c r="AK28" s="69">
        <v>1.4819171964666784</v>
      </c>
      <c r="AL28" s="69">
        <v>1.5974304384623028</v>
      </c>
      <c r="AM28" s="69">
        <v>2.2317074422654626</v>
      </c>
      <c r="AN28" s="69"/>
      <c r="AO28" s="69">
        <f t="shared" si="35"/>
        <v>0.74979024579878417</v>
      </c>
      <c r="AP28" s="69">
        <f>'RD T1'!E143</f>
        <v>1.0397342275866692</v>
      </c>
      <c r="AQ28" s="69">
        <f t="shared" si="36"/>
        <v>1.7895244733854534</v>
      </c>
      <c r="AS28" t="str">
        <f t="shared" si="37"/>
        <v>71 Sales occupations</v>
      </c>
      <c r="AT28" s="69">
        <v>1.236005723598413</v>
      </c>
      <c r="AU28" s="69">
        <v>1.1415832387233273</v>
      </c>
      <c r="AV28" s="69">
        <v>1.2419516963398636</v>
      </c>
      <c r="AW28" s="69">
        <v>1.2643915234775138</v>
      </c>
      <c r="AX28" s="69">
        <v>1.6314296988754229</v>
      </c>
      <c r="AY28" s="69"/>
      <c r="AZ28" s="69">
        <f t="shared" si="38"/>
        <v>0.38947800253555931</v>
      </c>
      <c r="BA28" s="69">
        <f>'RD T1'!E172</f>
        <v>0.65697289051193575</v>
      </c>
      <c r="BB28" s="69">
        <f t="shared" si="39"/>
        <v>1.0464508930474952</v>
      </c>
      <c r="BD28" t="str">
        <f t="shared" si="40"/>
        <v>71 Sales occupations</v>
      </c>
      <c r="BE28" s="69">
        <v>9.6649446128389425</v>
      </c>
      <c r="BF28" s="69">
        <v>9.7124455234810814</v>
      </c>
      <c r="BG28" s="69">
        <v>9.6753294178669069</v>
      </c>
      <c r="BH28" s="69">
        <v>9.6272758831287248</v>
      </c>
      <c r="BI28" s="69">
        <v>10.395735374333414</v>
      </c>
      <c r="BJ28" s="69"/>
      <c r="BK28" s="69">
        <f t="shared" si="41"/>
        <v>0.72040595646650729</v>
      </c>
      <c r="BL28" s="69">
        <f>'RD T1'!E201</f>
        <v>4.4992247908581851</v>
      </c>
      <c r="BM28" s="69">
        <f t="shared" si="42"/>
        <v>5.2196307473246923</v>
      </c>
      <c r="BO28" t="str">
        <f t="shared" si="43"/>
        <v>71 Sales occupations</v>
      </c>
      <c r="BP28" s="69">
        <v>10.727314660697523</v>
      </c>
      <c r="BQ28" s="69">
        <v>9.6069718547991787</v>
      </c>
      <c r="BR28" s="69">
        <v>9.2413950726999055</v>
      </c>
      <c r="BS28" s="69">
        <v>8.4280174935682641</v>
      </c>
      <c r="BT28" s="69">
        <v>7.063941812485834</v>
      </c>
      <c r="BU28" s="69"/>
      <c r="BV28" s="69">
        <f t="shared" si="44"/>
        <v>-2.1774532602140715</v>
      </c>
      <c r="BW28" s="69">
        <f>'RD T1'!E230</f>
        <v>4.0754412818226866</v>
      </c>
      <c r="BX28" s="69">
        <f t="shared" si="45"/>
        <v>1.8979880216086151</v>
      </c>
      <c r="BZ28" t="str">
        <f t="shared" si="46"/>
        <v>71 Sales occupations</v>
      </c>
      <c r="CA28" s="69">
        <v>8.2438580568434165</v>
      </c>
      <c r="CB28" s="69">
        <v>6.320520302920845</v>
      </c>
      <c r="CC28" s="69">
        <v>6.0969765563409259</v>
      </c>
      <c r="CD28" s="69">
        <v>5.2405853661147725</v>
      </c>
      <c r="CE28" s="69">
        <v>1.8443573598584828</v>
      </c>
      <c r="CF28" s="69"/>
      <c r="CG28" s="69">
        <f t="shared" si="47"/>
        <v>-4.2526191964824429</v>
      </c>
      <c r="CH28" s="69">
        <f>'RD T1'!E259</f>
        <v>1.4858401346171524</v>
      </c>
      <c r="CI28" s="69">
        <f t="shared" si="48"/>
        <v>-2.7667790618652903</v>
      </c>
      <c r="CK28" t="str">
        <f t="shared" si="49"/>
        <v>71 Sales occupations</v>
      </c>
      <c r="CL28" s="69">
        <v>2.7294644243481967</v>
      </c>
      <c r="CM28" s="69">
        <v>2.258976470148323</v>
      </c>
      <c r="CN28" s="69">
        <v>1.8072933599954772</v>
      </c>
      <c r="CO28" s="69">
        <v>1.5087414083154809</v>
      </c>
      <c r="CP28" s="69">
        <v>1.0043177265346939</v>
      </c>
      <c r="CQ28" s="69"/>
      <c r="CR28" s="69">
        <f t="shared" si="50"/>
        <v>-0.80297563346078338</v>
      </c>
      <c r="CS28" s="69">
        <f>'RD T1'!E288</f>
        <v>0.36918179684863833</v>
      </c>
      <c r="CT28" s="69">
        <f t="shared" si="51"/>
        <v>-0.43379383661214505</v>
      </c>
    </row>
    <row r="29" spans="1:98" x14ac:dyDescent="0.2">
      <c r="A29" s="10" t="str">
        <f>name!D25</f>
        <v>72 Customer service occupations</v>
      </c>
      <c r="B29" s="69">
        <v>1.9940278922111067E-2</v>
      </c>
      <c r="C29" s="69">
        <v>2.3968582454488532E-2</v>
      </c>
      <c r="D29" s="69">
        <v>2.2954620571361266E-2</v>
      </c>
      <c r="E29" s="69">
        <v>3.4440643153092532E-2</v>
      </c>
      <c r="F29" s="69">
        <v>4.9056546698909798E-2</v>
      </c>
      <c r="G29" s="11"/>
      <c r="H29" s="69">
        <f>F29-D29</f>
        <v>2.6101926127548532E-2</v>
      </c>
      <c r="I29" s="69">
        <f>'RD T1'!E57</f>
        <v>1.5419976740307548E-2</v>
      </c>
      <c r="J29" s="69">
        <f t="shared" si="27"/>
        <v>4.1521902867856078E-2</v>
      </c>
      <c r="L29" t="str">
        <f t="shared" si="28"/>
        <v>72 Customer service occupations</v>
      </c>
      <c r="M29" s="69">
        <v>0.22758121017863556</v>
      </c>
      <c r="N29" s="69">
        <v>0.3296984490475186</v>
      </c>
      <c r="O29" s="69">
        <v>0.28465683501576566</v>
      </c>
      <c r="P29" s="69">
        <v>0.40548690665084725</v>
      </c>
      <c r="Q29" s="69">
        <v>0.58836840881438401</v>
      </c>
      <c r="R29" s="11"/>
      <c r="S29" s="69">
        <f t="shared" si="29"/>
        <v>0.30371157379861835</v>
      </c>
      <c r="T29" s="69">
        <f>'RD T1'!E86</f>
        <v>0.19886612960297523</v>
      </c>
      <c r="U29" s="69">
        <f t="shared" si="30"/>
        <v>0.50257770340159358</v>
      </c>
      <c r="W29" t="str">
        <f t="shared" si="31"/>
        <v>72 Customer service occupations</v>
      </c>
      <c r="X29" s="69">
        <v>1.041974260653991</v>
      </c>
      <c r="Y29" s="69">
        <v>1.1694627067189451</v>
      </c>
      <c r="Z29" s="69">
        <v>1.2373343652236091</v>
      </c>
      <c r="AA29" s="69">
        <v>1.5263009579761238</v>
      </c>
      <c r="AB29" s="69">
        <v>2.0972187089313681</v>
      </c>
      <c r="AC29" s="69"/>
      <c r="AD29" s="69">
        <f t="shared" si="32"/>
        <v>0.85988434370775901</v>
      </c>
      <c r="AE29" s="69">
        <f>'RD T1'!E115</f>
        <v>0.8957496196257746</v>
      </c>
      <c r="AF29" s="69">
        <f t="shared" si="33"/>
        <v>1.7556339633335336</v>
      </c>
      <c r="AH29" t="str">
        <f t="shared" si="34"/>
        <v>72 Customer service occupations</v>
      </c>
      <c r="AI29" s="69">
        <v>0.3529095112651448</v>
      </c>
      <c r="AJ29" s="69">
        <v>0.40998771360215058</v>
      </c>
      <c r="AK29" s="69">
        <v>0.44667967882394716</v>
      </c>
      <c r="AL29" s="69">
        <v>0.5388665020847726</v>
      </c>
      <c r="AM29" s="69">
        <v>0.7345997153063194</v>
      </c>
      <c r="AN29" s="69"/>
      <c r="AO29" s="69">
        <f t="shared" si="35"/>
        <v>0.28792003648237224</v>
      </c>
      <c r="AP29" s="69">
        <f>'RD T1'!E144</f>
        <v>0.32220568336235678</v>
      </c>
      <c r="AQ29" s="69">
        <f t="shared" si="36"/>
        <v>0.61012571984472896</v>
      </c>
      <c r="AS29" t="str">
        <f t="shared" si="37"/>
        <v>72 Customer service occupations</v>
      </c>
      <c r="AT29" s="69">
        <v>0.46098086068665267</v>
      </c>
      <c r="AU29" s="69">
        <v>0.48638377779872383</v>
      </c>
      <c r="AV29" s="69">
        <v>0.53387418623020244</v>
      </c>
      <c r="AW29" s="69">
        <v>0.64796910438865285</v>
      </c>
      <c r="AX29" s="69">
        <v>0.77561625105660259</v>
      </c>
      <c r="AY29" s="69"/>
      <c r="AZ29" s="69">
        <f t="shared" si="38"/>
        <v>0.24174206482640015</v>
      </c>
      <c r="BA29" s="69">
        <f>'RD T1'!E173</f>
        <v>0.32495521988760978</v>
      </c>
      <c r="BB29" s="69">
        <f t="shared" si="39"/>
        <v>0.56669728471400993</v>
      </c>
      <c r="BD29" t="str">
        <f t="shared" si="40"/>
        <v>72 Customer service occupations</v>
      </c>
      <c r="BE29" s="69">
        <v>1.8727586142414796</v>
      </c>
      <c r="BF29" s="69">
        <v>2.0562414988080806</v>
      </c>
      <c r="BG29" s="69">
        <v>2.1943385335765111</v>
      </c>
      <c r="BH29" s="69">
        <v>2.3727432567069635</v>
      </c>
      <c r="BI29" s="69">
        <v>2.6497624881726192</v>
      </c>
      <c r="BJ29" s="69"/>
      <c r="BK29" s="69">
        <f t="shared" si="41"/>
        <v>0.45542395459610807</v>
      </c>
      <c r="BL29" s="69">
        <f>'RD T1'!E202</f>
        <v>1.068846239298511</v>
      </c>
      <c r="BM29" s="69">
        <f t="shared" si="42"/>
        <v>1.524270193894619</v>
      </c>
      <c r="BO29" t="str">
        <f t="shared" si="43"/>
        <v>72 Customer service occupations</v>
      </c>
      <c r="BP29" s="69">
        <v>1.9763320664342319</v>
      </c>
      <c r="BQ29" s="69">
        <v>2.0800069363945668</v>
      </c>
      <c r="BR29" s="69">
        <v>2.0937871861011872</v>
      </c>
      <c r="BS29" s="69">
        <v>2.0862556136874919</v>
      </c>
      <c r="BT29" s="69">
        <v>1.8588750394463376</v>
      </c>
      <c r="BU29" s="69"/>
      <c r="BV29" s="69">
        <f t="shared" si="44"/>
        <v>-0.23491214665484961</v>
      </c>
      <c r="BW29" s="69">
        <f>'RD T1'!E231</f>
        <v>1.0153515741052681</v>
      </c>
      <c r="BX29" s="69">
        <f t="shared" si="45"/>
        <v>0.7804394274504185</v>
      </c>
      <c r="BZ29" t="str">
        <f t="shared" si="46"/>
        <v>72 Customer service occupations</v>
      </c>
      <c r="CA29" s="69">
        <v>1.1778523357866517</v>
      </c>
      <c r="CB29" s="69">
        <v>0.97383692233385044</v>
      </c>
      <c r="CC29" s="69">
        <v>0.97457353771481536</v>
      </c>
      <c r="CD29" s="69">
        <v>0.87815593040804596</v>
      </c>
      <c r="CE29" s="69">
        <v>0.6112930694131371</v>
      </c>
      <c r="CF29" s="69"/>
      <c r="CG29" s="69">
        <f t="shared" si="47"/>
        <v>-0.36328046830167826</v>
      </c>
      <c r="CH29" s="69">
        <f>'RD T1'!E260</f>
        <v>0.26537692768761412</v>
      </c>
      <c r="CI29" s="69">
        <f t="shared" si="48"/>
        <v>-9.7903540614064144E-2</v>
      </c>
      <c r="CK29" t="str">
        <f t="shared" si="49"/>
        <v>72 Customer service occupations</v>
      </c>
      <c r="CL29" s="69">
        <v>0.26421771873264238</v>
      </c>
      <c r="CM29" s="69">
        <v>0.32171740237380431</v>
      </c>
      <c r="CN29" s="69">
        <v>0.28516895332567138</v>
      </c>
      <c r="CO29" s="69">
        <v>0.3700506478384718</v>
      </c>
      <c r="CP29" s="69">
        <v>0.42062485362087471</v>
      </c>
      <c r="CQ29" s="69"/>
      <c r="CR29" s="69">
        <f t="shared" si="50"/>
        <v>0.13545590029520332</v>
      </c>
      <c r="CS29" s="69">
        <f>'RD T1'!E289</f>
        <v>0.12680585448536655</v>
      </c>
      <c r="CT29" s="69">
        <f t="shared" si="51"/>
        <v>0.2622617547805699</v>
      </c>
    </row>
    <row r="30" spans="1:98" x14ac:dyDescent="0.2">
      <c r="A30" s="10" t="str">
        <f>name!D26</f>
        <v>81 Process, plant and machine operatives</v>
      </c>
      <c r="B30" s="69">
        <v>2.7088280160200786E-2</v>
      </c>
      <c r="C30" s="69">
        <v>4.2447354343467865E-2</v>
      </c>
      <c r="D30" s="69">
        <v>3.0618413289373453E-2</v>
      </c>
      <c r="E30" s="69">
        <v>4.248233230052801E-2</v>
      </c>
      <c r="F30" s="69">
        <v>8.4676401957181666E-2</v>
      </c>
      <c r="G30" s="11"/>
      <c r="H30" s="69">
        <f t="shared" si="26"/>
        <v>5.4057988667808213E-2</v>
      </c>
      <c r="I30" s="69">
        <f>'RD T1'!E58</f>
        <v>2.8430650313050025E-2</v>
      </c>
      <c r="J30" s="69">
        <f t="shared" si="27"/>
        <v>8.2488638980858231E-2</v>
      </c>
      <c r="L30" t="str">
        <f t="shared" si="28"/>
        <v>81 Process, plant and machine operatives</v>
      </c>
      <c r="M30" s="69">
        <v>0.25539371783539183</v>
      </c>
      <c r="N30" s="69">
        <v>0.38059501025556819</v>
      </c>
      <c r="O30" s="69">
        <v>0.28910662661116671</v>
      </c>
      <c r="P30" s="69">
        <v>0.47882684870586073</v>
      </c>
      <c r="Q30" s="69">
        <v>0.93596424439387926</v>
      </c>
      <c r="R30" s="11"/>
      <c r="S30" s="69">
        <f t="shared" si="29"/>
        <v>0.64685761778271256</v>
      </c>
      <c r="T30" s="69">
        <f>'RD T1'!E87</f>
        <v>0.29744051500264324</v>
      </c>
      <c r="U30" s="69">
        <f t="shared" si="30"/>
        <v>0.94429813278535579</v>
      </c>
      <c r="W30" t="str">
        <f t="shared" si="31"/>
        <v>81 Process, plant and machine operatives</v>
      </c>
      <c r="X30" s="69">
        <v>0.70125133452413113</v>
      </c>
      <c r="Y30" s="69">
        <v>0.7461766514355952</v>
      </c>
      <c r="Z30" s="69">
        <v>0.73377167436471979</v>
      </c>
      <c r="AA30" s="69">
        <v>1.0485100665761795</v>
      </c>
      <c r="AB30" s="69">
        <v>1.8530828980850129</v>
      </c>
      <c r="AC30" s="69"/>
      <c r="AD30" s="69">
        <f t="shared" si="32"/>
        <v>1.1193112237202931</v>
      </c>
      <c r="AE30" s="69">
        <f>'RD T1'!E116</f>
        <v>0.67723562270119075</v>
      </c>
      <c r="AF30" s="69">
        <f t="shared" si="33"/>
        <v>1.7965468464214838</v>
      </c>
      <c r="AH30" t="str">
        <f t="shared" si="34"/>
        <v>81 Process, plant and machine operatives</v>
      </c>
      <c r="AI30" s="69">
        <v>0.32242866761571165</v>
      </c>
      <c r="AJ30" s="69">
        <v>0.32006063572245635</v>
      </c>
      <c r="AK30" s="69">
        <v>0.34117394687299762</v>
      </c>
      <c r="AL30" s="69">
        <v>0.43161659180158696</v>
      </c>
      <c r="AM30" s="69">
        <v>0.575291455731058</v>
      </c>
      <c r="AN30" s="69"/>
      <c r="AO30" s="69">
        <f t="shared" si="35"/>
        <v>0.23411750885806037</v>
      </c>
      <c r="AP30" s="69">
        <f>'RD T1'!E145</f>
        <v>0.22822999980477837</v>
      </c>
      <c r="AQ30" s="69">
        <f t="shared" si="36"/>
        <v>0.46234750866283875</v>
      </c>
      <c r="AS30" t="str">
        <f t="shared" si="37"/>
        <v>81 Process, plant and machine operatives</v>
      </c>
      <c r="AT30" s="69">
        <v>0.73040289314409002</v>
      </c>
      <c r="AU30" s="69">
        <v>0.67644639481279967</v>
      </c>
      <c r="AV30" s="69">
        <v>0.74573242294100228</v>
      </c>
      <c r="AW30" s="69">
        <v>0.89758305164926522</v>
      </c>
      <c r="AX30" s="69">
        <v>1.1991225734251267</v>
      </c>
      <c r="AY30" s="69"/>
      <c r="AZ30" s="69">
        <f t="shared" si="38"/>
        <v>0.45339015048412445</v>
      </c>
      <c r="BA30" s="69">
        <f>'RD T1'!E174</f>
        <v>0.48645284329331134</v>
      </c>
      <c r="BB30" s="69">
        <f t="shared" si="39"/>
        <v>0.93984299377743574</v>
      </c>
      <c r="BD30" t="str">
        <f t="shared" si="40"/>
        <v>81 Process, plant and machine operatives</v>
      </c>
      <c r="BE30" s="69">
        <v>5.2119719866946168</v>
      </c>
      <c r="BF30" s="69">
        <v>5.5001009165108021</v>
      </c>
      <c r="BG30" s="69">
        <v>4.8716896425293159</v>
      </c>
      <c r="BH30" s="69">
        <v>5.6151285423076107</v>
      </c>
      <c r="BI30" s="69">
        <v>6.0943367060343769</v>
      </c>
      <c r="BJ30" s="69"/>
      <c r="BK30" s="69">
        <f t="shared" si="41"/>
        <v>1.222647063505061</v>
      </c>
      <c r="BL30" s="69">
        <f>'RD T1'!E203</f>
        <v>2.1439340029062617</v>
      </c>
      <c r="BM30" s="69">
        <f t="shared" si="42"/>
        <v>3.3665810664113227</v>
      </c>
      <c r="BO30" t="str">
        <f t="shared" si="43"/>
        <v>81 Process, plant and machine operatives</v>
      </c>
      <c r="BP30" s="69">
        <v>7.2498321526551299</v>
      </c>
      <c r="BQ30" s="69">
        <v>7.3363007364692709</v>
      </c>
      <c r="BR30" s="69">
        <v>6.3872324735890222</v>
      </c>
      <c r="BS30" s="69">
        <v>6.684486944647011</v>
      </c>
      <c r="BT30" s="69">
        <v>5.9032708271614158</v>
      </c>
      <c r="BU30" s="69"/>
      <c r="BV30" s="69">
        <f t="shared" si="44"/>
        <v>-0.48396164642760642</v>
      </c>
      <c r="BW30" s="69">
        <f>'RD T1'!E232</f>
        <v>2.590054006726739</v>
      </c>
      <c r="BX30" s="69">
        <f t="shared" si="45"/>
        <v>2.1060923602991326</v>
      </c>
      <c r="BZ30" t="str">
        <f t="shared" si="46"/>
        <v>81 Process, plant and machine operatives</v>
      </c>
      <c r="CA30" s="69">
        <v>6.5433558861908354</v>
      </c>
      <c r="CB30" s="69">
        <v>5.5504813893381524</v>
      </c>
      <c r="CC30" s="69">
        <v>5.1054479639738597</v>
      </c>
      <c r="CD30" s="69">
        <v>4.4972843162808136</v>
      </c>
      <c r="CE30" s="69">
        <v>1.9911821808490866</v>
      </c>
      <c r="CF30" s="69"/>
      <c r="CG30" s="69">
        <f t="shared" si="47"/>
        <v>-3.1142657831247731</v>
      </c>
      <c r="CH30" s="69">
        <f>'RD T1'!E261</f>
        <v>1.3130744297216852</v>
      </c>
      <c r="CI30" s="69">
        <f t="shared" si="48"/>
        <v>-1.8011913534030879</v>
      </c>
      <c r="CK30" t="str">
        <f t="shared" si="49"/>
        <v>81 Process, plant and machine operatives</v>
      </c>
      <c r="CL30" s="69">
        <v>2.5762729623870797</v>
      </c>
      <c r="CM30" s="69">
        <v>2.0685319232267165</v>
      </c>
      <c r="CN30" s="69">
        <v>1.6139610978481269</v>
      </c>
      <c r="CO30" s="69">
        <v>0.77762957292288637</v>
      </c>
      <c r="CP30" s="69">
        <v>0.35115150627520908</v>
      </c>
      <c r="CQ30" s="69"/>
      <c r="CR30" s="69">
        <f t="shared" si="50"/>
        <v>-1.2628095915729178</v>
      </c>
      <c r="CS30" s="69">
        <f>'RD T1'!E290</f>
        <v>0.19165630748641274</v>
      </c>
      <c r="CT30" s="69">
        <f t="shared" si="51"/>
        <v>-1.071153284086505</v>
      </c>
    </row>
    <row r="31" spans="1:98" x14ac:dyDescent="0.2">
      <c r="A31" s="10" t="str">
        <f>name!D27</f>
        <v>82 Transport and mobile machine drivers and operatives</v>
      </c>
      <c r="B31" s="69">
        <v>2.7387365166485465E-2</v>
      </c>
      <c r="C31" s="69">
        <v>3.3244496063791512E-2</v>
      </c>
      <c r="D31" s="69">
        <v>3.4685419412176212E-2</v>
      </c>
      <c r="E31" s="69">
        <v>4.8458033589473752E-2</v>
      </c>
      <c r="F31" s="69">
        <v>7.4961816563795289E-2</v>
      </c>
      <c r="G31" s="11"/>
      <c r="H31" s="69">
        <f t="shared" si="26"/>
        <v>4.0276397151619077E-2</v>
      </c>
      <c r="I31" s="69">
        <f>'RD T1'!E59</f>
        <v>3.4288072760488911E-2</v>
      </c>
      <c r="J31" s="69">
        <f t="shared" si="27"/>
        <v>7.4564469912107995E-2</v>
      </c>
      <c r="L31" t="str">
        <f t="shared" si="28"/>
        <v>82 Transport and mobile machine drivers and operatives</v>
      </c>
      <c r="M31" s="69">
        <v>0.19340623008850455</v>
      </c>
      <c r="N31" s="69">
        <v>0.24187531998804448</v>
      </c>
      <c r="O31" s="69">
        <v>0.24052554352506292</v>
      </c>
      <c r="P31" s="69">
        <v>0.30570897822993182</v>
      </c>
      <c r="Q31" s="69">
        <v>0.4340945353851402</v>
      </c>
      <c r="R31" s="11"/>
      <c r="S31" s="69">
        <f t="shared" si="29"/>
        <v>0.19356899186007728</v>
      </c>
      <c r="T31" s="69">
        <f>'RD T1'!E88</f>
        <v>0.20733827584240094</v>
      </c>
      <c r="U31" s="69">
        <f t="shared" si="30"/>
        <v>0.4009072677024782</v>
      </c>
      <c r="W31" t="str">
        <f t="shared" si="31"/>
        <v>82 Transport and mobile machine drivers and operatives</v>
      </c>
      <c r="X31" s="69">
        <v>0.7971696776439241</v>
      </c>
      <c r="Y31" s="69">
        <v>0.79817883029471004</v>
      </c>
      <c r="Z31" s="69">
        <v>0.99049843898400181</v>
      </c>
      <c r="AA31" s="69">
        <v>1.1234051860209573</v>
      </c>
      <c r="AB31" s="69">
        <v>1.4568385845416576</v>
      </c>
      <c r="AC31" s="69"/>
      <c r="AD31" s="69">
        <f t="shared" si="32"/>
        <v>0.46634014555765579</v>
      </c>
      <c r="AE31" s="69">
        <f>'RD T1'!E117</f>
        <v>0.79815781894584426</v>
      </c>
      <c r="AF31" s="69">
        <f t="shared" si="33"/>
        <v>1.2644979645035002</v>
      </c>
      <c r="AH31" t="str">
        <f t="shared" si="34"/>
        <v>82 Transport and mobile machine drivers and operatives</v>
      </c>
      <c r="AI31" s="69">
        <v>0.38625442278370975</v>
      </c>
      <c r="AJ31" s="69">
        <v>0.37621874699802493</v>
      </c>
      <c r="AK31" s="69">
        <v>0.50471364317463141</v>
      </c>
      <c r="AL31" s="69">
        <v>0.55691071190822761</v>
      </c>
      <c r="AM31" s="69">
        <v>0.72592792285112162</v>
      </c>
      <c r="AN31" s="69"/>
      <c r="AO31" s="69">
        <f t="shared" si="35"/>
        <v>0.22121427967649021</v>
      </c>
      <c r="AP31" s="69">
        <f>'RD T1'!E146</f>
        <v>0.38660636294735878</v>
      </c>
      <c r="AQ31" s="69">
        <f t="shared" si="36"/>
        <v>0.60782064262384905</v>
      </c>
      <c r="AS31" t="str">
        <f t="shared" si="37"/>
        <v>82 Transport and mobile machine drivers and operatives</v>
      </c>
      <c r="AT31" s="69">
        <v>0.59817833600049319</v>
      </c>
      <c r="AU31" s="69">
        <v>0.57380875442008061</v>
      </c>
      <c r="AV31" s="69">
        <v>0.74101457064578258</v>
      </c>
      <c r="AW31" s="69">
        <v>0.81417217661703345</v>
      </c>
      <c r="AX31" s="69">
        <v>1.0198439377588828</v>
      </c>
      <c r="AY31" s="69"/>
      <c r="AZ31" s="69">
        <f t="shared" si="38"/>
        <v>0.27882936711310025</v>
      </c>
      <c r="BA31" s="69">
        <f>'RD T1'!E175</f>
        <v>0.57054570631394053</v>
      </c>
      <c r="BB31" s="69">
        <f t="shared" si="39"/>
        <v>0.84937507342704077</v>
      </c>
      <c r="BD31" t="str">
        <f t="shared" si="40"/>
        <v>82 Transport and mobile machine drivers and operatives</v>
      </c>
      <c r="BE31" s="69">
        <v>4.0526296720505659</v>
      </c>
      <c r="BF31" s="69">
        <v>4.6709146233091063</v>
      </c>
      <c r="BG31" s="69">
        <v>4.4439960507142464</v>
      </c>
      <c r="BH31" s="69">
        <v>4.9385197592698722</v>
      </c>
      <c r="BI31" s="69">
        <v>5.7725752684384855</v>
      </c>
      <c r="BJ31" s="69"/>
      <c r="BK31" s="69">
        <f t="shared" si="41"/>
        <v>1.328579217724239</v>
      </c>
      <c r="BL31" s="69">
        <f>'RD T1'!E204</f>
        <v>2.6958523898743247</v>
      </c>
      <c r="BM31" s="69">
        <f t="shared" si="42"/>
        <v>4.0244316075985633</v>
      </c>
      <c r="BO31" t="str">
        <f t="shared" si="43"/>
        <v>82 Transport and mobile machine drivers and operatives</v>
      </c>
      <c r="BP31" s="69">
        <v>6.5089960472364758</v>
      </c>
      <c r="BQ31" s="69">
        <v>7.1085908201396446</v>
      </c>
      <c r="BR31" s="69">
        <v>6.5569181969405941</v>
      </c>
      <c r="BS31" s="69">
        <v>6.6029754343779024</v>
      </c>
      <c r="BT31" s="69">
        <v>6.415059969145295</v>
      </c>
      <c r="BU31" s="69"/>
      <c r="BV31" s="69">
        <f t="shared" si="44"/>
        <v>-0.14185822779529911</v>
      </c>
      <c r="BW31" s="69">
        <f>'RD T1'!E233</f>
        <v>3.4897533425548177</v>
      </c>
      <c r="BX31" s="69">
        <f t="shared" si="45"/>
        <v>3.3478951147595186</v>
      </c>
      <c r="BZ31" t="str">
        <f t="shared" si="46"/>
        <v>82 Transport and mobile machine drivers and operatives</v>
      </c>
      <c r="CA31" s="69">
        <v>6.2838341453404691</v>
      </c>
      <c r="CB31" s="69">
        <v>5.694686330940681</v>
      </c>
      <c r="CC31" s="69">
        <v>5.7550825766206568</v>
      </c>
      <c r="CD31" s="69">
        <v>4.6728057317286522</v>
      </c>
      <c r="CE31" s="69">
        <v>3.2131178552536577</v>
      </c>
      <c r="CF31" s="69"/>
      <c r="CG31" s="69">
        <f t="shared" si="47"/>
        <v>-2.5419647213669991</v>
      </c>
      <c r="CH31" s="69">
        <f>'RD T1'!E262</f>
        <v>2.1155855676692559</v>
      </c>
      <c r="CI31" s="69">
        <f t="shared" si="48"/>
        <v>-0.42637915369774326</v>
      </c>
      <c r="CK31" t="str">
        <f t="shared" si="49"/>
        <v>82 Transport and mobile machine drivers and operatives</v>
      </c>
      <c r="CL31" s="69">
        <v>2.2559583367499019</v>
      </c>
      <c r="CM31" s="69">
        <v>2.3733071743402006</v>
      </c>
      <c r="CN31" s="69">
        <v>2.1429000612237465</v>
      </c>
      <c r="CO31" s="69">
        <v>2.1148914783349384</v>
      </c>
      <c r="CP31" s="69">
        <v>1.1600234247535548</v>
      </c>
      <c r="CQ31" s="69"/>
      <c r="CR31" s="69">
        <f t="shared" si="50"/>
        <v>-0.98287663647019174</v>
      </c>
      <c r="CS31" s="69">
        <f>'RD T1'!E291</f>
        <v>0.68957232781084055</v>
      </c>
      <c r="CT31" s="69">
        <f t="shared" si="51"/>
        <v>-0.2933043086593512</v>
      </c>
    </row>
    <row r="32" spans="1:98" x14ac:dyDescent="0.2">
      <c r="A32" s="10" t="str">
        <f>name!D28</f>
        <v>91 Elementary trades and related occupations</v>
      </c>
      <c r="B32" s="69">
        <v>3.7211154062805209E-4</v>
      </c>
      <c r="C32" s="69">
        <v>4.0697629900724944E-4</v>
      </c>
      <c r="D32" s="69">
        <v>3.5835413158359262E-4</v>
      </c>
      <c r="E32" s="69">
        <v>1.833582127495434E-3</v>
      </c>
      <c r="F32" s="69">
        <v>3.4850160489340825E-3</v>
      </c>
      <c r="G32" s="11"/>
      <c r="H32" s="69">
        <f t="shared" si="26"/>
        <v>3.12666191735049E-3</v>
      </c>
      <c r="I32" s="69">
        <f>'RD T1'!E60</f>
        <v>1.4287988565171526E-3</v>
      </c>
      <c r="J32" s="69">
        <f t="shared" si="27"/>
        <v>4.5554607738676426E-3</v>
      </c>
      <c r="L32" t="str">
        <f t="shared" si="28"/>
        <v>91 Elementary trades and related occupations</v>
      </c>
      <c r="M32" s="69">
        <v>0.13661626621311621</v>
      </c>
      <c r="N32" s="69">
        <v>0.16430060383594991</v>
      </c>
      <c r="O32" s="69">
        <v>0.13893040399404755</v>
      </c>
      <c r="P32" s="69">
        <v>0.25731995989319484</v>
      </c>
      <c r="Q32" s="69">
        <v>0.42621529790018692</v>
      </c>
      <c r="R32" s="11"/>
      <c r="S32" s="69">
        <f t="shared" si="29"/>
        <v>0.28728489390613937</v>
      </c>
      <c r="T32" s="69">
        <f>'RD T1'!E89</f>
        <v>0.16464586651758489</v>
      </c>
      <c r="U32" s="69">
        <f t="shared" si="30"/>
        <v>0.45193076042372426</v>
      </c>
      <c r="W32" t="str">
        <f t="shared" si="31"/>
        <v>91 Elementary trades and related occupations</v>
      </c>
      <c r="X32" s="69">
        <v>0.50522328386217752</v>
      </c>
      <c r="Y32" s="69">
        <v>0.53351904287320706</v>
      </c>
      <c r="Z32" s="69">
        <v>0.55636093976510481</v>
      </c>
      <c r="AA32" s="69">
        <v>1.241777440809757</v>
      </c>
      <c r="AB32" s="69">
        <v>1.8426463868841023</v>
      </c>
      <c r="AC32" s="69"/>
      <c r="AD32" s="69">
        <f t="shared" si="32"/>
        <v>1.2862854471189975</v>
      </c>
      <c r="AE32" s="69">
        <f>'RD T1'!E118</f>
        <v>0.95745946645625457</v>
      </c>
      <c r="AF32" s="69">
        <f t="shared" si="33"/>
        <v>2.2437449135752523</v>
      </c>
      <c r="AH32" t="str">
        <f t="shared" si="34"/>
        <v>91 Elementary trades and related occupations</v>
      </c>
      <c r="AI32" s="69">
        <v>0.3627854618070272</v>
      </c>
      <c r="AJ32" s="69">
        <v>0.38233262040306587</v>
      </c>
      <c r="AK32" s="69">
        <v>0.36636180299034599</v>
      </c>
      <c r="AL32" s="69">
        <v>0.82224348638633937</v>
      </c>
      <c r="AM32" s="69">
        <v>1.2883100429046095</v>
      </c>
      <c r="AN32" s="69"/>
      <c r="AO32" s="69">
        <f t="shared" si="35"/>
        <v>0.92194823991426356</v>
      </c>
      <c r="AP32" s="69">
        <f>'RD T1'!E147</f>
        <v>0.68009854574656681</v>
      </c>
      <c r="AQ32" s="69">
        <f t="shared" si="36"/>
        <v>1.6020467856608303</v>
      </c>
      <c r="AS32" t="str">
        <f t="shared" si="37"/>
        <v>91 Elementary trades and related occupations</v>
      </c>
      <c r="AT32" s="69">
        <v>0.39022524440833428</v>
      </c>
      <c r="AU32" s="69">
        <v>0.36751225635489582</v>
      </c>
      <c r="AV32" s="69">
        <v>0.43113704046772777</v>
      </c>
      <c r="AW32" s="69">
        <v>0.90217042952995807</v>
      </c>
      <c r="AX32" s="69">
        <v>1.281259971662924</v>
      </c>
      <c r="AY32" s="69"/>
      <c r="AZ32" s="69">
        <f t="shared" si="38"/>
        <v>0.85012293119519633</v>
      </c>
      <c r="BA32" s="69">
        <f>'RD T1'!E176</f>
        <v>0.6111451849987577</v>
      </c>
      <c r="BB32" s="69">
        <f t="shared" si="39"/>
        <v>1.461268116193954</v>
      </c>
      <c r="BD32" t="str">
        <f t="shared" si="40"/>
        <v>91 Elementary trades and related occupations</v>
      </c>
      <c r="BE32" s="69">
        <v>1.9308030700046221</v>
      </c>
      <c r="BF32" s="69">
        <v>1.8271429714590177</v>
      </c>
      <c r="BG32" s="69">
        <v>1.6360682317403661</v>
      </c>
      <c r="BH32" s="69">
        <v>3.0487328142038468</v>
      </c>
      <c r="BI32" s="69">
        <v>3.9139198396807089</v>
      </c>
      <c r="BJ32" s="69"/>
      <c r="BK32" s="69">
        <f t="shared" si="41"/>
        <v>2.2778516079403426</v>
      </c>
      <c r="BL32" s="69">
        <f>'RD T1'!E205</f>
        <v>1.4471775314362203</v>
      </c>
      <c r="BM32" s="69">
        <f t="shared" si="42"/>
        <v>3.7250291393765629</v>
      </c>
      <c r="BO32" t="str">
        <f t="shared" si="43"/>
        <v>91 Elementary trades and related occupations</v>
      </c>
      <c r="BP32" s="69">
        <v>3.3109141931803276</v>
      </c>
      <c r="BQ32" s="69">
        <v>2.8813254164129227</v>
      </c>
      <c r="BR32" s="69">
        <v>2.6246513422731237</v>
      </c>
      <c r="BS32" s="69">
        <v>4.2630562014527422</v>
      </c>
      <c r="BT32" s="69">
        <v>4.1953134203057791</v>
      </c>
      <c r="BU32" s="69"/>
      <c r="BV32" s="69">
        <f t="shared" si="44"/>
        <v>1.5706620780326555</v>
      </c>
      <c r="BW32" s="69">
        <f>'RD T1'!E234</f>
        <v>1.7804308105502922</v>
      </c>
      <c r="BX32" s="69">
        <f t="shared" si="45"/>
        <v>3.3510928885829476</v>
      </c>
      <c r="BZ32" t="str">
        <f t="shared" si="46"/>
        <v>91 Elementary trades and related occupations</v>
      </c>
      <c r="CA32" s="69">
        <v>4.5755267087041309</v>
      </c>
      <c r="CB32" s="69">
        <v>3.764335243984001</v>
      </c>
      <c r="CC32" s="69">
        <v>3.5201928013955572</v>
      </c>
      <c r="CD32" s="69">
        <v>5.2895438859947106</v>
      </c>
      <c r="CE32" s="69">
        <v>4.6704127325759988</v>
      </c>
      <c r="CF32" s="69"/>
      <c r="CG32" s="69">
        <f t="shared" si="47"/>
        <v>1.1502199311804415</v>
      </c>
      <c r="CH32" s="69">
        <f>'RD T1'!E263</f>
        <v>2.1364744607492465</v>
      </c>
      <c r="CI32" s="69">
        <f t="shared" si="48"/>
        <v>3.286694391929688</v>
      </c>
      <c r="CK32" t="str">
        <f t="shared" si="49"/>
        <v>91 Elementary trades and related occupations</v>
      </c>
      <c r="CL32" s="69">
        <v>1.8252250858602017</v>
      </c>
      <c r="CM32" s="69">
        <v>1.6229511995165782</v>
      </c>
      <c r="CN32" s="69">
        <v>1.3415615447017244</v>
      </c>
      <c r="CO32" s="69">
        <v>2.1681067908916956</v>
      </c>
      <c r="CP32" s="69">
        <v>1.6997506731924579</v>
      </c>
      <c r="CQ32" s="69"/>
      <c r="CR32" s="69">
        <f t="shared" si="50"/>
        <v>0.35818912849073348</v>
      </c>
      <c r="CS32" s="69">
        <f>'RD T1'!E292</f>
        <v>0.64849641187396878</v>
      </c>
      <c r="CT32" s="69">
        <f t="shared" si="51"/>
        <v>1.0066855403647024</v>
      </c>
    </row>
    <row r="33" spans="1:98" x14ac:dyDescent="0.2">
      <c r="A33" s="10" t="str">
        <f>name!D29</f>
        <v>92 Elementary administration and service occupations</v>
      </c>
      <c r="B33" s="69">
        <v>2.7036795311357501E-2</v>
      </c>
      <c r="C33" s="69">
        <v>3.4999708896600791E-2</v>
      </c>
      <c r="D33" s="69">
        <v>3.0333302655332833E-2</v>
      </c>
      <c r="E33" s="69">
        <v>3.5717019389237353E-2</v>
      </c>
      <c r="F33" s="69">
        <v>5.1484662803611428E-2</v>
      </c>
      <c r="G33" s="11"/>
      <c r="H33" s="69">
        <f t="shared" ref="H33" si="52">F33-D33</f>
        <v>2.1151360148278595E-2</v>
      </c>
      <c r="I33" s="69">
        <f>'RD T1'!E61</f>
        <v>2.0481419863272603E-2</v>
      </c>
      <c r="J33" s="69">
        <f t="shared" ref="J33" si="53">SUM(H33:I33)</f>
        <v>4.1632780011551199E-2</v>
      </c>
      <c r="L33" t="str">
        <f t="shared" ref="L33" si="54">A33</f>
        <v>92 Elementary administration and service occupations</v>
      </c>
      <c r="M33" s="69">
        <v>0.67352479673418264</v>
      </c>
      <c r="N33" s="69">
        <v>0.90511823276111325</v>
      </c>
      <c r="O33" s="69">
        <v>0.77050691296337581</v>
      </c>
      <c r="P33" s="69">
        <v>0.94612937004750042</v>
      </c>
      <c r="Q33" s="69">
        <v>1.3844732907110637</v>
      </c>
      <c r="R33" s="11"/>
      <c r="S33" s="69">
        <f t="shared" ref="S33" si="55">Q33-O33</f>
        <v>0.61396637774768792</v>
      </c>
      <c r="T33" s="69">
        <f>'RD T1'!E90</f>
        <v>0.54510250099191504</v>
      </c>
      <c r="U33" s="69">
        <f t="shared" ref="U33" si="56">SUM(S33:T33)</f>
        <v>1.1590688787396028</v>
      </c>
      <c r="W33" t="str">
        <f t="shared" ref="W33" si="57">A33</f>
        <v>92 Elementary administration and service occupations</v>
      </c>
      <c r="X33" s="69">
        <v>3.0207144911891826</v>
      </c>
      <c r="Y33" s="69">
        <v>3.364783330202894</v>
      </c>
      <c r="Z33" s="69">
        <v>3.4225763041860628</v>
      </c>
      <c r="AA33" s="69">
        <v>3.6902630352060437</v>
      </c>
      <c r="AB33" s="69">
        <v>4.8492899717137217</v>
      </c>
      <c r="AC33" s="69"/>
      <c r="AD33" s="69">
        <f t="shared" ref="AD33" si="58">AB33-Z33</f>
        <v>1.4267136675276588</v>
      </c>
      <c r="AE33" s="69">
        <f>'RD T1'!E119</f>
        <v>2.4701105173307116</v>
      </c>
      <c r="AF33" s="69">
        <f t="shared" ref="AF33" si="59">SUM(AD33:AE33)</f>
        <v>3.8968241848583705</v>
      </c>
      <c r="AH33" t="str">
        <f t="shared" ref="AH33" si="60">L33</f>
        <v>92 Elementary administration and service occupations</v>
      </c>
      <c r="AI33" s="69">
        <v>1.442007016830956</v>
      </c>
      <c r="AJ33" s="69">
        <v>1.6040163047809624</v>
      </c>
      <c r="AK33" s="69">
        <v>1.6505259429501387</v>
      </c>
      <c r="AL33" s="69">
        <v>1.7162778929923641</v>
      </c>
      <c r="AM33" s="69">
        <v>2.2421135552412061</v>
      </c>
      <c r="AN33" s="69"/>
      <c r="AO33" s="69">
        <f t="shared" ref="AO33" si="61">AM33-AK33</f>
        <v>0.59158761229106749</v>
      </c>
      <c r="AP33" s="69">
        <f>'RD T1'!E148</f>
        <v>1.0879664955379507</v>
      </c>
      <c r="AQ33" s="69">
        <f t="shared" ref="AQ33" si="62">SUM(AO33:AP33)</f>
        <v>1.6795541078290182</v>
      </c>
      <c r="AS33" t="str">
        <f t="shared" ref="AS33" si="63">W33</f>
        <v>92 Elementary administration and service occupations</v>
      </c>
      <c r="AT33" s="69">
        <v>1.3560104341110704</v>
      </c>
      <c r="AU33" s="69">
        <v>1.4392838345384964</v>
      </c>
      <c r="AV33" s="69">
        <v>1.5285007198061538</v>
      </c>
      <c r="AW33" s="69">
        <v>1.5111880043164014</v>
      </c>
      <c r="AX33" s="69">
        <v>1.9119210579851662</v>
      </c>
      <c r="AY33" s="69"/>
      <c r="AZ33" s="69">
        <f t="shared" ref="AZ33" si="64">AX33-AV33</f>
        <v>0.38342033817901244</v>
      </c>
      <c r="BA33" s="69">
        <f>'RD T1'!E177</f>
        <v>0.94852018804250626</v>
      </c>
      <c r="BB33" s="69">
        <f t="shared" ref="BB33" si="65">SUM(AZ33:BA33)</f>
        <v>1.3319405262215187</v>
      </c>
      <c r="BD33" t="str">
        <f t="shared" ref="BD33" si="66">AH33</f>
        <v>92 Elementary administration and service occupations</v>
      </c>
      <c r="BE33" s="69">
        <v>9.0415200699833651</v>
      </c>
      <c r="BF33" s="69">
        <v>9.245583174456014</v>
      </c>
      <c r="BG33" s="69">
        <v>8.6218250896044726</v>
      </c>
      <c r="BH33" s="69">
        <v>7.3534506758921259</v>
      </c>
      <c r="BI33" s="69">
        <v>7.3379246840849026</v>
      </c>
      <c r="BJ33" s="69"/>
      <c r="BK33" s="69">
        <f t="shared" ref="BK33" si="67">BI33-BG33</f>
        <v>-1.28390040551957</v>
      </c>
      <c r="BL33" s="69">
        <f>'RD T1'!E206</f>
        <v>3.4208924113239991</v>
      </c>
      <c r="BM33" s="69">
        <f t="shared" ref="BM33" si="68">SUM(BK33:BL33)</f>
        <v>2.1369920058044292</v>
      </c>
      <c r="BO33" t="str">
        <f t="shared" ref="BO33" si="69">AS33</f>
        <v>92 Elementary administration and service occupations</v>
      </c>
      <c r="BP33" s="69">
        <v>15.072791657660916</v>
      </c>
      <c r="BQ33" s="69">
        <v>15.624405632441283</v>
      </c>
      <c r="BR33" s="69">
        <v>14.135416753762819</v>
      </c>
      <c r="BS33" s="69">
        <v>12.477082559393018</v>
      </c>
      <c r="BT33" s="69">
        <v>10.990987885025167</v>
      </c>
      <c r="BU33" s="69"/>
      <c r="BV33" s="69">
        <f t="shared" ref="BV33" si="70">BT33-BR33</f>
        <v>-3.144428868737652</v>
      </c>
      <c r="BW33" s="69">
        <f>'RD T1'!E235</f>
        <v>5.7147049511753121</v>
      </c>
      <c r="BX33" s="69">
        <f t="shared" ref="BX33" si="71">SUM(BV33:BW33)</f>
        <v>2.57027608243766</v>
      </c>
      <c r="BZ33" t="str">
        <f t="shared" ref="BZ33" si="72">BD33</f>
        <v>92 Elementary administration and service occupations</v>
      </c>
      <c r="CA33" s="69">
        <v>15.062456934047033</v>
      </c>
      <c r="CB33" s="69">
        <v>13.140635408557204</v>
      </c>
      <c r="CC33" s="69">
        <v>12.617678331987516</v>
      </c>
      <c r="CD33" s="69">
        <v>10.800520957112813</v>
      </c>
      <c r="CE33" s="69">
        <v>6.7732023302009843</v>
      </c>
      <c r="CF33" s="69"/>
      <c r="CG33" s="69">
        <f t="shared" ref="CG33" si="73">CE33-CC33</f>
        <v>-5.844476001786532</v>
      </c>
      <c r="CH33" s="69">
        <f>'RD T1'!E264</f>
        <v>3.7938650237036642</v>
      </c>
      <c r="CI33" s="69">
        <f t="shared" ref="CI33" si="74">SUM(CG33:CH33)</f>
        <v>-2.0506109780828679</v>
      </c>
      <c r="CK33" t="str">
        <f t="shared" ref="CK33" si="75">BO33</f>
        <v>92 Elementary administration and service occupations</v>
      </c>
      <c r="CL33" s="69">
        <v>5.816167811974954</v>
      </c>
      <c r="CM33" s="69">
        <v>4.65559044144414</v>
      </c>
      <c r="CN33" s="69">
        <v>3.465003600070915</v>
      </c>
      <c r="CO33" s="69">
        <v>2.3211513103000554</v>
      </c>
      <c r="CP33" s="69">
        <v>1.4149731380359349</v>
      </c>
      <c r="CQ33" s="69"/>
      <c r="CR33" s="69">
        <f t="shared" ref="CR33" si="76">CP33-CN33</f>
        <v>-2.0500304620349801</v>
      </c>
      <c r="CS33" s="69">
        <f>'RD T1'!E293</f>
        <v>0.59932297008662749</v>
      </c>
      <c r="CT33" s="69">
        <f t="shared" ref="CT33" si="77">SUM(CR33:CS33)</f>
        <v>-1.4507074919483527</v>
      </c>
    </row>
    <row r="34" spans="1:98" x14ac:dyDescent="0.2">
      <c r="B34" s="11"/>
      <c r="C34" s="11"/>
      <c r="D34" s="11"/>
      <c r="E34" s="11"/>
      <c r="F34" s="11"/>
      <c r="G34" s="11"/>
      <c r="H34" s="69"/>
      <c r="I34" s="69"/>
      <c r="J34" s="69"/>
      <c r="M34" s="69"/>
      <c r="N34" s="69"/>
      <c r="O34" s="69"/>
      <c r="P34" s="69"/>
      <c r="Q34" s="69"/>
      <c r="R34" s="11"/>
      <c r="S34" s="69"/>
      <c r="T34" s="69"/>
      <c r="U34" s="69"/>
      <c r="X34" s="69"/>
      <c r="Y34" s="69"/>
      <c r="Z34" s="69"/>
      <c r="AA34" s="69"/>
      <c r="AB34" s="69"/>
      <c r="AC34" s="69"/>
      <c r="AD34" s="69"/>
      <c r="AE34" s="69"/>
      <c r="AF34" s="69"/>
      <c r="AI34" s="69"/>
      <c r="AJ34" s="69"/>
      <c r="AK34" s="69"/>
      <c r="AL34" s="69"/>
      <c r="AM34" s="69"/>
      <c r="AN34" s="69"/>
      <c r="AO34" s="69"/>
      <c r="AP34" s="69"/>
      <c r="AQ34" s="69"/>
      <c r="AT34" s="69"/>
      <c r="AU34" s="69"/>
      <c r="AV34" s="69"/>
      <c r="AW34" s="69"/>
      <c r="AX34" s="69"/>
      <c r="AY34" s="69"/>
      <c r="AZ34" s="69"/>
      <c r="BA34" s="69"/>
      <c r="BB34" s="69"/>
      <c r="BE34" s="69"/>
      <c r="BF34" s="69"/>
      <c r="BG34" s="69"/>
      <c r="BH34" s="69"/>
      <c r="BI34" s="69"/>
      <c r="BJ34" s="69"/>
      <c r="BK34" s="69"/>
      <c r="BL34" s="69"/>
      <c r="BM34" s="69"/>
      <c r="BP34" s="69"/>
      <c r="BQ34" s="69"/>
      <c r="BR34" s="69"/>
      <c r="BS34" s="69"/>
      <c r="BT34" s="69"/>
      <c r="BU34" s="69"/>
      <c r="BV34" s="69"/>
      <c r="BW34" s="69"/>
      <c r="BX34" s="69"/>
      <c r="CA34" s="69"/>
      <c r="CB34" s="69"/>
      <c r="CC34" s="69"/>
      <c r="CD34" s="69"/>
      <c r="CE34" s="69"/>
      <c r="CF34" s="69"/>
      <c r="CG34" s="69"/>
      <c r="CH34" s="69"/>
      <c r="CI34" s="69"/>
      <c r="CL34" s="69"/>
      <c r="CM34" s="69"/>
      <c r="CN34" s="69"/>
      <c r="CO34" s="69"/>
      <c r="CP34" s="69"/>
      <c r="CQ34" s="69"/>
      <c r="CR34" s="69"/>
      <c r="CS34" s="69"/>
      <c r="CT34" s="69"/>
    </row>
    <row r="35" spans="1:98" x14ac:dyDescent="0.2">
      <c r="A35" s="231" t="str">
        <f>name!D3</f>
        <v>All occupations</v>
      </c>
      <c r="B35" s="67">
        <f>SUM(B8:B33)</f>
        <v>5.0370719976379688</v>
      </c>
      <c r="C35" s="67">
        <f t="shared" ref="C35:F35" si="78">SUM(C8:C33)</f>
        <v>6.5846760964963398</v>
      </c>
      <c r="D35" s="67">
        <f t="shared" si="78"/>
        <v>6.2511851360305197</v>
      </c>
      <c r="E35" s="67">
        <f t="shared" si="78"/>
        <v>7.557172109566066</v>
      </c>
      <c r="F35" s="67">
        <f t="shared" si="78"/>
        <v>9.8180059904802608</v>
      </c>
      <c r="G35" s="11"/>
      <c r="H35" s="67">
        <f>F35-D35</f>
        <v>3.5668208544497411</v>
      </c>
      <c r="I35" s="67">
        <f>SUM(I8:I33)</f>
        <v>3.676311742569863</v>
      </c>
      <c r="J35" s="67">
        <f>SUM(H35:I35)</f>
        <v>7.2431325970196045</v>
      </c>
      <c r="L35" s="24" t="str">
        <f>A35</f>
        <v>All occupations</v>
      </c>
      <c r="M35" s="67">
        <f>SUM(M8:M33)</f>
        <v>33.745861677240974</v>
      </c>
      <c r="N35" s="67">
        <f t="shared" ref="N35:Q35" si="79">SUM(N8:N33)</f>
        <v>46.012739344338264</v>
      </c>
      <c r="O35" s="67">
        <f t="shared" si="79"/>
        <v>42.914344354753737</v>
      </c>
      <c r="P35" s="67">
        <f t="shared" si="79"/>
        <v>51.727743713682059</v>
      </c>
      <c r="Q35" s="67">
        <f t="shared" si="79"/>
        <v>67.993666125501591</v>
      </c>
      <c r="R35" s="11"/>
      <c r="S35" s="67">
        <f t="shared" si="29"/>
        <v>25.079321770747853</v>
      </c>
      <c r="T35" s="67">
        <f>SUM(T8:T33)</f>
        <v>26.30341682615822</v>
      </c>
      <c r="U35" s="67">
        <f>SUM(S35:T35)</f>
        <v>51.382738596906073</v>
      </c>
      <c r="W35" s="24" t="str">
        <f>A35</f>
        <v>All occupations</v>
      </c>
      <c r="X35" s="67">
        <f>SUM(X8:X33)</f>
        <v>80.288099078753532</v>
      </c>
      <c r="Y35" s="67">
        <f t="shared" ref="Y35:AB35" si="80">SUM(Y8:Y33)</f>
        <v>84.444502998161298</v>
      </c>
      <c r="Z35" s="67">
        <f t="shared" si="80"/>
        <v>93.903645024450881</v>
      </c>
      <c r="AA35" s="67">
        <f t="shared" si="80"/>
        <v>102.82505998507899</v>
      </c>
      <c r="AB35" s="67">
        <f t="shared" si="80"/>
        <v>125.54968530465658</v>
      </c>
      <c r="AC35" s="69"/>
      <c r="AD35" s="67">
        <f t="shared" ref="AD35" si="81">AB35-Z35</f>
        <v>31.646040280205696</v>
      </c>
      <c r="AE35" s="67">
        <f>SUM(AE8:AE33)</f>
        <v>60.785232261783889</v>
      </c>
      <c r="AF35" s="67">
        <f>SUM(AD35:AE35)</f>
        <v>92.431272541989586</v>
      </c>
      <c r="AH35" s="24" t="str">
        <f>L35</f>
        <v>All occupations</v>
      </c>
      <c r="AI35" s="67">
        <f>SUM(AI8:AI33)</f>
        <v>27.348045135760501</v>
      </c>
      <c r="AJ35" s="67">
        <f t="shared" ref="AJ35:AM35" si="82">SUM(AJ8:AJ33)</f>
        <v>26.596779011418938</v>
      </c>
      <c r="AK35" s="67">
        <f t="shared" si="82"/>
        <v>28.149028553170815</v>
      </c>
      <c r="AL35" s="67">
        <f t="shared" si="82"/>
        <v>28.71499830094713</v>
      </c>
      <c r="AM35" s="67">
        <f t="shared" si="82"/>
        <v>33.086905154250545</v>
      </c>
      <c r="AN35" s="69"/>
      <c r="AO35" s="67">
        <f t="shared" ref="AO35" si="83">AM35-AK35</f>
        <v>4.9378766010797293</v>
      </c>
      <c r="AP35" s="67">
        <f>SUM(AP8:AP33)</f>
        <v>16.285292514337513</v>
      </c>
      <c r="AQ35" s="67">
        <f>SUM(AO35:AP35)</f>
        <v>21.223169115417242</v>
      </c>
      <c r="AS35" s="24" t="str">
        <f>W35</f>
        <v>All occupations</v>
      </c>
      <c r="AT35" s="67">
        <f>SUM(AT8:AT33)</f>
        <v>25.568285657845266</v>
      </c>
      <c r="AU35" s="67">
        <f t="shared" ref="AU35:AX35" si="84">SUM(AU8:AU33)</f>
        <v>25.362227941740912</v>
      </c>
      <c r="AV35" s="67">
        <f t="shared" si="84"/>
        <v>28.776671926965921</v>
      </c>
      <c r="AW35" s="67">
        <f t="shared" si="84"/>
        <v>30.311458320597961</v>
      </c>
      <c r="AX35" s="67">
        <f t="shared" si="84"/>
        <v>36.225630706947008</v>
      </c>
      <c r="AY35" s="69"/>
      <c r="AZ35" s="67">
        <f t="shared" ref="AZ35" si="85">AX35-AV35</f>
        <v>7.448958779981087</v>
      </c>
      <c r="BA35" s="67">
        <f>SUM(BA8:BA33)</f>
        <v>16.661928817161233</v>
      </c>
      <c r="BB35" s="67">
        <f>SUM(AZ35:BA35)</f>
        <v>24.11088759714232</v>
      </c>
      <c r="BD35" s="24" t="str">
        <f>AH35</f>
        <v>All occupations</v>
      </c>
      <c r="BE35" s="67">
        <f>SUM(BE8:BE33)</f>
        <v>107.78051384441859</v>
      </c>
      <c r="BF35" s="67">
        <f t="shared" ref="BF35:BI35" si="86">SUM(BF8:BF33)</f>
        <v>117.47424709820068</v>
      </c>
      <c r="BG35" s="67">
        <f t="shared" si="86"/>
        <v>116.13706559485922</v>
      </c>
      <c r="BH35" s="67">
        <f t="shared" si="86"/>
        <v>117.96109253537777</v>
      </c>
      <c r="BI35" s="67">
        <f t="shared" si="86"/>
        <v>123.77739001921452</v>
      </c>
      <c r="BJ35" s="69"/>
      <c r="BK35" s="67">
        <f t="shared" ref="BK35" si="87">BI35-BG35</f>
        <v>7.640324424355299</v>
      </c>
      <c r="BL35" s="67">
        <f>SUM(BL8:BL33)</f>
        <v>53.819758943496787</v>
      </c>
      <c r="BM35" s="67">
        <f>SUM(BK35:BL35)</f>
        <v>61.460083367852086</v>
      </c>
      <c r="BO35" s="24" t="str">
        <f>AS35</f>
        <v>All occupations</v>
      </c>
      <c r="BP35" s="67">
        <f>SUM(BP8:BP33)</f>
        <v>112.70028043192782</v>
      </c>
      <c r="BQ35" s="67">
        <f t="shared" ref="BQ35:BT35" si="88">SUM(BQ8:BQ33)</f>
        <v>113.37189947872263</v>
      </c>
      <c r="BR35" s="67">
        <f t="shared" si="88"/>
        <v>108.75074157184628</v>
      </c>
      <c r="BS35" s="67">
        <f t="shared" si="88"/>
        <v>100.82718434429088</v>
      </c>
      <c r="BT35" s="67">
        <f t="shared" si="88"/>
        <v>84.329481581221799</v>
      </c>
      <c r="BU35" s="69"/>
      <c r="BV35" s="67">
        <f t="shared" ref="BV35" si="89">BT35-BR35</f>
        <v>-24.421259990624478</v>
      </c>
      <c r="BW35" s="67">
        <f>SUM(BW8:BW33)</f>
        <v>44.415861202600908</v>
      </c>
      <c r="BX35" s="67">
        <f>SUM(BV35:BW35)</f>
        <v>19.99460121197643</v>
      </c>
      <c r="BZ35" s="24" t="str">
        <f>BD35</f>
        <v>All occupations</v>
      </c>
      <c r="CA35" s="67">
        <f>SUM(CA8:CA33)</f>
        <v>83.74835123110158</v>
      </c>
      <c r="CB35" s="67">
        <f t="shared" ref="CB35:CE35" si="90">SUM(CB8:CB33)</f>
        <v>70.637405708751828</v>
      </c>
      <c r="CC35" s="67">
        <f t="shared" si="90"/>
        <v>70.337314116798154</v>
      </c>
      <c r="CD35" s="67">
        <f t="shared" si="90"/>
        <v>61.974619444358794</v>
      </c>
      <c r="CE35" s="67">
        <f t="shared" si="90"/>
        <v>38.84779721740766</v>
      </c>
      <c r="CF35" s="69"/>
      <c r="CG35" s="67">
        <f t="shared" ref="CG35" si="91">CE35-CC35</f>
        <v>-31.489516899390495</v>
      </c>
      <c r="CH35" s="67">
        <f>SUM(CH8:CH33)</f>
        <v>22.032972136741666</v>
      </c>
      <c r="CI35" s="67">
        <f>SUM(CG35:CH35)</f>
        <v>-9.4565447626488286</v>
      </c>
      <c r="CK35" s="24" t="str">
        <f>BO35</f>
        <v>All occupations</v>
      </c>
      <c r="CL35" s="67">
        <f>SUM(CL8:CL33)</f>
        <v>25.388490945313844</v>
      </c>
      <c r="CM35" s="67">
        <f t="shared" ref="CM35:CP35" si="92">SUM(CM8:CM33)</f>
        <v>23.281522322168879</v>
      </c>
      <c r="CN35" s="67">
        <f t="shared" si="92"/>
        <v>19.625003721124724</v>
      </c>
      <c r="CO35" s="67">
        <f t="shared" si="92"/>
        <v>18.470671246100526</v>
      </c>
      <c r="CP35" s="67">
        <f t="shared" si="92"/>
        <v>13.283437900320108</v>
      </c>
      <c r="CQ35" s="69"/>
      <c r="CR35" s="67">
        <f t="shared" ref="CR35" si="93">CP35-CN35</f>
        <v>-6.3415658208046164</v>
      </c>
      <c r="CS35" s="67">
        <f>SUM(CS8:CS33)</f>
        <v>5.5565765801009546</v>
      </c>
      <c r="CT35" s="67">
        <f>SUM(CR35:CS35)</f>
        <v>-0.78498924070366183</v>
      </c>
    </row>
    <row r="38" spans="1:98" ht="52.5" customHeight="1" x14ac:dyDescent="0.2">
      <c r="A38" s="381" t="str">
        <f>CONCATENATE(A$1," (Continued)")</f>
        <v>Basic Table 2  Employment Change by Occupation and Replacement Demand, RQF8 Doctorate, 2015-2035, Greater Lincolnshire (Continued)</v>
      </c>
      <c r="B38" s="381"/>
      <c r="C38" s="381"/>
      <c r="D38" s="381"/>
      <c r="E38" s="381"/>
      <c r="F38" s="381"/>
      <c r="G38" s="381"/>
      <c r="H38" s="381"/>
      <c r="I38" s="381"/>
      <c r="J38" s="381"/>
      <c r="L38" s="381" t="str">
        <f>CONCATENATE(L$1," (Continued)")</f>
        <v>Basic Table 2.1  Employment Change by Occupation and Replacement Demand, RQF7 Other higher degree, 2015-2035, Greater Lincolnshire (Continued)</v>
      </c>
      <c r="M38" s="381"/>
      <c r="N38" s="381"/>
      <c r="O38" s="381"/>
      <c r="P38" s="381"/>
      <c r="Q38" s="381"/>
      <c r="R38" s="381"/>
      <c r="S38" s="381"/>
      <c r="T38" s="381"/>
      <c r="U38" s="381"/>
      <c r="W38" s="381" t="str">
        <f>CONCATENATE(W$1," (Continued)")</f>
        <v>Basic Table 2.2  Employment Change by Occupation and Replacement Demand, RQF6 First degree, 2015-2035, Greater Lincolnshire (Continued)</v>
      </c>
      <c r="X38" s="381"/>
      <c r="Y38" s="381"/>
      <c r="Z38" s="381"/>
      <c r="AA38" s="381"/>
      <c r="AB38" s="381"/>
      <c r="AC38" s="381"/>
      <c r="AD38" s="381"/>
      <c r="AE38" s="381"/>
      <c r="AF38" s="381"/>
      <c r="AH38" s="381" t="str">
        <f>CONCATENATE(AH$1," (Continued)")</f>
        <v>Basic Table 2.3  Employment Change by Occupation and Replacement Demand, RQF5 Foundation degree;Nursing;Teaching, 2015-2035, Greater Lincolnshire (Continued)</v>
      </c>
      <c r="AI38" s="381"/>
      <c r="AJ38" s="381"/>
      <c r="AK38" s="381"/>
      <c r="AL38" s="381"/>
      <c r="AM38" s="381"/>
      <c r="AN38" s="381"/>
      <c r="AO38" s="381"/>
      <c r="AP38" s="381"/>
      <c r="AQ38" s="381"/>
      <c r="AS38" s="381" t="str">
        <f>CONCATENATE(AS$1," (Continued)")</f>
        <v>Basic Table 2.4  Employment Change by Occupation and Replacement Demand, RQF4 HE below degree level, 2015-2035, Greater Lincolnshire (Continued)</v>
      </c>
      <c r="AT38" s="381"/>
      <c r="AU38" s="381"/>
      <c r="AV38" s="381"/>
      <c r="AW38" s="381"/>
      <c r="AX38" s="381"/>
      <c r="AY38" s="381"/>
      <c r="AZ38" s="381"/>
      <c r="BA38" s="381"/>
      <c r="BB38" s="381"/>
      <c r="BD38" s="381" t="str">
        <f>CONCATENATE(BD$1," (Continued)")</f>
        <v>Basic Table 2.5  Employment Change by Occupation and Replacement Demand, RQF3 A level &amp; equivalent, 2015-2035, Greater Lincolnshire (Continued)</v>
      </c>
      <c r="BE38" s="381"/>
      <c r="BF38" s="381"/>
      <c r="BG38" s="381"/>
      <c r="BH38" s="381"/>
      <c r="BI38" s="381"/>
      <c r="BJ38" s="381"/>
      <c r="BK38" s="381"/>
      <c r="BL38" s="381"/>
      <c r="BM38" s="381"/>
      <c r="BO38" s="381" t="str">
        <f>CONCATENATE(BO$1," (Continued)")</f>
        <v>Basic Table 2.6  Employment Change by Occupation and Replacement Demand, RQF2 GCSE(A-C) &amp; equivalent, 2015-2035, Greater Lincolnshire (Continued)</v>
      </c>
      <c r="BP38" s="381"/>
      <c r="BQ38" s="381"/>
      <c r="BR38" s="381"/>
      <c r="BS38" s="381"/>
      <c r="BT38" s="381"/>
      <c r="BU38" s="381"/>
      <c r="BV38" s="381"/>
      <c r="BW38" s="381"/>
      <c r="BX38" s="381"/>
      <c r="BZ38" s="381" t="str">
        <f>CONCATENATE(BZ$1," (Continued)")</f>
        <v>Basic Table 2.7  Employment Change by Occupation and Replacement Demand, RQF1 GCSE(below grade C) &amp; equivalent, 2015-2035, Greater Lincolnshire (Continued)</v>
      </c>
      <c r="CA38" s="381"/>
      <c r="CB38" s="381"/>
      <c r="CC38" s="381"/>
      <c r="CD38" s="381"/>
      <c r="CE38" s="381"/>
      <c r="CF38" s="381"/>
      <c r="CG38" s="381"/>
      <c r="CH38" s="381"/>
      <c r="CI38" s="381"/>
      <c r="CK38" s="381" t="str">
        <f>CONCATENATE(CK$1," (Continued)")</f>
        <v>Basic Table 2.8  Employment Change by Occupation and Replacement Demand, No Qualification, 2015-2035, Greater Lincolnshire (Continued)</v>
      </c>
      <c r="CL38" s="381"/>
      <c r="CM38" s="381"/>
      <c r="CN38" s="381"/>
      <c r="CO38" s="381"/>
      <c r="CP38" s="381"/>
      <c r="CQ38" s="381"/>
      <c r="CR38" s="381"/>
      <c r="CS38" s="381"/>
      <c r="CT38" s="381"/>
    </row>
    <row r="39" spans="1:98" ht="12.75" customHeight="1" x14ac:dyDescent="0.2"/>
    <row r="40" spans="1:98" ht="12.75" customHeight="1" x14ac:dyDescent="0.2">
      <c r="F40" s="16" t="s">
        <v>35</v>
      </c>
      <c r="J40" s="16" t="s">
        <v>35</v>
      </c>
      <c r="Q40" s="16" t="s">
        <v>35</v>
      </c>
      <c r="U40" s="16" t="s">
        <v>35</v>
      </c>
      <c r="AB40" s="16" t="s">
        <v>35</v>
      </c>
      <c r="AF40" s="16" t="s">
        <v>35</v>
      </c>
      <c r="AM40" s="16" t="s">
        <v>35</v>
      </c>
      <c r="AQ40" s="16" t="s">
        <v>35</v>
      </c>
      <c r="AX40" s="16" t="s">
        <v>35</v>
      </c>
      <c r="BB40" s="16" t="s">
        <v>35</v>
      </c>
      <c r="BI40" s="16" t="s">
        <v>35</v>
      </c>
      <c r="BM40" s="16" t="s">
        <v>35</v>
      </c>
      <c r="BT40" s="16" t="s">
        <v>35</v>
      </c>
      <c r="BX40" s="16" t="s">
        <v>35</v>
      </c>
      <c r="CE40" s="16" t="s">
        <v>35</v>
      </c>
      <c r="CI40" s="16" t="s">
        <v>35</v>
      </c>
      <c r="CP40" s="16" t="s">
        <v>35</v>
      </c>
      <c r="CT40" s="16" t="s">
        <v>35</v>
      </c>
    </row>
    <row r="41" spans="1:98" ht="12.75" customHeight="1" x14ac:dyDescent="0.2">
      <c r="A41" s="36"/>
      <c r="B41" s="36"/>
      <c r="C41" s="36"/>
      <c r="D41" s="36"/>
      <c r="E41" s="36"/>
      <c r="F41" s="36"/>
      <c r="H41" s="28" t="str">
        <f>$H$4</f>
        <v>2020-2035</v>
      </c>
      <c r="I41" s="36"/>
      <c r="J41" s="36"/>
      <c r="L41" s="36"/>
      <c r="M41" s="36"/>
      <c r="N41" s="36"/>
      <c r="O41" s="36"/>
      <c r="P41" s="36"/>
      <c r="Q41" s="36"/>
      <c r="S41" s="28" t="str">
        <f>$H$4</f>
        <v>2020-2035</v>
      </c>
      <c r="T41" s="36"/>
      <c r="U41" s="36"/>
      <c r="W41" s="36"/>
      <c r="X41" s="36"/>
      <c r="Y41" s="36"/>
      <c r="Z41" s="36"/>
      <c r="AA41" s="36"/>
      <c r="AB41" s="36"/>
      <c r="AD41" s="28" t="str">
        <f>$H$4</f>
        <v>2020-2035</v>
      </c>
      <c r="AE41" s="36"/>
      <c r="AF41" s="36"/>
      <c r="AH41" s="36"/>
      <c r="AI41" s="36"/>
      <c r="AJ41" s="36"/>
      <c r="AK41" s="36"/>
      <c r="AL41" s="36"/>
      <c r="AM41" s="36"/>
      <c r="AO41" s="28" t="str">
        <f>$H$4</f>
        <v>2020-2035</v>
      </c>
      <c r="AP41" s="36"/>
      <c r="AQ41" s="36"/>
      <c r="AS41" s="36"/>
      <c r="AT41" s="36"/>
      <c r="AU41" s="36"/>
      <c r="AV41" s="36"/>
      <c r="AW41" s="36"/>
      <c r="AX41" s="36"/>
      <c r="AZ41" s="28" t="str">
        <f>$H$4</f>
        <v>2020-2035</v>
      </c>
      <c r="BA41" s="36"/>
      <c r="BB41" s="36"/>
      <c r="BD41" s="36"/>
      <c r="BE41" s="36"/>
      <c r="BF41" s="36"/>
      <c r="BG41" s="36"/>
      <c r="BH41" s="36"/>
      <c r="BI41" s="36"/>
      <c r="BK41" s="28" t="str">
        <f>$H$4</f>
        <v>2020-2035</v>
      </c>
      <c r="BL41" s="36"/>
      <c r="BM41" s="36"/>
      <c r="BO41" s="36"/>
      <c r="BP41" s="36"/>
      <c r="BQ41" s="36"/>
      <c r="BR41" s="36"/>
      <c r="BS41" s="36"/>
      <c r="BT41" s="36"/>
      <c r="BV41" s="28" t="str">
        <f>$H$4</f>
        <v>2020-2035</v>
      </c>
      <c r="BW41" s="36"/>
      <c r="BX41" s="36"/>
      <c r="BZ41" s="36"/>
      <c r="CA41" s="36"/>
      <c r="CB41" s="36"/>
      <c r="CC41" s="36"/>
      <c r="CD41" s="36"/>
      <c r="CE41" s="36"/>
      <c r="CG41" s="28" t="str">
        <f>$H$4</f>
        <v>2020-2035</v>
      </c>
      <c r="CH41" s="36"/>
      <c r="CI41" s="36"/>
      <c r="CK41" s="36"/>
      <c r="CL41" s="36"/>
      <c r="CM41" s="36"/>
      <c r="CN41" s="36"/>
      <c r="CO41" s="36"/>
      <c r="CP41" s="36"/>
      <c r="CR41" s="28" t="str">
        <f>$H$4</f>
        <v>2020-2035</v>
      </c>
      <c r="CS41" s="36"/>
      <c r="CT41" s="36"/>
    </row>
    <row r="42" spans="1:98" ht="12.75" customHeight="1" x14ac:dyDescent="0.2">
      <c r="H42" s="16" t="str">
        <f t="shared" ref="H42:J43" si="94">H5</f>
        <v>Net</v>
      </c>
      <c r="I42" s="16" t="str">
        <f t="shared" si="94"/>
        <v>Replacement</v>
      </c>
      <c r="J42" s="16" t="str">
        <f t="shared" si="94"/>
        <v>Total</v>
      </c>
      <c r="S42" s="16" t="str">
        <f t="shared" ref="S42:U43" si="95">S5</f>
        <v>Net</v>
      </c>
      <c r="T42" s="16" t="str">
        <f t="shared" si="95"/>
        <v>Replacement</v>
      </c>
      <c r="U42" s="16" t="str">
        <f t="shared" si="95"/>
        <v>Total</v>
      </c>
      <c r="AD42" s="16" t="str">
        <f t="shared" ref="AD42:AF43" si="96">AD5</f>
        <v>Net</v>
      </c>
      <c r="AE42" s="16" t="str">
        <f t="shared" si="96"/>
        <v>Replacement</v>
      </c>
      <c r="AF42" s="16" t="str">
        <f t="shared" si="96"/>
        <v>Total</v>
      </c>
      <c r="AO42" s="16" t="str">
        <f t="shared" ref="AO42:AQ43" si="97">AO5</f>
        <v>Net</v>
      </c>
      <c r="AP42" s="16" t="str">
        <f t="shared" si="97"/>
        <v>Replacement</v>
      </c>
      <c r="AQ42" s="16" t="str">
        <f t="shared" si="97"/>
        <v>Total</v>
      </c>
      <c r="AZ42" s="16" t="str">
        <f t="shared" ref="AZ42:BB43" si="98">AZ5</f>
        <v>Net</v>
      </c>
      <c r="BA42" s="16" t="str">
        <f t="shared" si="98"/>
        <v>Replacement</v>
      </c>
      <c r="BB42" s="16" t="str">
        <f t="shared" si="98"/>
        <v>Total</v>
      </c>
      <c r="BK42" s="16" t="str">
        <f t="shared" ref="BK42:BM43" si="99">BK5</f>
        <v>Net</v>
      </c>
      <c r="BL42" s="16" t="str">
        <f t="shared" si="99"/>
        <v>Replacement</v>
      </c>
      <c r="BM42" s="16" t="str">
        <f t="shared" si="99"/>
        <v>Total</v>
      </c>
      <c r="BV42" s="16" t="str">
        <f t="shared" ref="BV42:BX43" si="100">BV5</f>
        <v>Net</v>
      </c>
      <c r="BW42" s="16" t="str">
        <f t="shared" si="100"/>
        <v>Replacement</v>
      </c>
      <c r="BX42" s="16" t="str">
        <f t="shared" si="100"/>
        <v>Total</v>
      </c>
      <c r="CG42" s="16" t="str">
        <f t="shared" ref="CG42:CI43" si="101">CG5</f>
        <v>Net</v>
      </c>
      <c r="CH42" s="16" t="str">
        <f t="shared" si="101"/>
        <v>Replacement</v>
      </c>
      <c r="CI42" s="16" t="str">
        <f t="shared" si="101"/>
        <v>Total</v>
      </c>
      <c r="CR42" s="16" t="str">
        <f t="shared" ref="CR42:CT43" si="102">CR5</f>
        <v>Net</v>
      </c>
      <c r="CS42" s="16" t="str">
        <f t="shared" si="102"/>
        <v>Replacement</v>
      </c>
      <c r="CT42" s="16" t="str">
        <f t="shared" si="102"/>
        <v>Total</v>
      </c>
    </row>
    <row r="43" spans="1:98" ht="12.75" customHeight="1" x14ac:dyDescent="0.2">
      <c r="A43" s="41" t="s">
        <v>37</v>
      </c>
      <c r="B43" s="35">
        <f>B$6</f>
        <v>2015</v>
      </c>
      <c r="C43" s="35">
        <f>C$6</f>
        <v>2019</v>
      </c>
      <c r="D43" s="35">
        <f>D$6</f>
        <v>2020</v>
      </c>
      <c r="E43" s="35">
        <f>E$6</f>
        <v>2025</v>
      </c>
      <c r="F43" s="35">
        <f>F$6</f>
        <v>2035</v>
      </c>
      <c r="H43" s="63" t="str">
        <f t="shared" si="94"/>
        <v>Change</v>
      </c>
      <c r="I43" s="63" t="str">
        <f t="shared" si="94"/>
        <v>Demand</v>
      </c>
      <c r="J43" s="63" t="str">
        <f t="shared" si="94"/>
        <v>Requirement</v>
      </c>
      <c r="L43" s="41" t="s">
        <v>37</v>
      </c>
      <c r="M43" s="35">
        <f>M$6</f>
        <v>2015</v>
      </c>
      <c r="N43" s="35">
        <f>N$6</f>
        <v>2019</v>
      </c>
      <c r="O43" s="35">
        <f>O$6</f>
        <v>2020</v>
      </c>
      <c r="P43" s="35">
        <f>P$6</f>
        <v>2025</v>
      </c>
      <c r="Q43" s="35">
        <f>Q$6</f>
        <v>2035</v>
      </c>
      <c r="S43" s="63" t="str">
        <f t="shared" si="95"/>
        <v>Change</v>
      </c>
      <c r="T43" s="63" t="str">
        <f t="shared" si="95"/>
        <v>Demand</v>
      </c>
      <c r="U43" s="63" t="str">
        <f t="shared" si="95"/>
        <v>Requirement</v>
      </c>
      <c r="W43" s="41" t="s">
        <v>37</v>
      </c>
      <c r="X43" s="35">
        <f>X$6</f>
        <v>2015</v>
      </c>
      <c r="Y43" s="35">
        <f>Y$6</f>
        <v>2019</v>
      </c>
      <c r="Z43" s="35">
        <f>Z$6</f>
        <v>2020</v>
      </c>
      <c r="AA43" s="35">
        <f>AA$6</f>
        <v>2025</v>
      </c>
      <c r="AB43" s="35">
        <f>AB$6</f>
        <v>2035</v>
      </c>
      <c r="AD43" s="63" t="str">
        <f t="shared" si="96"/>
        <v>Change</v>
      </c>
      <c r="AE43" s="63" t="str">
        <f t="shared" si="96"/>
        <v>Demand</v>
      </c>
      <c r="AF43" s="63" t="str">
        <f t="shared" si="96"/>
        <v>Requirement</v>
      </c>
      <c r="AH43" s="41" t="s">
        <v>37</v>
      </c>
      <c r="AI43" s="35">
        <f>AI$6</f>
        <v>2015</v>
      </c>
      <c r="AJ43" s="35">
        <f>AJ$6</f>
        <v>2019</v>
      </c>
      <c r="AK43" s="35">
        <f>AK$6</f>
        <v>2020</v>
      </c>
      <c r="AL43" s="35">
        <f>AL$6</f>
        <v>2025</v>
      </c>
      <c r="AM43" s="35">
        <f>AM$6</f>
        <v>2035</v>
      </c>
      <c r="AO43" s="63" t="str">
        <f t="shared" si="97"/>
        <v>Change</v>
      </c>
      <c r="AP43" s="63" t="str">
        <f t="shared" si="97"/>
        <v>Demand</v>
      </c>
      <c r="AQ43" s="63" t="str">
        <f t="shared" si="97"/>
        <v>Requirement</v>
      </c>
      <c r="AS43" s="41" t="s">
        <v>37</v>
      </c>
      <c r="AT43" s="35">
        <f>AT$6</f>
        <v>2015</v>
      </c>
      <c r="AU43" s="35">
        <f>AU$6</f>
        <v>2019</v>
      </c>
      <c r="AV43" s="35">
        <f>AV$6</f>
        <v>2020</v>
      </c>
      <c r="AW43" s="35">
        <f>AW$6</f>
        <v>2025</v>
      </c>
      <c r="AX43" s="35">
        <f>AX$6</f>
        <v>2035</v>
      </c>
      <c r="AZ43" s="63" t="str">
        <f t="shared" si="98"/>
        <v>Change</v>
      </c>
      <c r="BA43" s="63" t="str">
        <f t="shared" si="98"/>
        <v>Demand</v>
      </c>
      <c r="BB43" s="63" t="str">
        <f t="shared" si="98"/>
        <v>Requirement</v>
      </c>
      <c r="BD43" s="41" t="s">
        <v>37</v>
      </c>
      <c r="BE43" s="35">
        <f>BE$6</f>
        <v>2015</v>
      </c>
      <c r="BF43" s="35">
        <f>BF$6</f>
        <v>2019</v>
      </c>
      <c r="BG43" s="35">
        <f>BG$6</f>
        <v>2020</v>
      </c>
      <c r="BH43" s="35">
        <f>BH$6</f>
        <v>2025</v>
      </c>
      <c r="BI43" s="35">
        <f>BI$6</f>
        <v>2035</v>
      </c>
      <c r="BK43" s="63" t="str">
        <f t="shared" si="99"/>
        <v>Change</v>
      </c>
      <c r="BL43" s="63" t="str">
        <f t="shared" si="99"/>
        <v>Demand</v>
      </c>
      <c r="BM43" s="63" t="str">
        <f t="shared" si="99"/>
        <v>Requirement</v>
      </c>
      <c r="BO43" s="41" t="s">
        <v>37</v>
      </c>
      <c r="BP43" s="35">
        <f>BP$6</f>
        <v>2015</v>
      </c>
      <c r="BQ43" s="35">
        <f>BQ$6</f>
        <v>2019</v>
      </c>
      <c r="BR43" s="35">
        <f>BR$6</f>
        <v>2020</v>
      </c>
      <c r="BS43" s="35">
        <f>BS$6</f>
        <v>2025</v>
      </c>
      <c r="BT43" s="35">
        <f>BT$6</f>
        <v>2035</v>
      </c>
      <c r="BV43" s="63" t="str">
        <f t="shared" si="100"/>
        <v>Change</v>
      </c>
      <c r="BW43" s="63" t="str">
        <f t="shared" si="100"/>
        <v>Demand</v>
      </c>
      <c r="BX43" s="63" t="str">
        <f t="shared" si="100"/>
        <v>Requirement</v>
      </c>
      <c r="BZ43" s="41" t="s">
        <v>37</v>
      </c>
      <c r="CA43" s="35">
        <f>CA$6</f>
        <v>2015</v>
      </c>
      <c r="CB43" s="35">
        <f>CB$6</f>
        <v>2019</v>
      </c>
      <c r="CC43" s="35">
        <f>CC$6</f>
        <v>2020</v>
      </c>
      <c r="CD43" s="35">
        <f>CD$6</f>
        <v>2025</v>
      </c>
      <c r="CE43" s="35">
        <f>CE$6</f>
        <v>2035</v>
      </c>
      <c r="CG43" s="63" t="str">
        <f t="shared" si="101"/>
        <v>Change</v>
      </c>
      <c r="CH43" s="63" t="str">
        <f t="shared" si="101"/>
        <v>Demand</v>
      </c>
      <c r="CI43" s="63" t="str">
        <f t="shared" si="101"/>
        <v>Requirement</v>
      </c>
      <c r="CK43" s="41" t="s">
        <v>37</v>
      </c>
      <c r="CL43" s="35">
        <f>CL$6</f>
        <v>2015</v>
      </c>
      <c r="CM43" s="35">
        <f>CM$6</f>
        <v>2019</v>
      </c>
      <c r="CN43" s="35">
        <f>CN$6</f>
        <v>2020</v>
      </c>
      <c r="CO43" s="35">
        <f>CO$6</f>
        <v>2025</v>
      </c>
      <c r="CP43" s="35">
        <f>CP$6</f>
        <v>2035</v>
      </c>
      <c r="CR43" s="63" t="str">
        <f t="shared" si="102"/>
        <v>Change</v>
      </c>
      <c r="CS43" s="63" t="str">
        <f t="shared" si="102"/>
        <v>Demand</v>
      </c>
      <c r="CT43" s="63" t="str">
        <f t="shared" si="102"/>
        <v>Requirement</v>
      </c>
    </row>
    <row r="44" spans="1:98" x14ac:dyDescent="0.2">
      <c r="G44" s="11"/>
      <c r="R44" s="11"/>
      <c r="AC44" s="11"/>
      <c r="AN44" s="11"/>
      <c r="AY44" s="11"/>
      <c r="BJ44" s="11"/>
      <c r="BU44" s="11"/>
      <c r="CF44" s="11"/>
      <c r="CQ44" s="11"/>
    </row>
    <row r="45" spans="1:98" x14ac:dyDescent="0.2">
      <c r="A45" t="str">
        <f t="shared" ref="A45:A70" si="103">A8</f>
        <v>11 Corporate managers and directors</v>
      </c>
      <c r="B45" s="18">
        <f t="shared" ref="B45:F54" si="104">B8/B$35*100</f>
        <v>6.2690871335184095</v>
      </c>
      <c r="C45" s="18">
        <f t="shared" si="104"/>
        <v>6.2257936560431606</v>
      </c>
      <c r="D45" s="18">
        <f t="shared" si="104"/>
        <v>6.6728337572642111</v>
      </c>
      <c r="E45" s="18">
        <f t="shared" si="104"/>
        <v>6.0051968468044565</v>
      </c>
      <c r="F45" s="18">
        <f t="shared" si="104"/>
        <v>6.1286561881486605</v>
      </c>
      <c r="H45" s="68">
        <f t="shared" ref="H45:H70" si="105">IF(D8&gt;0,(H8/D8)*100,0)</f>
        <v>44.250020916293927</v>
      </c>
      <c r="I45" s="69">
        <f t="shared" ref="I45:I70" si="106">IF(D8&gt;0,I8/D8*100,0)</f>
        <v>60.295868205532187</v>
      </c>
      <c r="J45" s="69">
        <f t="shared" ref="J45:J70" si="107">IF(D8&gt;0,(J8/D8)*100,0)</f>
        <v>104.54588912182612</v>
      </c>
      <c r="L45" t="str">
        <f>A45</f>
        <v>11 Corporate managers and directors</v>
      </c>
      <c r="M45" s="18">
        <f t="shared" ref="M45:Q54" si="108">M8/M$35*100</f>
        <v>8.2002960294172969</v>
      </c>
      <c r="N45" s="18">
        <f t="shared" si="108"/>
        <v>8.6453211335275384</v>
      </c>
      <c r="O45" s="18">
        <f t="shared" si="108"/>
        <v>8.6431686042598663</v>
      </c>
      <c r="P45" s="18">
        <f t="shared" si="108"/>
        <v>7.6021803317784782</v>
      </c>
      <c r="Q45" s="18">
        <f t="shared" si="108"/>
        <v>7.4864510251472209</v>
      </c>
      <c r="S45" s="68">
        <f t="shared" ref="S45:S70" si="109">IF(O8&gt;0,(S8/O8)*100,0)</f>
        <v>37.23629332983262</v>
      </c>
      <c r="T45" s="69">
        <f t="shared" ref="T45:T70" si="110">IF(O8&gt;0,T8/O8*100,0)</f>
        <v>58.061044236571249</v>
      </c>
      <c r="U45" s="69">
        <f t="shared" ref="U45:U70" si="111">IF(O8&gt;0,(U8/O8)*100,0)</f>
        <v>95.297337566403854</v>
      </c>
      <c r="W45" t="str">
        <f>A45</f>
        <v>11 Corporate managers and directors</v>
      </c>
      <c r="X45" s="18">
        <f t="shared" ref="X45:AB54" si="112">X8/X$35*100</f>
        <v>9.8515200578988953</v>
      </c>
      <c r="Y45" s="18">
        <f t="shared" si="112"/>
        <v>10.515768452463549</v>
      </c>
      <c r="Z45" s="18">
        <f t="shared" si="112"/>
        <v>10.763407066175667</v>
      </c>
      <c r="AA45" s="18">
        <f t="shared" si="112"/>
        <v>9.3173308006295965</v>
      </c>
      <c r="AB45" s="18">
        <f t="shared" si="112"/>
        <v>9.1481004425956076</v>
      </c>
      <c r="AD45" s="68">
        <f t="shared" ref="AD45:AD70" si="113">IF(Z8&gt;0,(AD8/Z8)*100,0)</f>
        <v>13.635581062463459</v>
      </c>
      <c r="AE45" s="69">
        <f t="shared" ref="AE45:AE70" si="114">IF(Z8&gt;0,AE8/Z8*100,0)</f>
        <v>58.45332961610076</v>
      </c>
      <c r="AF45" s="69">
        <f t="shared" ref="AF45:AF70" si="115">IF(Z8&gt;0,(AF8/Z8)*100,0)</f>
        <v>72.088910678564218</v>
      </c>
      <c r="AH45" t="str">
        <f>L45</f>
        <v>11 Corporate managers and directors</v>
      </c>
      <c r="AI45" s="18">
        <f t="shared" ref="AI45:AM54" si="116">AI8/AI$35*100</f>
        <v>6.0836249314029969</v>
      </c>
      <c r="AJ45" s="18">
        <f t="shared" si="116"/>
        <v>6.7368188540293197</v>
      </c>
      <c r="AK45" s="18">
        <f t="shared" si="116"/>
        <v>7.140506065822855</v>
      </c>
      <c r="AL45" s="18">
        <f t="shared" si="116"/>
        <v>6.3151210274338814</v>
      </c>
      <c r="AM45" s="18">
        <f t="shared" si="116"/>
        <v>6.1352558452283779</v>
      </c>
      <c r="AO45" s="68">
        <f t="shared" ref="AO45:AO70" si="117">IF(AK8&gt;0,(AO8/AK8)*100,0)</f>
        <v>0.99419697898745196</v>
      </c>
      <c r="AP45" s="69">
        <f t="shared" ref="AP45:AP70" si="118">IF(AK8&gt;0,AP8/AK8*100,0)</f>
        <v>50.645619906884889</v>
      </c>
      <c r="AQ45" s="69">
        <f t="shared" ref="AQ45:AQ70" si="119">IF(AK8&gt;0,(AQ8/AK8)*100,0)</f>
        <v>51.639816885872335</v>
      </c>
      <c r="AS45" t="str">
        <f>W45</f>
        <v>11 Corporate managers and directors</v>
      </c>
      <c r="AT45" s="18">
        <f t="shared" ref="AT45:AX54" si="120">AT8/AT$35*100</f>
        <v>9.5069438005031746</v>
      </c>
      <c r="AU45" s="18">
        <f t="shared" si="120"/>
        <v>9.8522714290967546</v>
      </c>
      <c r="AV45" s="18">
        <f t="shared" si="120"/>
        <v>10.432362102234965</v>
      </c>
      <c r="AW45" s="18">
        <f t="shared" si="120"/>
        <v>8.6355587853962223</v>
      </c>
      <c r="AX45" s="18">
        <f t="shared" si="120"/>
        <v>8.2464419052441453</v>
      </c>
      <c r="AZ45" s="68">
        <f t="shared" ref="AZ45:AZ70" si="121">IF(AV8&gt;0,(AZ8/AV8)*100,0)</f>
        <v>-0.49169218689453881</v>
      </c>
      <c r="BA45" s="69">
        <f t="shared" ref="BA45:BA70" si="122">IF(AV8&gt;0,BA8/AV8*100,0)</f>
        <v>48.866691694075996</v>
      </c>
      <c r="BB45" s="69">
        <f t="shared" ref="BB45:BB70" si="123">IF(AV8&gt;0,(BB8/AV8)*100,0)</f>
        <v>48.374999507181457</v>
      </c>
      <c r="BD45" t="str">
        <f>AH45</f>
        <v>11 Corporate managers and directors</v>
      </c>
      <c r="BE45" s="18">
        <f t="shared" ref="BE45:BI54" si="124">BE8/BE$35*100</f>
        <v>5.6820629862936824</v>
      </c>
      <c r="BF45" s="18">
        <f t="shared" si="124"/>
        <v>6.6056363988096445</v>
      </c>
      <c r="BG45" s="18">
        <f t="shared" si="124"/>
        <v>6.7362919368318037</v>
      </c>
      <c r="BH45" s="18">
        <f t="shared" si="124"/>
        <v>5.8002047051256511</v>
      </c>
      <c r="BI45" s="18">
        <f t="shared" si="124"/>
        <v>6.0357131182142005</v>
      </c>
      <c r="BK45" s="68">
        <f t="shared" ref="BK45:BK70" si="125">IF(BG8&gt;0,(BK8/BG8)*100,0)</f>
        <v>-4.5055435233772316</v>
      </c>
      <c r="BL45" s="69">
        <f t="shared" ref="BL45:BL70" si="126">IF(BG8&gt;0,BL8/BG8*100,0)</f>
        <v>40.949463864350342</v>
      </c>
      <c r="BM45" s="69">
        <f t="shared" ref="BM45:BM70" si="127">IF(BG8&gt;0,(BM8/BG8)*100,0)</f>
        <v>36.443920340973115</v>
      </c>
      <c r="BO45" t="str">
        <f>AS45</f>
        <v>11 Corporate managers and directors</v>
      </c>
      <c r="BP45" s="18">
        <f t="shared" ref="BP45:BT54" si="128">BP8/BP$35*100</f>
        <v>4.2725597345024919</v>
      </c>
      <c r="BQ45" s="18">
        <f t="shared" si="128"/>
        <v>4.8785238783261775</v>
      </c>
      <c r="BR45" s="18">
        <f t="shared" si="128"/>
        <v>5.035135743846662</v>
      </c>
      <c r="BS45" s="18">
        <f t="shared" si="128"/>
        <v>4.0944832244969822</v>
      </c>
      <c r="BT45" s="18">
        <f t="shared" si="128"/>
        <v>3.7729384394232177</v>
      </c>
      <c r="BV45" s="68">
        <f t="shared" ref="BV45:BV70" si="129">IF(BR8&gt;0,(BV8/BR8)*100,0)</f>
        <v>-41.894701148144854</v>
      </c>
      <c r="BW45" s="69">
        <f t="shared" ref="BW45:BW70" si="130">IF(BR8&gt;0,BW8/BR8*100,0)</f>
        <v>32.894111535356267</v>
      </c>
      <c r="BX45" s="69">
        <f t="shared" ref="BX45:BX70" si="131">IF(BR8&gt;0,(BX8/BR8)*100,0)</f>
        <v>-9.0005896127885858</v>
      </c>
      <c r="BZ45" t="str">
        <f>BD45</f>
        <v>11 Corporate managers and directors</v>
      </c>
      <c r="CA45" s="18">
        <f t="shared" ref="CA45:CE54" si="132">CA8/CA$35*100</f>
        <v>4.3030158244464163</v>
      </c>
      <c r="CB45" s="18">
        <f t="shared" si="132"/>
        <v>5.382556450664822</v>
      </c>
      <c r="CC45" s="18">
        <f t="shared" si="132"/>
        <v>5.7863424914704291</v>
      </c>
      <c r="CD45" s="18">
        <f t="shared" si="132"/>
        <v>5.2232315951654007</v>
      </c>
      <c r="CE45" s="18">
        <f t="shared" si="132"/>
        <v>6.0104973676824835</v>
      </c>
      <c r="CG45" s="68">
        <f t="shared" ref="CG45:CG70" si="133">IF(CC8&gt;0,(CG8/CC8)*100,0)</f>
        <v>-42.629730087867678</v>
      </c>
      <c r="CH45" s="69">
        <f t="shared" ref="CH45:CH70" si="134">IF(CC8&gt;0,CH8/CC8*100,0)</f>
        <v>33.388088427579056</v>
      </c>
      <c r="CI45" s="69">
        <f t="shared" ref="CI45:CI70" si="135">IF(CC8&gt;0,(CI8/CC8)*100,0)</f>
        <v>-9.2416416602886304</v>
      </c>
      <c r="CK45" t="str">
        <f>BO45</f>
        <v>11 Corporate managers and directors</v>
      </c>
      <c r="CL45" s="18">
        <f t="shared" ref="CL45:CP54" si="136">CL8/CL$35*100</f>
        <v>2.4316620025680349</v>
      </c>
      <c r="CM45" s="18">
        <f t="shared" si="136"/>
        <v>3.3668549654131406</v>
      </c>
      <c r="CN45" s="18">
        <f t="shared" si="136"/>
        <v>3.4165629258753536</v>
      </c>
      <c r="CO45" s="18">
        <f t="shared" si="136"/>
        <v>3.5138363242858119</v>
      </c>
      <c r="CP45" s="18">
        <f t="shared" si="136"/>
        <v>4.4466719653367566</v>
      </c>
      <c r="CR45" s="68">
        <f t="shared" ref="CR45:CR70" si="137">IF(CN8&gt;0,(CR8/CN8)*100,0)</f>
        <v>-11.905983683221026</v>
      </c>
      <c r="CS45" s="69">
        <f t="shared" ref="CS45:CS70" si="138">IF(CN8&gt;0,CS8/CN8*100,0)</f>
        <v>33.494896588273811</v>
      </c>
      <c r="CT45" s="69">
        <f t="shared" ref="CT45:CT70" si="139">IF(CN8&gt;0,(CT8/CN8)*100,0)</f>
        <v>21.588912905052783</v>
      </c>
    </row>
    <row r="46" spans="1:98" x14ac:dyDescent="0.2">
      <c r="A46" t="str">
        <f t="shared" si="103"/>
        <v>12 Other managers and proprietors</v>
      </c>
      <c r="B46" s="18">
        <f t="shared" si="104"/>
        <v>2.8106449143307475</v>
      </c>
      <c r="C46" s="18">
        <f t="shared" si="104"/>
        <v>2.8312210211065949</v>
      </c>
      <c r="D46" s="18">
        <f t="shared" si="104"/>
        <v>2.6389028028329067</v>
      </c>
      <c r="E46" s="18">
        <f t="shared" si="104"/>
        <v>2.7477330628033712</v>
      </c>
      <c r="F46" s="18">
        <f t="shared" si="104"/>
        <v>3.0142786862897228</v>
      </c>
      <c r="H46" s="68">
        <f t="shared" si="105"/>
        <v>79.399380836584854</v>
      </c>
      <c r="I46" s="69">
        <f t="shared" si="106"/>
        <v>79.224498280073334</v>
      </c>
      <c r="J46" s="69">
        <f t="shared" si="107"/>
        <v>158.6238791166582</v>
      </c>
      <c r="L46" t="str">
        <f t="shared" ref="L46:L69" si="140">A46</f>
        <v>12 Other managers and proprietors</v>
      </c>
      <c r="M46" s="18">
        <f t="shared" si="108"/>
        <v>3.4184032145935843</v>
      </c>
      <c r="N46" s="18">
        <f t="shared" si="108"/>
        <v>3.439678961155558</v>
      </c>
      <c r="O46" s="18">
        <f t="shared" si="108"/>
        <v>3.411248943291556</v>
      </c>
      <c r="P46" s="18">
        <f t="shared" si="108"/>
        <v>3.4495257742455014</v>
      </c>
      <c r="Q46" s="18">
        <f t="shared" si="108"/>
        <v>3.7778833887751375</v>
      </c>
      <c r="S46" s="68">
        <f t="shared" si="109"/>
        <v>75.469286833984128</v>
      </c>
      <c r="T46" s="69">
        <f t="shared" si="110"/>
        <v>75.095351877958436</v>
      </c>
      <c r="U46" s="69">
        <f t="shared" si="111"/>
        <v>150.56463871194256</v>
      </c>
      <c r="W46" t="str">
        <f t="shared" ref="W46:W69" si="141">A46</f>
        <v>12 Other managers and proprietors</v>
      </c>
      <c r="X46" s="18">
        <f t="shared" si="112"/>
        <v>3.869726555585558</v>
      </c>
      <c r="Y46" s="18">
        <f t="shared" si="112"/>
        <v>3.8848901147024439</v>
      </c>
      <c r="Z46" s="18">
        <f t="shared" si="112"/>
        <v>3.937568842799462</v>
      </c>
      <c r="AA46" s="18">
        <f t="shared" si="112"/>
        <v>3.9489973802501481</v>
      </c>
      <c r="AB46" s="18">
        <f t="shared" si="112"/>
        <v>4.1341188838902738</v>
      </c>
      <c r="AD46" s="68">
        <f t="shared" si="113"/>
        <v>40.374421507135324</v>
      </c>
      <c r="AE46" s="69">
        <f t="shared" si="114"/>
        <v>72.176245547792163</v>
      </c>
      <c r="AF46" s="69">
        <f t="shared" si="115"/>
        <v>112.55066705492749</v>
      </c>
      <c r="AH46" t="str">
        <f t="shared" ref="AH46:AH69" si="142">L46</f>
        <v>12 Other managers and proprietors</v>
      </c>
      <c r="AI46" s="18">
        <f t="shared" si="116"/>
        <v>3.3428287406472688</v>
      </c>
      <c r="AJ46" s="18">
        <f t="shared" si="116"/>
        <v>3.6100233628484442</v>
      </c>
      <c r="AK46" s="18">
        <f t="shared" si="116"/>
        <v>3.9341011997077455</v>
      </c>
      <c r="AL46" s="18">
        <f t="shared" si="116"/>
        <v>3.8652712878948496</v>
      </c>
      <c r="AM46" s="18">
        <f t="shared" si="116"/>
        <v>4.1505755678901499</v>
      </c>
      <c r="AO46" s="68">
        <f t="shared" si="117"/>
        <v>24.00966458315083</v>
      </c>
      <c r="AP46" s="69">
        <f t="shared" si="118"/>
        <v>65.661629285103757</v>
      </c>
      <c r="AQ46" s="69">
        <f t="shared" si="119"/>
        <v>89.671293868254594</v>
      </c>
      <c r="AS46" t="str">
        <f t="shared" ref="AS46:AS69" si="143">W46</f>
        <v>12 Other managers and proprietors</v>
      </c>
      <c r="AT46" s="18">
        <f t="shared" si="120"/>
        <v>4.0421560132184151</v>
      </c>
      <c r="AU46" s="18">
        <f t="shared" si="120"/>
        <v>4.1122831755087788</v>
      </c>
      <c r="AV46" s="18">
        <f t="shared" si="120"/>
        <v>4.2256366429465171</v>
      </c>
      <c r="AW46" s="18">
        <f t="shared" si="120"/>
        <v>4.3203945101888523</v>
      </c>
      <c r="AX46" s="18">
        <f t="shared" si="120"/>
        <v>4.4098272689677618</v>
      </c>
      <c r="AZ46" s="68">
        <f t="shared" si="121"/>
        <v>31.372607127064089</v>
      </c>
      <c r="BA46" s="69">
        <f t="shared" si="122"/>
        <v>66.635356200226994</v>
      </c>
      <c r="BB46" s="69">
        <f t="shared" si="123"/>
        <v>98.007963327291094</v>
      </c>
      <c r="BD46" t="str">
        <f t="shared" ref="BD46:BD69" si="144">AH46</f>
        <v>12 Other managers and proprietors</v>
      </c>
      <c r="BE46" s="18">
        <f t="shared" si="124"/>
        <v>2.8041903551570777</v>
      </c>
      <c r="BF46" s="18">
        <f t="shared" si="124"/>
        <v>2.7900385170451591</v>
      </c>
      <c r="BG46" s="18">
        <f t="shared" si="124"/>
        <v>3.0559005839879561</v>
      </c>
      <c r="BH46" s="18">
        <f t="shared" si="124"/>
        <v>3.0306495482996456</v>
      </c>
      <c r="BI46" s="18">
        <f t="shared" si="124"/>
        <v>3.2252409932066795</v>
      </c>
      <c r="BK46" s="68">
        <f t="shared" si="125"/>
        <v>12.484691585128944</v>
      </c>
      <c r="BL46" s="69">
        <f t="shared" si="126"/>
        <v>46.705526850304388</v>
      </c>
      <c r="BM46" s="69">
        <f t="shared" si="127"/>
        <v>59.190218435433337</v>
      </c>
      <c r="BO46" t="str">
        <f t="shared" ref="BO46:BO69" si="145">AS46</f>
        <v>12 Other managers and proprietors</v>
      </c>
      <c r="BP46" s="18">
        <f t="shared" si="128"/>
        <v>2.7830976305724993</v>
      </c>
      <c r="BQ46" s="18">
        <f t="shared" si="128"/>
        <v>3.0936886719355883</v>
      </c>
      <c r="BR46" s="18">
        <f t="shared" si="128"/>
        <v>3.1632037647518958</v>
      </c>
      <c r="BS46" s="18">
        <f t="shared" si="128"/>
        <v>3.1739361366363115</v>
      </c>
      <c r="BT46" s="18">
        <f t="shared" si="128"/>
        <v>3.3399639551946776</v>
      </c>
      <c r="BV46" s="68">
        <f t="shared" si="129"/>
        <v>-18.123020191964869</v>
      </c>
      <c r="BW46" s="69">
        <f t="shared" si="130"/>
        <v>47.034584821397154</v>
      </c>
      <c r="BX46" s="69">
        <f t="shared" si="131"/>
        <v>28.911564629432284</v>
      </c>
      <c r="BZ46" t="str">
        <f t="shared" ref="BZ46:BZ69" si="146">BD46</f>
        <v>12 Other managers and proprietors</v>
      </c>
      <c r="CA46" s="18">
        <f t="shared" si="132"/>
        <v>2.711495188605507</v>
      </c>
      <c r="CB46" s="18">
        <f t="shared" si="132"/>
        <v>3.0271442140011326</v>
      </c>
      <c r="CC46" s="18">
        <f t="shared" si="132"/>
        <v>3.2303460356436164</v>
      </c>
      <c r="CD46" s="18">
        <f t="shared" si="132"/>
        <v>3.2886846819725446</v>
      </c>
      <c r="CE46" s="18">
        <f t="shared" si="132"/>
        <v>3.6133624428858218</v>
      </c>
      <c r="CG46" s="68">
        <f t="shared" si="133"/>
        <v>-38.22068376579989</v>
      </c>
      <c r="CH46" s="69">
        <f t="shared" si="134"/>
        <v>37.69840481225522</v>
      </c>
      <c r="CI46" s="69">
        <f t="shared" si="135"/>
        <v>-0.52227895354466969</v>
      </c>
      <c r="CK46" t="str">
        <f t="shared" ref="CK46:CK69" si="147">BO46</f>
        <v>12 Other managers and proprietors</v>
      </c>
      <c r="CL46" s="18">
        <f t="shared" si="136"/>
        <v>2.7708942401161276</v>
      </c>
      <c r="CM46" s="18">
        <f t="shared" si="136"/>
        <v>3.4597802579881645</v>
      </c>
      <c r="CN46" s="18">
        <f t="shared" si="136"/>
        <v>3.6288950531386628</v>
      </c>
      <c r="CO46" s="18">
        <f t="shared" si="136"/>
        <v>4.5847188160270784</v>
      </c>
      <c r="CP46" s="18">
        <f t="shared" si="136"/>
        <v>7.0191854012154522</v>
      </c>
      <c r="CR46" s="68">
        <f t="shared" si="137"/>
        <v>30.922125422696705</v>
      </c>
      <c r="CS46" s="69">
        <f t="shared" si="138"/>
        <v>45.988947316367742</v>
      </c>
      <c r="CT46" s="69">
        <f t="shared" si="139"/>
        <v>76.911072739064451</v>
      </c>
    </row>
    <row r="47" spans="1:98" x14ac:dyDescent="0.2">
      <c r="A47" t="str">
        <f t="shared" si="103"/>
        <v>21 Science, research, engineering and technology professionals</v>
      </c>
      <c r="B47" s="18">
        <f t="shared" si="104"/>
        <v>17.493991259347265</v>
      </c>
      <c r="C47" s="18">
        <f t="shared" si="104"/>
        <v>18.364620159974667</v>
      </c>
      <c r="D47" s="18">
        <f t="shared" si="104"/>
        <v>18.869265884253586</v>
      </c>
      <c r="E47" s="18">
        <f t="shared" si="104"/>
        <v>21.509528090815458</v>
      </c>
      <c r="F47" s="18">
        <f t="shared" si="104"/>
        <v>22.240446495028284</v>
      </c>
      <c r="H47" s="68">
        <f t="shared" si="105"/>
        <v>85.1183323394703</v>
      </c>
      <c r="I47" s="69">
        <f t="shared" si="106"/>
        <v>55.495637452061885</v>
      </c>
      <c r="J47" s="69">
        <f t="shared" si="107"/>
        <v>140.61396979153221</v>
      </c>
      <c r="L47" t="str">
        <f t="shared" si="140"/>
        <v>21 Science, research, engineering and technology professionals</v>
      </c>
      <c r="M47" s="18">
        <f t="shared" si="108"/>
        <v>9.6380020925309999</v>
      </c>
      <c r="N47" s="18">
        <f t="shared" si="108"/>
        <v>9.7031493334914796</v>
      </c>
      <c r="O47" s="18">
        <f t="shared" si="108"/>
        <v>10.257761804544192</v>
      </c>
      <c r="P47" s="18">
        <f t="shared" si="108"/>
        <v>12.563709439325407</v>
      </c>
      <c r="Q47" s="18">
        <f t="shared" si="108"/>
        <v>13.190923694033899</v>
      </c>
      <c r="S47" s="68">
        <f t="shared" si="109"/>
        <v>103.74575758480826</v>
      </c>
      <c r="T47" s="69">
        <f t="shared" si="110"/>
        <v>62.946197983798989</v>
      </c>
      <c r="U47" s="69">
        <f t="shared" si="111"/>
        <v>166.69195556860723</v>
      </c>
      <c r="W47" t="str">
        <f t="shared" si="141"/>
        <v>21 Science, research, engineering and technology professionals</v>
      </c>
      <c r="X47" s="18">
        <f t="shared" si="112"/>
        <v>9.0824656601418337</v>
      </c>
      <c r="Y47" s="18">
        <f t="shared" si="112"/>
        <v>8.7634212739661592</v>
      </c>
      <c r="Z47" s="18">
        <f t="shared" si="112"/>
        <v>9.0357124911253521</v>
      </c>
      <c r="AA47" s="18">
        <f t="shared" si="112"/>
        <v>9.9341770925441697</v>
      </c>
      <c r="AB47" s="18">
        <f t="shared" si="112"/>
        <v>9.3291015032170463</v>
      </c>
      <c r="AD47" s="68">
        <f t="shared" si="113"/>
        <v>38.041793370240157</v>
      </c>
      <c r="AE47" s="69">
        <f t="shared" si="114"/>
        <v>48.899133732232009</v>
      </c>
      <c r="AF47" s="69">
        <f t="shared" si="115"/>
        <v>86.940927102472159</v>
      </c>
      <c r="AH47" t="str">
        <f t="shared" si="142"/>
        <v>21 Science, research, engineering and technology professionals</v>
      </c>
      <c r="AI47" s="18">
        <f t="shared" si="116"/>
        <v>3.0097062712526501</v>
      </c>
      <c r="AJ47" s="18">
        <f t="shared" si="116"/>
        <v>3.049445135545569</v>
      </c>
      <c r="AK47" s="18">
        <f t="shared" si="116"/>
        <v>3.4860156856371853</v>
      </c>
      <c r="AL47" s="18">
        <f t="shared" si="116"/>
        <v>4.0828165792415643</v>
      </c>
      <c r="AM47" s="18">
        <f t="shared" si="116"/>
        <v>4.2832917849403209</v>
      </c>
      <c r="AO47" s="68">
        <f t="shared" si="117"/>
        <v>44.424561719033605</v>
      </c>
      <c r="AP47" s="69">
        <f t="shared" si="118"/>
        <v>49.771569577614351</v>
      </c>
      <c r="AQ47" s="69">
        <f t="shared" si="119"/>
        <v>94.196131296647962</v>
      </c>
      <c r="AS47" t="str">
        <f t="shared" si="143"/>
        <v>21 Science, research, engineering and technology professionals</v>
      </c>
      <c r="AT47" s="18">
        <f t="shared" si="120"/>
        <v>9.5358682181199939</v>
      </c>
      <c r="AU47" s="18">
        <f t="shared" si="120"/>
        <v>8.851437428180251</v>
      </c>
      <c r="AV47" s="18">
        <f t="shared" si="120"/>
        <v>9.6012112783719594</v>
      </c>
      <c r="AW47" s="18">
        <f t="shared" si="120"/>
        <v>10.189557667688504</v>
      </c>
      <c r="AX47" s="18">
        <f t="shared" si="120"/>
        <v>9.4547572613585906</v>
      </c>
      <c r="AZ47" s="68">
        <f t="shared" si="121"/>
        <v>23.96518894500602</v>
      </c>
      <c r="BA47" s="69">
        <f t="shared" si="122"/>
        <v>40.706573698733514</v>
      </c>
      <c r="BB47" s="69">
        <f t="shared" si="123"/>
        <v>64.671762643739541</v>
      </c>
      <c r="BD47" t="str">
        <f t="shared" si="144"/>
        <v>21 Science, research, engineering and technology professionals</v>
      </c>
      <c r="BE47" s="18">
        <f t="shared" si="124"/>
        <v>3.7951460213213313</v>
      </c>
      <c r="BF47" s="18">
        <f t="shared" si="124"/>
        <v>4.384338102076498</v>
      </c>
      <c r="BG47" s="18">
        <f t="shared" si="124"/>
        <v>4.4831949016376198</v>
      </c>
      <c r="BH47" s="18">
        <f t="shared" si="124"/>
        <v>5.3875765294778999</v>
      </c>
      <c r="BI47" s="18">
        <f t="shared" si="124"/>
        <v>5.8012452239681931</v>
      </c>
      <c r="BK47" s="68">
        <f t="shared" si="125"/>
        <v>37.912641384916981</v>
      </c>
      <c r="BL47" s="69">
        <f t="shared" si="126"/>
        <v>39.538498141342806</v>
      </c>
      <c r="BM47" s="69">
        <f t="shared" si="127"/>
        <v>77.451139526259766</v>
      </c>
      <c r="BO47" t="str">
        <f t="shared" si="145"/>
        <v>21 Science, research, engineering and technology professionals</v>
      </c>
      <c r="BP47" s="18">
        <f t="shared" si="128"/>
        <v>2.3412479897876262</v>
      </c>
      <c r="BQ47" s="18">
        <f t="shared" si="128"/>
        <v>2.5717029949980748</v>
      </c>
      <c r="BR47" s="18">
        <f t="shared" si="128"/>
        <v>2.7389536872446425</v>
      </c>
      <c r="BS47" s="18">
        <f t="shared" si="128"/>
        <v>3.1868387515159884</v>
      </c>
      <c r="BT47" s="18">
        <f t="shared" si="128"/>
        <v>3.498069926871425</v>
      </c>
      <c r="BV47" s="68">
        <f t="shared" si="129"/>
        <v>-0.96447655182984193</v>
      </c>
      <c r="BW47" s="69">
        <f t="shared" si="130"/>
        <v>34.986786357290597</v>
      </c>
      <c r="BX47" s="69">
        <f t="shared" si="131"/>
        <v>34.022309805460758</v>
      </c>
      <c r="BZ47" t="str">
        <f t="shared" si="146"/>
        <v>21 Science, research, engineering and technology professionals</v>
      </c>
      <c r="CA47" s="18">
        <f t="shared" si="132"/>
        <v>1.8584021054115736</v>
      </c>
      <c r="CB47" s="18">
        <f t="shared" si="132"/>
        <v>2.3174262712512399</v>
      </c>
      <c r="CC47" s="18">
        <f t="shared" si="132"/>
        <v>2.4840328390645539</v>
      </c>
      <c r="CD47" s="18">
        <f t="shared" si="132"/>
        <v>2.8928127372682297</v>
      </c>
      <c r="CE47" s="18">
        <f t="shared" si="132"/>
        <v>3.2077795870889387</v>
      </c>
      <c r="CG47" s="68">
        <f t="shared" si="133"/>
        <v>-28.677295305071198</v>
      </c>
      <c r="CH47" s="69">
        <f t="shared" si="134"/>
        <v>29.952765760744843</v>
      </c>
      <c r="CI47" s="69">
        <f t="shared" si="135"/>
        <v>1.2754704556736434</v>
      </c>
      <c r="CK47" t="str">
        <f t="shared" si="147"/>
        <v>21 Science, research, engineering and technology professionals</v>
      </c>
      <c r="CL47" s="18">
        <f t="shared" si="136"/>
        <v>1.1294430664347912</v>
      </c>
      <c r="CM47" s="18">
        <f t="shared" si="136"/>
        <v>1.5531372101058523</v>
      </c>
      <c r="CN47" s="18">
        <f t="shared" si="136"/>
        <v>1.7548138484171396</v>
      </c>
      <c r="CO47" s="18">
        <f t="shared" si="136"/>
        <v>2.8787339675098607</v>
      </c>
      <c r="CP47" s="18">
        <f t="shared" si="136"/>
        <v>3.8248400998243537</v>
      </c>
      <c r="CR47" s="68">
        <f t="shared" si="137"/>
        <v>47.530893559918567</v>
      </c>
      <c r="CS47" s="69">
        <f t="shared" si="138"/>
        <v>41.9849946152097</v>
      </c>
      <c r="CT47" s="69">
        <f t="shared" si="139"/>
        <v>89.515888175128268</v>
      </c>
    </row>
    <row r="48" spans="1:98" x14ac:dyDescent="0.2">
      <c r="A48" t="str">
        <f t="shared" si="103"/>
        <v>22 Health professionals</v>
      </c>
      <c r="B48" s="18">
        <f t="shared" si="104"/>
        <v>19.664413657276707</v>
      </c>
      <c r="C48" s="18">
        <f t="shared" si="104"/>
        <v>21.644193784482766</v>
      </c>
      <c r="D48" s="18">
        <f t="shared" si="104"/>
        <v>20.737184469163221</v>
      </c>
      <c r="E48" s="18">
        <f t="shared" si="104"/>
        <v>20.981405853934682</v>
      </c>
      <c r="F48" s="18">
        <f t="shared" si="104"/>
        <v>20.660784056878796</v>
      </c>
      <c r="H48" s="68">
        <f t="shared" si="105"/>
        <v>56.479676317211968</v>
      </c>
      <c r="I48" s="69">
        <f t="shared" si="106"/>
        <v>60.085069584692938</v>
      </c>
      <c r="J48" s="69">
        <f t="shared" si="107"/>
        <v>116.56474590190491</v>
      </c>
      <c r="L48" t="str">
        <f t="shared" si="140"/>
        <v>22 Health professionals</v>
      </c>
      <c r="M48" s="18">
        <f t="shared" si="108"/>
        <v>8.7391879962470433</v>
      </c>
      <c r="N48" s="18">
        <f t="shared" si="108"/>
        <v>9.4829134705101801</v>
      </c>
      <c r="O48" s="18">
        <f t="shared" si="108"/>
        <v>8.8816511410542738</v>
      </c>
      <c r="P48" s="18">
        <f t="shared" si="108"/>
        <v>8.2021442270167082</v>
      </c>
      <c r="Q48" s="18">
        <f t="shared" si="108"/>
        <v>7.6103042812689132</v>
      </c>
      <c r="S48" s="68">
        <f t="shared" si="109"/>
        <v>35.760768382349731</v>
      </c>
      <c r="T48" s="69">
        <f t="shared" si="110"/>
        <v>54.935313438367714</v>
      </c>
      <c r="U48" s="69">
        <f t="shared" si="111"/>
        <v>90.696081820717438</v>
      </c>
      <c r="W48" t="str">
        <f t="shared" si="141"/>
        <v>22 Health professionals</v>
      </c>
      <c r="X48" s="18">
        <f t="shared" si="112"/>
        <v>8.6854473834403407</v>
      </c>
      <c r="Y48" s="18">
        <f t="shared" si="112"/>
        <v>9.5127671682500115</v>
      </c>
      <c r="Z48" s="18">
        <f t="shared" si="112"/>
        <v>9.1531584390073721</v>
      </c>
      <c r="AA48" s="18">
        <f t="shared" si="112"/>
        <v>8.5825679938909758</v>
      </c>
      <c r="AB48" s="18">
        <f t="shared" si="112"/>
        <v>8.1289267178675502</v>
      </c>
      <c r="AD48" s="68">
        <f t="shared" si="113"/>
        <v>18.739552126158308</v>
      </c>
      <c r="AE48" s="69">
        <f t="shared" si="114"/>
        <v>63.415628782710634</v>
      </c>
      <c r="AF48" s="69">
        <f t="shared" si="115"/>
        <v>82.155180908868942</v>
      </c>
      <c r="AH48" t="str">
        <f t="shared" si="142"/>
        <v>22 Health professionals</v>
      </c>
      <c r="AI48" s="18">
        <f t="shared" si="116"/>
        <v>13.229176061983134</v>
      </c>
      <c r="AJ48" s="18">
        <f t="shared" si="116"/>
        <v>10.630839598078525</v>
      </c>
      <c r="AK48" s="18">
        <f t="shared" si="116"/>
        <v>9.7919777355315869</v>
      </c>
      <c r="AL48" s="18">
        <f t="shared" si="116"/>
        <v>5.2807630523394256</v>
      </c>
      <c r="AM48" s="18">
        <f t="shared" si="116"/>
        <v>2.0363433732889038</v>
      </c>
      <c r="AO48" s="68">
        <f t="shared" si="117"/>
        <v>-75.555940664008816</v>
      </c>
      <c r="AP48" s="69">
        <f t="shared" si="118"/>
        <v>19.29719893427843</v>
      </c>
      <c r="AQ48" s="69">
        <f t="shared" si="119"/>
        <v>-56.258741729730389</v>
      </c>
      <c r="AS48" t="str">
        <f t="shared" si="143"/>
        <v>22 Health professionals</v>
      </c>
      <c r="AT48" s="18">
        <f t="shared" si="120"/>
        <v>1.7845970491488221</v>
      </c>
      <c r="AU48" s="18">
        <f t="shared" si="120"/>
        <v>2.1267863259400817</v>
      </c>
      <c r="AV48" s="18">
        <f t="shared" si="120"/>
        <v>2.1730049118808776</v>
      </c>
      <c r="AW48" s="18">
        <f t="shared" si="120"/>
        <v>2.1222916910028404</v>
      </c>
      <c r="AX48" s="18">
        <f t="shared" si="120"/>
        <v>2.0572830590713456</v>
      </c>
      <c r="AZ48" s="68">
        <f t="shared" si="121"/>
        <v>19.181468354406881</v>
      </c>
      <c r="BA48" s="69">
        <f t="shared" si="122"/>
        <v>56.678213972792157</v>
      </c>
      <c r="BB48" s="69">
        <f t="shared" si="123"/>
        <v>75.859682327199039</v>
      </c>
      <c r="BD48" t="str">
        <f t="shared" si="144"/>
        <v>22 Health professionals</v>
      </c>
      <c r="BE48" s="18">
        <f t="shared" si="124"/>
        <v>1.601983917477005</v>
      </c>
      <c r="BF48" s="18">
        <f t="shared" si="124"/>
        <v>1.8382742902442166</v>
      </c>
      <c r="BG48" s="18">
        <f t="shared" si="124"/>
        <v>2.0354987721103819</v>
      </c>
      <c r="BH48" s="18">
        <f t="shared" si="124"/>
        <v>1.9677369635319273</v>
      </c>
      <c r="BI48" s="18">
        <f t="shared" si="124"/>
        <v>1.9619463202835794</v>
      </c>
      <c r="BK48" s="68">
        <f t="shared" si="125"/>
        <v>2.7275068797446043</v>
      </c>
      <c r="BL48" s="69">
        <f t="shared" si="126"/>
        <v>53.573941199496367</v>
      </c>
      <c r="BM48" s="69">
        <f t="shared" si="127"/>
        <v>56.30144807924097</v>
      </c>
      <c r="BO48" t="str">
        <f t="shared" si="145"/>
        <v>22 Health professionals</v>
      </c>
      <c r="BP48" s="18">
        <f t="shared" si="128"/>
        <v>1.2308149505924515</v>
      </c>
      <c r="BQ48" s="18">
        <f t="shared" si="128"/>
        <v>1.4245015387112114</v>
      </c>
      <c r="BR48" s="18">
        <f t="shared" si="128"/>
        <v>1.5823796847972713</v>
      </c>
      <c r="BS48" s="18">
        <f t="shared" si="128"/>
        <v>1.486736259172311</v>
      </c>
      <c r="BT48" s="18">
        <f t="shared" si="128"/>
        <v>1.3993532832644446</v>
      </c>
      <c r="BV48" s="68">
        <f t="shared" si="129"/>
        <v>-31.425306391008174</v>
      </c>
      <c r="BW48" s="69">
        <f t="shared" si="130"/>
        <v>41.227115190580577</v>
      </c>
      <c r="BX48" s="69">
        <f t="shared" si="131"/>
        <v>9.8018087995723988</v>
      </c>
      <c r="BZ48" t="str">
        <f t="shared" si="146"/>
        <v>22 Health professionals</v>
      </c>
      <c r="CA48" s="18">
        <f t="shared" si="132"/>
        <v>1.1530416772068237</v>
      </c>
      <c r="CB48" s="18">
        <f t="shared" si="132"/>
        <v>1.3068244943708618</v>
      </c>
      <c r="CC48" s="18">
        <f t="shared" si="132"/>
        <v>1.3254000572193572</v>
      </c>
      <c r="CD48" s="18">
        <f t="shared" si="132"/>
        <v>1.5712450466824111</v>
      </c>
      <c r="CE48" s="18">
        <f t="shared" si="132"/>
        <v>1.676687133254364</v>
      </c>
      <c r="CG48" s="68">
        <f t="shared" si="133"/>
        <v>-30.130817113417518</v>
      </c>
      <c r="CH48" s="69">
        <f t="shared" si="134"/>
        <v>38.753666960001603</v>
      </c>
      <c r="CI48" s="69">
        <f t="shared" si="135"/>
        <v>8.6228498465840833</v>
      </c>
      <c r="CK48" t="str">
        <f t="shared" si="147"/>
        <v>22 Health professionals</v>
      </c>
      <c r="CL48" s="18">
        <f t="shared" si="136"/>
        <v>0.32371143403715752</v>
      </c>
      <c r="CM48" s="18">
        <f t="shared" si="136"/>
        <v>0.47002912102072619</v>
      </c>
      <c r="CN48" s="18">
        <f t="shared" si="136"/>
        <v>0.52482237616895222</v>
      </c>
      <c r="CO48" s="18">
        <f t="shared" si="136"/>
        <v>0.6429362107534119</v>
      </c>
      <c r="CP48" s="18">
        <f t="shared" si="136"/>
        <v>0.87020163135293827</v>
      </c>
      <c r="CR48" s="68">
        <f t="shared" si="137"/>
        <v>12.229826604281255</v>
      </c>
      <c r="CS48" s="69">
        <f t="shared" si="138"/>
        <v>45.090636311226085</v>
      </c>
      <c r="CT48" s="69">
        <f t="shared" si="139"/>
        <v>57.320462915507342</v>
      </c>
    </row>
    <row r="49" spans="1:98" x14ac:dyDescent="0.2">
      <c r="A49" t="str">
        <f t="shared" si="103"/>
        <v>23 Teaching and other educational professionals</v>
      </c>
      <c r="B49" s="18">
        <f t="shared" si="104"/>
        <v>29.677896035140776</v>
      </c>
      <c r="C49" s="18">
        <f t="shared" si="104"/>
        <v>25.741532371660302</v>
      </c>
      <c r="D49" s="18">
        <f t="shared" si="104"/>
        <v>26.503208849791505</v>
      </c>
      <c r="E49" s="18">
        <f t="shared" si="104"/>
        <v>23.171270254352542</v>
      </c>
      <c r="F49" s="18">
        <f t="shared" si="104"/>
        <v>20.167798326461135</v>
      </c>
      <c r="H49" s="68">
        <f t="shared" si="105"/>
        <v>19.514600050369786</v>
      </c>
      <c r="I49" s="69">
        <f t="shared" si="106"/>
        <v>50.584978649829203</v>
      </c>
      <c r="J49" s="69">
        <f t="shared" si="107"/>
        <v>70.09957870019899</v>
      </c>
      <c r="L49" t="str">
        <f t="shared" si="140"/>
        <v>23 Teaching and other educational professionals</v>
      </c>
      <c r="M49" s="18">
        <f t="shared" si="108"/>
        <v>23.221899611531089</v>
      </c>
      <c r="N49" s="18">
        <f t="shared" si="108"/>
        <v>20.404132341218279</v>
      </c>
      <c r="O49" s="18">
        <f t="shared" si="108"/>
        <v>21.112481578894631</v>
      </c>
      <c r="P49" s="18">
        <f t="shared" si="108"/>
        <v>18.226135350237957</v>
      </c>
      <c r="Q49" s="18">
        <f t="shared" si="108"/>
        <v>15.643235762475777</v>
      </c>
      <c r="S49" s="68">
        <f t="shared" si="109"/>
        <v>17.395995697434401</v>
      </c>
      <c r="T49" s="69">
        <f t="shared" si="110"/>
        <v>51.076873585359827</v>
      </c>
      <c r="U49" s="69">
        <f t="shared" si="111"/>
        <v>68.472869282794235</v>
      </c>
      <c r="W49" t="str">
        <f t="shared" si="141"/>
        <v>23 Teaching and other educational professionals</v>
      </c>
      <c r="X49" s="18">
        <f t="shared" si="112"/>
        <v>7.0918873044843886</v>
      </c>
      <c r="Y49" s="18">
        <f t="shared" si="112"/>
        <v>5.5190506494819669</v>
      </c>
      <c r="Z49" s="18">
        <f t="shared" si="112"/>
        <v>5.8240265514750869</v>
      </c>
      <c r="AA49" s="18">
        <f t="shared" si="112"/>
        <v>4.0836680538294514</v>
      </c>
      <c r="AB49" s="18">
        <f t="shared" si="112"/>
        <v>2.722458151276629</v>
      </c>
      <c r="AD49" s="68">
        <f t="shared" si="113"/>
        <v>-37.501291291988935</v>
      </c>
      <c r="AE49" s="69">
        <f t="shared" si="114"/>
        <v>40.598425509570909</v>
      </c>
      <c r="AF49" s="69">
        <f t="shared" si="115"/>
        <v>3.0971342175819689</v>
      </c>
      <c r="AH49" t="str">
        <f t="shared" si="142"/>
        <v>23 Teaching and other educational professionals</v>
      </c>
      <c r="AI49" s="18">
        <f t="shared" si="116"/>
        <v>3.0416750800111827</v>
      </c>
      <c r="AJ49" s="18">
        <f t="shared" si="116"/>
        <v>1.6943849287896693</v>
      </c>
      <c r="AK49" s="18">
        <f t="shared" si="116"/>
        <v>1.6213512138444672</v>
      </c>
      <c r="AL49" s="18">
        <f t="shared" si="116"/>
        <v>0.82147879158797721</v>
      </c>
      <c r="AM49" s="18">
        <f t="shared" si="116"/>
        <v>0.73454279892827734</v>
      </c>
      <c r="AO49" s="68">
        <f t="shared" si="117"/>
        <v>-46.748390404249314</v>
      </c>
      <c r="AP49" s="69">
        <f t="shared" si="118"/>
        <v>16.6340016120005</v>
      </c>
      <c r="AQ49" s="69">
        <f t="shared" si="119"/>
        <v>-30.114388792248807</v>
      </c>
      <c r="AS49" t="str">
        <f t="shared" si="143"/>
        <v>23 Teaching and other educational professionals</v>
      </c>
      <c r="AT49" s="18">
        <f t="shared" si="120"/>
        <v>0.97853336238771793</v>
      </c>
      <c r="AU49" s="18">
        <f t="shared" si="120"/>
        <v>0.85471385512675013</v>
      </c>
      <c r="AV49" s="18">
        <f t="shared" si="120"/>
        <v>0.94473593574601888</v>
      </c>
      <c r="AW49" s="18">
        <f t="shared" si="120"/>
        <v>0.72862923685837366</v>
      </c>
      <c r="AX49" s="18">
        <f t="shared" si="120"/>
        <v>0.56970710566175187</v>
      </c>
      <c r="AZ49" s="68">
        <f t="shared" si="121"/>
        <v>-24.086923750808083</v>
      </c>
      <c r="BA49" s="69">
        <f t="shared" si="122"/>
        <v>40.241470108207608</v>
      </c>
      <c r="BB49" s="69">
        <f t="shared" si="123"/>
        <v>16.154546357399528</v>
      </c>
      <c r="BD49" t="str">
        <f t="shared" si="144"/>
        <v>23 Teaching and other educational professionals</v>
      </c>
      <c r="BE49" s="18">
        <f t="shared" si="124"/>
        <v>0.8115045917953666</v>
      </c>
      <c r="BF49" s="18">
        <f t="shared" si="124"/>
        <v>0.81259096820496601</v>
      </c>
      <c r="BG49" s="18">
        <f t="shared" si="124"/>
        <v>0.94294176488037196</v>
      </c>
      <c r="BH49" s="18">
        <f t="shared" si="124"/>
        <v>0.83482892892641314</v>
      </c>
      <c r="BI49" s="18">
        <f t="shared" si="124"/>
        <v>0.91339141434406723</v>
      </c>
      <c r="BK49" s="68">
        <f t="shared" si="125"/>
        <v>3.2386995495836803</v>
      </c>
      <c r="BL49" s="69">
        <f t="shared" si="126"/>
        <v>41.17798361954668</v>
      </c>
      <c r="BM49" s="69">
        <f t="shared" si="127"/>
        <v>44.416683169130359</v>
      </c>
      <c r="BO49" t="str">
        <f t="shared" si="145"/>
        <v>23 Teaching and other educational professionals</v>
      </c>
      <c r="BP49" s="18">
        <f t="shared" si="128"/>
        <v>0.58321277531377413</v>
      </c>
      <c r="BQ49" s="18">
        <f t="shared" si="128"/>
        <v>0.56290800601366242</v>
      </c>
      <c r="BR49" s="18">
        <f t="shared" si="128"/>
        <v>0.67505601060644105</v>
      </c>
      <c r="BS49" s="18">
        <f t="shared" si="128"/>
        <v>0.56825318418505932</v>
      </c>
      <c r="BT49" s="18">
        <f t="shared" si="128"/>
        <v>0.54122930830673421</v>
      </c>
      <c r="BV49" s="68">
        <f t="shared" si="129"/>
        <v>-37.828878579883181</v>
      </c>
      <c r="BW49" s="69">
        <f t="shared" si="130"/>
        <v>36.432436398342951</v>
      </c>
      <c r="BX49" s="69">
        <f t="shared" si="131"/>
        <v>-1.3964421815402295</v>
      </c>
      <c r="BZ49" t="str">
        <f t="shared" si="146"/>
        <v>23 Teaching and other educational professionals</v>
      </c>
      <c r="CA49" s="18">
        <f t="shared" si="132"/>
        <v>0.62386737636922929</v>
      </c>
      <c r="CB49" s="18">
        <f t="shared" si="132"/>
        <v>0.62901819913102497</v>
      </c>
      <c r="CC49" s="18">
        <f t="shared" si="132"/>
        <v>0.75870266603777592</v>
      </c>
      <c r="CD49" s="18">
        <f t="shared" si="132"/>
        <v>0.75366010319842003</v>
      </c>
      <c r="CE49" s="18">
        <f t="shared" si="132"/>
        <v>0.82175420839258584</v>
      </c>
      <c r="CG49" s="68">
        <f t="shared" si="133"/>
        <v>-40.179375249622609</v>
      </c>
      <c r="CH49" s="69">
        <f t="shared" si="134"/>
        <v>35.431663044403905</v>
      </c>
      <c r="CI49" s="69">
        <f t="shared" si="135"/>
        <v>-4.7477122052187033</v>
      </c>
      <c r="CK49" t="str">
        <f t="shared" si="147"/>
        <v>23 Teaching and other educational professionals</v>
      </c>
      <c r="CL49" s="18">
        <f t="shared" si="136"/>
        <v>0.38357962745026303</v>
      </c>
      <c r="CM49" s="18">
        <f t="shared" si="136"/>
        <v>0.54800201578046936</v>
      </c>
      <c r="CN49" s="18">
        <f t="shared" si="136"/>
        <v>0.75769371130704721</v>
      </c>
      <c r="CO49" s="18">
        <f t="shared" si="136"/>
        <v>0.92410566814865092</v>
      </c>
      <c r="CP49" s="18">
        <f t="shared" si="136"/>
        <v>1.2615169416377565</v>
      </c>
      <c r="CR49" s="68">
        <f t="shared" si="137"/>
        <v>12.693831962756338</v>
      </c>
      <c r="CS49" s="69">
        <f t="shared" si="138"/>
        <v>52.507358764231668</v>
      </c>
      <c r="CT49" s="69">
        <f t="shared" si="139"/>
        <v>65.201190726988017</v>
      </c>
    </row>
    <row r="50" spans="1:98" x14ac:dyDescent="0.2">
      <c r="A50" t="str">
        <f t="shared" si="103"/>
        <v>24 Business, media and public service professionals</v>
      </c>
      <c r="B50" s="18">
        <f t="shared" si="104"/>
        <v>6.3767206751514216</v>
      </c>
      <c r="C50" s="18">
        <f t="shared" si="104"/>
        <v>6.7237624615021252</v>
      </c>
      <c r="D50" s="18">
        <f t="shared" si="104"/>
        <v>7.2257743093362494</v>
      </c>
      <c r="E50" s="18">
        <f t="shared" si="104"/>
        <v>7.3481735443597094</v>
      </c>
      <c r="F50" s="18">
        <f t="shared" si="104"/>
        <v>7.6796094483153263</v>
      </c>
      <c r="H50" s="68">
        <f t="shared" si="105"/>
        <v>66.922804646792827</v>
      </c>
      <c r="I50" s="69">
        <f t="shared" si="106"/>
        <v>64.448966120529803</v>
      </c>
      <c r="J50" s="69">
        <f t="shared" si="107"/>
        <v>131.37177076732266</v>
      </c>
      <c r="L50" t="str">
        <f t="shared" si="140"/>
        <v>24 Business, media and public service professionals</v>
      </c>
      <c r="M50" s="18">
        <f t="shared" si="108"/>
        <v>12.224082355006884</v>
      </c>
      <c r="N50" s="18">
        <f t="shared" si="108"/>
        <v>13.001096160986947</v>
      </c>
      <c r="O50" s="18">
        <f t="shared" si="108"/>
        <v>14.059829803788984</v>
      </c>
      <c r="P50" s="18">
        <f t="shared" si="108"/>
        <v>13.699633622519231</v>
      </c>
      <c r="Q50" s="18">
        <f t="shared" si="108"/>
        <v>13.400165287460124</v>
      </c>
      <c r="S50" s="68">
        <f t="shared" si="109"/>
        <v>51.006648368118427</v>
      </c>
      <c r="T50" s="69">
        <f t="shared" si="110"/>
        <v>59.398886063963538</v>
      </c>
      <c r="U50" s="69">
        <f t="shared" si="111"/>
        <v>110.40553443208196</v>
      </c>
      <c r="W50" t="str">
        <f t="shared" si="141"/>
        <v>24 Business, media and public service professionals</v>
      </c>
      <c r="X50" s="18">
        <f t="shared" si="112"/>
        <v>10.495254514112382</v>
      </c>
      <c r="Y50" s="18">
        <f t="shared" si="112"/>
        <v>10.673814469152793</v>
      </c>
      <c r="Z50" s="18">
        <f t="shared" si="112"/>
        <v>11.873295279456496</v>
      </c>
      <c r="AA50" s="18">
        <f t="shared" si="112"/>
        <v>11.172006415035955</v>
      </c>
      <c r="AB50" s="18">
        <f t="shared" si="112"/>
        <v>10.479493911426186</v>
      </c>
      <c r="AD50" s="68">
        <f t="shared" si="113"/>
        <v>18.005491801448549</v>
      </c>
      <c r="AE50" s="69">
        <f t="shared" si="114"/>
        <v>57.535098464164427</v>
      </c>
      <c r="AF50" s="69">
        <f t="shared" si="115"/>
        <v>75.540590265612977</v>
      </c>
      <c r="AH50" t="str">
        <f t="shared" si="142"/>
        <v>24 Business, media and public service professionals</v>
      </c>
      <c r="AI50" s="18">
        <f t="shared" si="116"/>
        <v>3.7672179033544535</v>
      </c>
      <c r="AJ50" s="18">
        <f t="shared" si="116"/>
        <v>3.4916581137920608</v>
      </c>
      <c r="AK50" s="18">
        <f t="shared" si="116"/>
        <v>3.960618052591705</v>
      </c>
      <c r="AL50" s="18">
        <f t="shared" si="116"/>
        <v>3.5657802982103228</v>
      </c>
      <c r="AM50" s="18">
        <f t="shared" si="116"/>
        <v>3.5022321322335959</v>
      </c>
      <c r="AO50" s="68">
        <f t="shared" si="117"/>
        <v>3.9380825133859965</v>
      </c>
      <c r="AP50" s="69">
        <f t="shared" si="118"/>
        <v>37.862231741704861</v>
      </c>
      <c r="AQ50" s="69">
        <f t="shared" si="119"/>
        <v>41.800314255090861</v>
      </c>
      <c r="AS50" t="str">
        <f t="shared" si="143"/>
        <v>24 Business, media and public service professionals</v>
      </c>
      <c r="AT50" s="18">
        <f t="shared" si="120"/>
        <v>5.8061726177114723</v>
      </c>
      <c r="AU50" s="18">
        <f t="shared" si="120"/>
        <v>5.6853283350764157</v>
      </c>
      <c r="AV50" s="18">
        <f t="shared" si="120"/>
        <v>6.5107271109464433</v>
      </c>
      <c r="AW50" s="18">
        <f t="shared" si="120"/>
        <v>6.2746739930080677</v>
      </c>
      <c r="AX50" s="18">
        <f t="shared" si="120"/>
        <v>6.1191648055549202</v>
      </c>
      <c r="AZ50" s="68">
        <f t="shared" si="121"/>
        <v>18.314520282998551</v>
      </c>
      <c r="BA50" s="69">
        <f t="shared" si="122"/>
        <v>52.073983431963867</v>
      </c>
      <c r="BB50" s="69">
        <f t="shared" si="123"/>
        <v>70.388503714962411</v>
      </c>
      <c r="BD50" t="str">
        <f t="shared" si="144"/>
        <v>24 Business, media and public service professionals</v>
      </c>
      <c r="BE50" s="18">
        <f t="shared" si="124"/>
        <v>3.2610872537931388</v>
      </c>
      <c r="BF50" s="18">
        <f t="shared" si="124"/>
        <v>3.736549965745307</v>
      </c>
      <c r="BG50" s="18">
        <f t="shared" si="124"/>
        <v>4.1284783343714642</v>
      </c>
      <c r="BH50" s="18">
        <f t="shared" si="124"/>
        <v>4.1819082224232416</v>
      </c>
      <c r="BI50" s="18">
        <f t="shared" si="124"/>
        <v>4.4393966276403578</v>
      </c>
      <c r="BK50" s="68">
        <f t="shared" si="125"/>
        <v>14.605222913773524</v>
      </c>
      <c r="BL50" s="69">
        <f t="shared" si="126"/>
        <v>44.886785289034457</v>
      </c>
      <c r="BM50" s="69">
        <f t="shared" si="127"/>
        <v>59.49200820280798</v>
      </c>
      <c r="BO50" t="str">
        <f t="shared" si="145"/>
        <v>24 Business, media and public service professionals</v>
      </c>
      <c r="BP50" s="18">
        <f t="shared" si="128"/>
        <v>2.2692443335817152</v>
      </c>
      <c r="BQ50" s="18">
        <f t="shared" si="128"/>
        <v>2.4756220310510719</v>
      </c>
      <c r="BR50" s="18">
        <f t="shared" si="128"/>
        <v>2.8666017833566793</v>
      </c>
      <c r="BS50" s="18">
        <f t="shared" si="128"/>
        <v>2.7327815509395044</v>
      </c>
      <c r="BT50" s="18">
        <f t="shared" si="128"/>
        <v>2.7167421131551741</v>
      </c>
      <c r="BV50" s="68">
        <f t="shared" si="129"/>
        <v>-26.509999279289868</v>
      </c>
      <c r="BW50" s="69">
        <f t="shared" si="130"/>
        <v>35.490481166893588</v>
      </c>
      <c r="BX50" s="69">
        <f t="shared" si="131"/>
        <v>8.9804818876037178</v>
      </c>
      <c r="BZ50" t="str">
        <f t="shared" si="146"/>
        <v>24 Business, media and public service professionals</v>
      </c>
      <c r="CA50" s="18">
        <f t="shared" si="132"/>
        <v>2.0474637175261758</v>
      </c>
      <c r="CB50" s="18">
        <f t="shared" si="132"/>
        <v>2.5075386859721176</v>
      </c>
      <c r="CC50" s="18">
        <f t="shared" si="132"/>
        <v>2.9909024667549895</v>
      </c>
      <c r="CD50" s="18">
        <f t="shared" si="132"/>
        <v>3.1601663242152132</v>
      </c>
      <c r="CE50" s="18">
        <f t="shared" si="132"/>
        <v>3.3825721582263295</v>
      </c>
      <c r="CG50" s="68">
        <f t="shared" si="133"/>
        <v>-37.536626377345982</v>
      </c>
      <c r="CH50" s="69">
        <f t="shared" si="134"/>
        <v>34.205367076575719</v>
      </c>
      <c r="CI50" s="69">
        <f t="shared" si="135"/>
        <v>-3.3312593007702702</v>
      </c>
      <c r="CK50" t="str">
        <f t="shared" si="147"/>
        <v>24 Business, media and public service professionals</v>
      </c>
      <c r="CL50" s="18">
        <f t="shared" si="136"/>
        <v>1.2070783151628488</v>
      </c>
      <c r="CM50" s="18">
        <f t="shared" si="136"/>
        <v>1.7178003290195654</v>
      </c>
      <c r="CN50" s="18">
        <f t="shared" si="136"/>
        <v>2.017801728893903</v>
      </c>
      <c r="CO50" s="18">
        <f t="shared" si="136"/>
        <v>2.5338903071148211</v>
      </c>
      <c r="CP50" s="18">
        <f t="shared" si="136"/>
        <v>3.1594125638116997</v>
      </c>
      <c r="CR50" s="68">
        <f t="shared" si="137"/>
        <v>5.9811415380984148</v>
      </c>
      <c r="CS50" s="69">
        <f t="shared" si="138"/>
        <v>43.067906317299574</v>
      </c>
      <c r="CT50" s="69">
        <f t="shared" si="139"/>
        <v>49.049047855397987</v>
      </c>
    </row>
    <row r="51" spans="1:98" x14ac:dyDescent="0.2">
      <c r="A51" t="str">
        <f t="shared" si="103"/>
        <v>31 Science, engineering and technology associate professionals</v>
      </c>
      <c r="B51" s="18">
        <f t="shared" si="104"/>
        <v>2.028276912620449</v>
      </c>
      <c r="C51" s="18">
        <f t="shared" si="104"/>
        <v>2.2819955208682274</v>
      </c>
      <c r="D51" s="18">
        <f t="shared" si="104"/>
        <v>2.4266973860068459</v>
      </c>
      <c r="E51" s="18">
        <f t="shared" si="104"/>
        <v>2.3541317270625797</v>
      </c>
      <c r="F51" s="18">
        <f t="shared" si="104"/>
        <v>2.6475019581729402</v>
      </c>
      <c r="H51" s="68">
        <f t="shared" si="105"/>
        <v>71.349009859230307</v>
      </c>
      <c r="I51" s="69">
        <f t="shared" si="106"/>
        <v>58.469303503452139</v>
      </c>
      <c r="J51" s="69">
        <f t="shared" si="107"/>
        <v>129.81831336268243</v>
      </c>
      <c r="L51" t="str">
        <f t="shared" si="140"/>
        <v>31 Science, engineering and technology associate professionals</v>
      </c>
      <c r="M51" s="18">
        <f t="shared" si="108"/>
        <v>1.8574554336987907</v>
      </c>
      <c r="N51" s="18">
        <f t="shared" si="108"/>
        <v>1.9070809527844779</v>
      </c>
      <c r="O51" s="18">
        <f t="shared" si="108"/>
        <v>2.0881066279829286</v>
      </c>
      <c r="P51" s="18">
        <f t="shared" si="108"/>
        <v>1.9742213208951371</v>
      </c>
      <c r="Q51" s="18">
        <f t="shared" si="108"/>
        <v>2.0856883532170705</v>
      </c>
      <c r="S51" s="68">
        <f t="shared" si="109"/>
        <v>58.256924179803917</v>
      </c>
      <c r="T51" s="69">
        <f t="shared" si="110"/>
        <v>52.983070380319134</v>
      </c>
      <c r="U51" s="69">
        <f t="shared" si="111"/>
        <v>111.23999456012305</v>
      </c>
      <c r="W51" t="str">
        <f t="shared" si="141"/>
        <v>31 Science, engineering and technology associate professionals</v>
      </c>
      <c r="X51" s="18">
        <f t="shared" si="112"/>
        <v>2.0544269495071834</v>
      </c>
      <c r="Y51" s="18">
        <f t="shared" si="112"/>
        <v>2.1498100798902522</v>
      </c>
      <c r="Z51" s="18">
        <f t="shared" si="112"/>
        <v>2.2838758415374976</v>
      </c>
      <c r="AA51" s="18">
        <f t="shared" si="112"/>
        <v>2.0391525973742111</v>
      </c>
      <c r="AB51" s="18">
        <f t="shared" si="112"/>
        <v>1.938526171248832</v>
      </c>
      <c r="AD51" s="68">
        <f t="shared" si="113"/>
        <v>13.483404461670206</v>
      </c>
      <c r="AE51" s="69">
        <f t="shared" si="114"/>
        <v>45.748284173001089</v>
      </c>
      <c r="AF51" s="69">
        <f t="shared" si="115"/>
        <v>59.231688634671286</v>
      </c>
      <c r="AH51" t="str">
        <f t="shared" si="142"/>
        <v>31 Science, engineering and technology associate professionals</v>
      </c>
      <c r="AI51" s="18">
        <f t="shared" si="116"/>
        <v>1.1164286578481162</v>
      </c>
      <c r="AJ51" s="18">
        <f t="shared" si="116"/>
        <v>1.1755520993669115</v>
      </c>
      <c r="AK51" s="18">
        <f t="shared" si="116"/>
        <v>1.3884385295647657</v>
      </c>
      <c r="AL51" s="18">
        <f t="shared" si="116"/>
        <v>1.4214801569645081</v>
      </c>
      <c r="AM51" s="18">
        <f t="shared" si="116"/>
        <v>1.6512880977147573</v>
      </c>
      <c r="AO51" s="68">
        <f t="shared" si="117"/>
        <v>39.794127718696693</v>
      </c>
      <c r="AP51" s="69">
        <f t="shared" si="118"/>
        <v>53.691772900596902</v>
      </c>
      <c r="AQ51" s="69">
        <f t="shared" si="119"/>
        <v>93.485900619293588</v>
      </c>
      <c r="AS51" t="str">
        <f t="shared" si="143"/>
        <v>31 Science, engineering and technology associate professionals</v>
      </c>
      <c r="AT51" s="18">
        <f t="shared" si="120"/>
        <v>3.4899097179895597</v>
      </c>
      <c r="AU51" s="18">
        <f t="shared" si="120"/>
        <v>3.22411105459254</v>
      </c>
      <c r="AV51" s="18">
        <f t="shared" si="120"/>
        <v>3.5485151115315952</v>
      </c>
      <c r="AW51" s="18">
        <f t="shared" si="120"/>
        <v>2.8294562478776277</v>
      </c>
      <c r="AX51" s="18">
        <f t="shared" si="120"/>
        <v>2.5320151132469761</v>
      </c>
      <c r="AZ51" s="68">
        <f t="shared" si="121"/>
        <v>-10.175455312327559</v>
      </c>
      <c r="BA51" s="69">
        <f t="shared" si="122"/>
        <v>33.009049214761603</v>
      </c>
      <c r="BB51" s="69">
        <f t="shared" si="123"/>
        <v>22.833593902434046</v>
      </c>
      <c r="BD51" t="str">
        <f t="shared" si="144"/>
        <v>31 Science, engineering and technology associate professionals</v>
      </c>
      <c r="BE51" s="18">
        <f t="shared" si="124"/>
        <v>1.7518185191425668</v>
      </c>
      <c r="BF51" s="18">
        <f t="shared" si="124"/>
        <v>1.9530940835978252</v>
      </c>
      <c r="BG51" s="18">
        <f t="shared" si="124"/>
        <v>2.1161326859684331</v>
      </c>
      <c r="BH51" s="18">
        <f t="shared" si="124"/>
        <v>1.8465323701590659</v>
      </c>
      <c r="BI51" s="18">
        <f t="shared" si="124"/>
        <v>1.7219942246092235</v>
      </c>
      <c r="BK51" s="68">
        <f t="shared" si="125"/>
        <v>-13.272012783383461</v>
      </c>
      <c r="BL51" s="69">
        <f t="shared" si="126"/>
        <v>31.858662914180268</v>
      </c>
      <c r="BM51" s="69">
        <f t="shared" si="127"/>
        <v>18.586650130796809</v>
      </c>
      <c r="BO51" t="str">
        <f t="shared" si="145"/>
        <v>31 Science, engineering and technology associate professionals</v>
      </c>
      <c r="BP51" s="18">
        <f t="shared" si="128"/>
        <v>1.104814005614714</v>
      </c>
      <c r="BQ51" s="18">
        <f t="shared" si="128"/>
        <v>1.2861532950829559</v>
      </c>
      <c r="BR51" s="18">
        <f t="shared" si="128"/>
        <v>1.4467136691772107</v>
      </c>
      <c r="BS51" s="18">
        <f t="shared" si="128"/>
        <v>1.3356299841006285</v>
      </c>
      <c r="BT51" s="18">
        <f t="shared" si="128"/>
        <v>1.5177740621893505</v>
      </c>
      <c r="BV51" s="68">
        <f t="shared" si="129"/>
        <v>-18.647342331832228</v>
      </c>
      <c r="BW51" s="69">
        <f t="shared" si="130"/>
        <v>32.275444177954284</v>
      </c>
      <c r="BX51" s="69">
        <f t="shared" si="131"/>
        <v>13.628101846122053</v>
      </c>
      <c r="BZ51" t="str">
        <f t="shared" si="146"/>
        <v>31 Science, engineering and technology associate professionals</v>
      </c>
      <c r="CA51" s="18">
        <f t="shared" si="132"/>
        <v>1.2056896237440113</v>
      </c>
      <c r="CB51" s="18">
        <f t="shared" si="132"/>
        <v>1.5851968461645209</v>
      </c>
      <c r="CC51" s="18">
        <f t="shared" si="132"/>
        <v>1.8914451526270446</v>
      </c>
      <c r="CD51" s="18">
        <f t="shared" si="132"/>
        <v>1.7461653888834325</v>
      </c>
      <c r="CE51" s="18">
        <f t="shared" si="132"/>
        <v>2.2385204410191974</v>
      </c>
      <c r="CG51" s="68">
        <f t="shared" si="133"/>
        <v>-34.634598997975438</v>
      </c>
      <c r="CH51" s="69">
        <f t="shared" si="134"/>
        <v>29.011760082821304</v>
      </c>
      <c r="CI51" s="69">
        <f t="shared" si="135"/>
        <v>-5.6228389151541371</v>
      </c>
      <c r="CK51" t="str">
        <f t="shared" si="147"/>
        <v>31 Science, engineering and technology associate professionals</v>
      </c>
      <c r="CL51" s="18">
        <f t="shared" si="136"/>
        <v>0.62920892022182384</v>
      </c>
      <c r="CM51" s="18">
        <f t="shared" si="136"/>
        <v>0.93731375265422801</v>
      </c>
      <c r="CN51" s="18">
        <f t="shared" si="136"/>
        <v>1.2499853683974447</v>
      </c>
      <c r="CO51" s="18">
        <f t="shared" si="136"/>
        <v>1.5579991093722747</v>
      </c>
      <c r="CP51" s="18">
        <f t="shared" si="136"/>
        <v>2.2767063343091651</v>
      </c>
      <c r="CR51" s="68">
        <f t="shared" si="137"/>
        <v>23.282896206510042</v>
      </c>
      <c r="CS51" s="69">
        <f t="shared" si="138"/>
        <v>44.047590213721698</v>
      </c>
      <c r="CT51" s="69">
        <f t="shared" si="139"/>
        <v>67.33048642023175</v>
      </c>
    </row>
    <row r="52" spans="1:98" x14ac:dyDescent="0.2">
      <c r="A52" t="str">
        <f t="shared" si="103"/>
        <v>32 Health and social care associate professionals</v>
      </c>
      <c r="B52" s="18">
        <f t="shared" si="104"/>
        <v>0.66230901201515591</v>
      </c>
      <c r="C52" s="18">
        <f t="shared" si="104"/>
        <v>0.82465549718192532</v>
      </c>
      <c r="D52" s="18">
        <f t="shared" si="104"/>
        <v>0.63259021493594925</v>
      </c>
      <c r="E52" s="18">
        <f t="shared" si="104"/>
        <v>0.96995725440483815</v>
      </c>
      <c r="F52" s="18">
        <f t="shared" si="104"/>
        <v>1.1805919377246306</v>
      </c>
      <c r="H52" s="68">
        <f t="shared" si="105"/>
        <v>193.11515588965318</v>
      </c>
      <c r="I52" s="69">
        <f t="shared" si="106"/>
        <v>116.24972620600809</v>
      </c>
      <c r="J52" s="69">
        <f t="shared" si="107"/>
        <v>309.3648820956613</v>
      </c>
      <c r="L52" t="str">
        <f t="shared" si="140"/>
        <v>32 Health and social care associate professionals</v>
      </c>
      <c r="M52" s="18">
        <f t="shared" si="108"/>
        <v>2.0217055494486709</v>
      </c>
      <c r="N52" s="18">
        <f t="shared" si="108"/>
        <v>2.3678648632873927</v>
      </c>
      <c r="O52" s="18">
        <f t="shared" si="108"/>
        <v>2.195472117387697</v>
      </c>
      <c r="P52" s="18">
        <f t="shared" si="108"/>
        <v>3.4584584718754487</v>
      </c>
      <c r="Q52" s="18">
        <f t="shared" si="108"/>
        <v>3.9378359735770196</v>
      </c>
      <c r="S52" s="68">
        <f t="shared" si="109"/>
        <v>184.18141527690634</v>
      </c>
      <c r="T52" s="69">
        <f t="shared" si="110"/>
        <v>107.96240625119979</v>
      </c>
      <c r="U52" s="69">
        <f t="shared" si="111"/>
        <v>292.14382152810617</v>
      </c>
      <c r="W52" t="str">
        <f t="shared" si="141"/>
        <v>32 Health and social care associate professionals</v>
      </c>
      <c r="X52" s="18">
        <f t="shared" si="112"/>
        <v>2.8559179965840129</v>
      </c>
      <c r="Y52" s="18">
        <f t="shared" si="112"/>
        <v>3.2567411108748749</v>
      </c>
      <c r="Z52" s="18">
        <f t="shared" si="112"/>
        <v>3.0475736498784585</v>
      </c>
      <c r="AA52" s="18">
        <f t="shared" si="112"/>
        <v>4.9884212000302943</v>
      </c>
      <c r="AB52" s="18">
        <f t="shared" si="112"/>
        <v>5.7229400009637272</v>
      </c>
      <c r="AD52" s="68">
        <f t="shared" si="113"/>
        <v>151.07192994884625</v>
      </c>
      <c r="AE52" s="69">
        <f t="shared" si="114"/>
        <v>126.87919651721344</v>
      </c>
      <c r="AF52" s="69">
        <f t="shared" si="115"/>
        <v>277.95112646605969</v>
      </c>
      <c r="AH52" t="str">
        <f t="shared" si="142"/>
        <v>32 Health and social care associate professionals</v>
      </c>
      <c r="AI52" s="18">
        <f t="shared" si="116"/>
        <v>5.9590287741109389</v>
      </c>
      <c r="AJ52" s="18">
        <f t="shared" si="116"/>
        <v>5.3496145172539658</v>
      </c>
      <c r="AK52" s="18">
        <f t="shared" si="116"/>
        <v>5.0450529633962873</v>
      </c>
      <c r="AL52" s="18">
        <f t="shared" si="116"/>
        <v>5.7906906545649575</v>
      </c>
      <c r="AM52" s="18">
        <f t="shared" si="116"/>
        <v>3.2201875598212997</v>
      </c>
      <c r="AO52" s="68">
        <f t="shared" si="117"/>
        <v>-24.974625319318886</v>
      </c>
      <c r="AP52" s="69">
        <f t="shared" si="118"/>
        <v>45.702798190347309</v>
      </c>
      <c r="AQ52" s="69">
        <f t="shared" si="119"/>
        <v>20.728172871028427</v>
      </c>
      <c r="AS52" t="str">
        <f t="shared" si="143"/>
        <v>32 Health and social care associate professionals</v>
      </c>
      <c r="AT52" s="18">
        <f t="shared" si="120"/>
        <v>1.4287306600925522</v>
      </c>
      <c r="AU52" s="18">
        <f t="shared" si="120"/>
        <v>1.6856247174674932</v>
      </c>
      <c r="AV52" s="18">
        <f t="shared" si="120"/>
        <v>1.6476132221506912</v>
      </c>
      <c r="AW52" s="18">
        <f t="shared" si="120"/>
        <v>2.3240629563626549</v>
      </c>
      <c r="AX52" s="18">
        <f t="shared" si="120"/>
        <v>2.4136267796025903</v>
      </c>
      <c r="AZ52" s="68">
        <f t="shared" si="121"/>
        <v>84.412449783219714</v>
      </c>
      <c r="BA52" s="69">
        <f t="shared" si="122"/>
        <v>92.350957400678936</v>
      </c>
      <c r="BB52" s="69">
        <f t="shared" si="123"/>
        <v>176.76340718389864</v>
      </c>
      <c r="BD52" t="str">
        <f t="shared" si="144"/>
        <v>32 Health and social care associate professionals</v>
      </c>
      <c r="BE52" s="18">
        <f t="shared" si="124"/>
        <v>1.4118624842655687</v>
      </c>
      <c r="BF52" s="18">
        <f t="shared" si="124"/>
        <v>1.6075890000928108</v>
      </c>
      <c r="BG52" s="18">
        <f t="shared" si="124"/>
        <v>1.7776659157829098</v>
      </c>
      <c r="BH52" s="18">
        <f t="shared" si="124"/>
        <v>2.780940765339905</v>
      </c>
      <c r="BI52" s="18">
        <f t="shared" si="124"/>
        <v>3.1908680664664275</v>
      </c>
      <c r="BK52" s="68">
        <f t="shared" si="125"/>
        <v>91.306256921293269</v>
      </c>
      <c r="BL52" s="69">
        <f t="shared" si="126"/>
        <v>94.294168950751427</v>
      </c>
      <c r="BM52" s="69">
        <f t="shared" si="127"/>
        <v>185.6004258720447</v>
      </c>
      <c r="BO52" t="str">
        <f t="shared" si="145"/>
        <v>32 Health and social care associate professionals</v>
      </c>
      <c r="BP52" s="18">
        <f t="shared" si="128"/>
        <v>1.1654235410714036</v>
      </c>
      <c r="BQ52" s="18">
        <f t="shared" si="128"/>
        <v>1.3070165958238582</v>
      </c>
      <c r="BR52" s="18">
        <f t="shared" si="128"/>
        <v>1.3999183076887045</v>
      </c>
      <c r="BS52" s="18">
        <f t="shared" si="128"/>
        <v>2.0648677373863662</v>
      </c>
      <c r="BT52" s="18">
        <f t="shared" si="128"/>
        <v>2.0458257514122993</v>
      </c>
      <c r="BV52" s="68">
        <f t="shared" si="129"/>
        <v>13.32171831166224</v>
      </c>
      <c r="BW52" s="69">
        <f t="shared" si="130"/>
        <v>70.959210012137888</v>
      </c>
      <c r="BX52" s="69">
        <f t="shared" si="131"/>
        <v>84.280928323800126</v>
      </c>
      <c r="BZ52" t="str">
        <f t="shared" si="146"/>
        <v>32 Health and social care associate professionals</v>
      </c>
      <c r="CA52" s="18">
        <f t="shared" si="132"/>
        <v>0.69557016012235828</v>
      </c>
      <c r="CB52" s="18">
        <f t="shared" si="132"/>
        <v>0.62528671625675281</v>
      </c>
      <c r="CC52" s="18">
        <f t="shared" si="132"/>
        <v>0.6338800533989547</v>
      </c>
      <c r="CD52" s="18">
        <f t="shared" si="132"/>
        <v>1.0483748974011933</v>
      </c>
      <c r="CE52" s="18">
        <f t="shared" si="132"/>
        <v>1.1652072775292333</v>
      </c>
      <c r="CG52" s="68">
        <f t="shared" si="133"/>
        <v>1.5258701137569579</v>
      </c>
      <c r="CH52" s="69">
        <f t="shared" si="134"/>
        <v>55.513634234179463</v>
      </c>
      <c r="CI52" s="69">
        <f t="shared" si="135"/>
        <v>57.039504347936429</v>
      </c>
      <c r="CK52" t="str">
        <f t="shared" si="147"/>
        <v>32 Health and social care associate professionals</v>
      </c>
      <c r="CL52" s="18">
        <f t="shared" si="136"/>
        <v>0.22952601300745579</v>
      </c>
      <c r="CM52" s="18">
        <f t="shared" si="136"/>
        <v>0.27760512424180805</v>
      </c>
      <c r="CN52" s="18">
        <f t="shared" si="136"/>
        <v>0.32049723034616007</v>
      </c>
      <c r="CO52" s="18">
        <f t="shared" si="136"/>
        <v>0.58724648671019186</v>
      </c>
      <c r="CP52" s="18">
        <f t="shared" si="136"/>
        <v>0.92037695545860665</v>
      </c>
      <c r="CR52" s="68">
        <f t="shared" si="137"/>
        <v>94.375801607524195</v>
      </c>
      <c r="CS52" s="69">
        <f t="shared" si="138"/>
        <v>77.975155518320463</v>
      </c>
      <c r="CT52" s="69">
        <f t="shared" si="139"/>
        <v>172.35095712584464</v>
      </c>
    </row>
    <row r="53" spans="1:98" x14ac:dyDescent="0.2">
      <c r="A53" t="str">
        <f t="shared" si="103"/>
        <v>33 Protective service occupations</v>
      </c>
      <c r="B53" s="18">
        <f t="shared" si="104"/>
        <v>0.2938810129920571</v>
      </c>
      <c r="C53" s="18">
        <f t="shared" si="104"/>
        <v>0.3085239366550977</v>
      </c>
      <c r="D53" s="18">
        <f t="shared" si="104"/>
        <v>0.30398347090388805</v>
      </c>
      <c r="E53" s="18">
        <f t="shared" si="104"/>
        <v>0.29437764392297766</v>
      </c>
      <c r="F53" s="18">
        <f t="shared" si="104"/>
        <v>0.36086164627694362</v>
      </c>
      <c r="H53" s="68">
        <f t="shared" si="105"/>
        <v>86.445406539409518</v>
      </c>
      <c r="I53" s="69">
        <f t="shared" si="106"/>
        <v>53.352874405903783</v>
      </c>
      <c r="J53" s="69">
        <f t="shared" si="107"/>
        <v>139.79828094531331</v>
      </c>
      <c r="L53" t="str">
        <f t="shared" si="140"/>
        <v>33 Protective service occupations</v>
      </c>
      <c r="M53" s="18">
        <f t="shared" si="108"/>
        <v>0.65597930239931879</v>
      </c>
      <c r="N53" s="18">
        <f t="shared" si="108"/>
        <v>0.59993178684299187</v>
      </c>
      <c r="O53" s="18">
        <f t="shared" si="108"/>
        <v>0.65056806219994301</v>
      </c>
      <c r="P53" s="18">
        <f t="shared" si="108"/>
        <v>0.57171742071798015</v>
      </c>
      <c r="Q53" s="18">
        <f t="shared" si="108"/>
        <v>0.64834503709197633</v>
      </c>
      <c r="S53" s="68">
        <f t="shared" si="109"/>
        <v>57.899017751712357</v>
      </c>
      <c r="T53" s="69">
        <f t="shared" si="110"/>
        <v>40.109709569051866</v>
      </c>
      <c r="U53" s="69">
        <f t="shared" si="111"/>
        <v>98.008727320764223</v>
      </c>
      <c r="W53" t="str">
        <f t="shared" si="141"/>
        <v>33 Protective service occupations</v>
      </c>
      <c r="X53" s="18">
        <f t="shared" si="112"/>
        <v>1.3533408012469337</v>
      </c>
      <c r="Y53" s="18">
        <f t="shared" si="112"/>
        <v>1.3151736584805209</v>
      </c>
      <c r="Z53" s="18">
        <f t="shared" si="112"/>
        <v>1.4230230986706367</v>
      </c>
      <c r="AA53" s="18">
        <f t="shared" si="112"/>
        <v>1.1976521429900664</v>
      </c>
      <c r="AB53" s="18">
        <f t="shared" si="112"/>
        <v>1.3391137931308492</v>
      </c>
      <c r="AD53" s="68">
        <f t="shared" si="113"/>
        <v>25.816822168417318</v>
      </c>
      <c r="AE53" s="69">
        <f t="shared" si="114"/>
        <v>41.463073838166537</v>
      </c>
      <c r="AF53" s="69">
        <f t="shared" si="115"/>
        <v>67.279896006583868</v>
      </c>
      <c r="AH53" t="str">
        <f t="shared" si="142"/>
        <v>33 Protective service occupations</v>
      </c>
      <c r="AI53" s="18">
        <f t="shared" si="116"/>
        <v>1.1172352172789861</v>
      </c>
      <c r="AJ53" s="18">
        <f t="shared" si="116"/>
        <v>1.1316828891562529</v>
      </c>
      <c r="AK53" s="18">
        <f t="shared" si="116"/>
        <v>1.3374896624752897</v>
      </c>
      <c r="AL53" s="18">
        <f t="shared" si="116"/>
        <v>1.1998982970423027</v>
      </c>
      <c r="AM53" s="18">
        <f t="shared" si="116"/>
        <v>1.338253094461018</v>
      </c>
      <c r="AO53" s="68">
        <f t="shared" si="117"/>
        <v>17.608999973842508</v>
      </c>
      <c r="AP53" s="69">
        <f t="shared" si="118"/>
        <v>35.721236403779692</v>
      </c>
      <c r="AQ53" s="69">
        <f t="shared" si="119"/>
        <v>53.330236377622199</v>
      </c>
      <c r="AS53" t="str">
        <f t="shared" si="143"/>
        <v>33 Protective service occupations</v>
      </c>
      <c r="AT53" s="18">
        <f t="shared" si="120"/>
        <v>1.1031794528034702</v>
      </c>
      <c r="AU53" s="18">
        <f t="shared" si="120"/>
        <v>0.91767056102345901</v>
      </c>
      <c r="AV53" s="18">
        <f t="shared" si="120"/>
        <v>0.94990445614649444</v>
      </c>
      <c r="AW53" s="18">
        <f t="shared" si="120"/>
        <v>0.68678297726394411</v>
      </c>
      <c r="AX53" s="18">
        <f t="shared" si="120"/>
        <v>0.63572452895347731</v>
      </c>
      <c r="AZ53" s="68">
        <f t="shared" si="121"/>
        <v>-15.751062290589099</v>
      </c>
      <c r="BA53" s="69">
        <f t="shared" si="122"/>
        <v>27.940842930958397</v>
      </c>
      <c r="BB53" s="69">
        <f t="shared" si="123"/>
        <v>12.1897806403693</v>
      </c>
      <c r="BD53" t="str">
        <f t="shared" si="144"/>
        <v>33 Protective service occupations</v>
      </c>
      <c r="BE53" s="18">
        <f t="shared" si="124"/>
        <v>1.2285667727635303</v>
      </c>
      <c r="BF53" s="18">
        <f t="shared" si="124"/>
        <v>1.1716646173744809</v>
      </c>
      <c r="BG53" s="18">
        <f t="shared" si="124"/>
        <v>1.1444912044688518</v>
      </c>
      <c r="BH53" s="18">
        <f t="shared" si="124"/>
        <v>1.030303816457218</v>
      </c>
      <c r="BI53" s="18">
        <f t="shared" si="124"/>
        <v>0.96987790305536037</v>
      </c>
      <c r="BK53" s="68">
        <f t="shared" si="125"/>
        <v>-9.6818407763121463</v>
      </c>
      <c r="BL53" s="69">
        <f t="shared" si="126"/>
        <v>23.509695379970221</v>
      </c>
      <c r="BM53" s="69">
        <f t="shared" si="127"/>
        <v>13.827854603658077</v>
      </c>
      <c r="BO53" t="str">
        <f t="shared" si="145"/>
        <v>33 Protective service occupations</v>
      </c>
      <c r="BP53" s="18">
        <f t="shared" si="128"/>
        <v>1.1850474492650767</v>
      </c>
      <c r="BQ53" s="18">
        <f t="shared" si="128"/>
        <v>1.196287915875917</v>
      </c>
      <c r="BR53" s="18">
        <f t="shared" si="128"/>
        <v>1.2080412046589011</v>
      </c>
      <c r="BS53" s="18">
        <f t="shared" si="128"/>
        <v>1.0043620132404285</v>
      </c>
      <c r="BT53" s="18">
        <f t="shared" si="128"/>
        <v>0.93396555366263545</v>
      </c>
      <c r="BV53" s="68">
        <f t="shared" si="129"/>
        <v>-40.049016155122388</v>
      </c>
      <c r="BW53" s="69">
        <f t="shared" si="130"/>
        <v>20.759620910914293</v>
      </c>
      <c r="BX53" s="69">
        <f t="shared" si="131"/>
        <v>-19.289395244208094</v>
      </c>
      <c r="BZ53" t="str">
        <f t="shared" si="146"/>
        <v>33 Protective service occupations</v>
      </c>
      <c r="CA53" s="18">
        <f t="shared" si="132"/>
        <v>0.9101551410820139</v>
      </c>
      <c r="CB53" s="18">
        <f t="shared" si="132"/>
        <v>0.93920763095590143</v>
      </c>
      <c r="CC53" s="18">
        <f t="shared" si="132"/>
        <v>1.0026242982648119</v>
      </c>
      <c r="CD53" s="18">
        <f t="shared" si="132"/>
        <v>0.86496388945947589</v>
      </c>
      <c r="CE53" s="18">
        <f t="shared" si="132"/>
        <v>0.97120343781038554</v>
      </c>
      <c r="CG53" s="68">
        <f t="shared" si="133"/>
        <v>-46.500145206627117</v>
      </c>
      <c r="CH53" s="69">
        <f t="shared" si="134"/>
        <v>22.81979911332829</v>
      </c>
      <c r="CI53" s="69">
        <f t="shared" si="135"/>
        <v>-23.68034609329883</v>
      </c>
      <c r="CK53" t="str">
        <f t="shared" si="147"/>
        <v>33 Protective service occupations</v>
      </c>
      <c r="CL53" s="18">
        <f t="shared" si="136"/>
        <v>0.4881655156809212</v>
      </c>
      <c r="CM53" s="18">
        <f t="shared" si="136"/>
        <v>0.4581632564474975</v>
      </c>
      <c r="CN53" s="18">
        <f t="shared" si="136"/>
        <v>0.47653619787021922</v>
      </c>
      <c r="CO53" s="18">
        <f t="shared" si="136"/>
        <v>0.43395210946495044</v>
      </c>
      <c r="CP53" s="18">
        <f t="shared" si="136"/>
        <v>0.23324588042954422</v>
      </c>
      <c r="CR53" s="68">
        <f t="shared" si="137"/>
        <v>-66.87019889267242</v>
      </c>
      <c r="CS53" s="69">
        <f t="shared" si="138"/>
        <v>15.624085939237741</v>
      </c>
      <c r="CT53" s="69">
        <f t="shared" si="139"/>
        <v>-51.246112953434675</v>
      </c>
    </row>
    <row r="54" spans="1:98" x14ac:dyDescent="0.2">
      <c r="A54" t="str">
        <f t="shared" si="103"/>
        <v>34 Culture, media and sports occupations</v>
      </c>
      <c r="B54" s="18">
        <f t="shared" si="104"/>
        <v>1.0726739872464404</v>
      </c>
      <c r="C54" s="18">
        <f t="shared" si="104"/>
        <v>1.2777212777132392</v>
      </c>
      <c r="D54" s="18">
        <f t="shared" si="104"/>
        <v>1.420015949938052</v>
      </c>
      <c r="E54" s="18">
        <f t="shared" si="104"/>
        <v>1.2416566926986077</v>
      </c>
      <c r="F54" s="18">
        <f t="shared" si="104"/>
        <v>1.2141073362663004</v>
      </c>
      <c r="H54" s="68">
        <f t="shared" si="105"/>
        <v>34.284161714752713</v>
      </c>
      <c r="I54" s="69">
        <f t="shared" si="106"/>
        <v>53.177957585879511</v>
      </c>
      <c r="J54" s="69">
        <f t="shared" si="107"/>
        <v>87.462119300632239</v>
      </c>
      <c r="L54" t="str">
        <f t="shared" si="140"/>
        <v>34 Culture, media and sports occupations</v>
      </c>
      <c r="M54" s="18">
        <f t="shared" si="108"/>
        <v>2.6384716952255345</v>
      </c>
      <c r="N54" s="18">
        <f t="shared" si="108"/>
        <v>2.714163764350773</v>
      </c>
      <c r="O54" s="18">
        <f t="shared" si="108"/>
        <v>2.6703893871434676</v>
      </c>
      <c r="P54" s="18">
        <f t="shared" si="108"/>
        <v>2.1685524696784064</v>
      </c>
      <c r="Q54" s="18">
        <f t="shared" si="108"/>
        <v>2.0749492390363162</v>
      </c>
      <c r="S54" s="68">
        <f t="shared" si="109"/>
        <v>23.111567233750279</v>
      </c>
      <c r="T54" s="69">
        <f t="shared" si="110"/>
        <v>48.899132278743487</v>
      </c>
      <c r="U54" s="69">
        <f t="shared" si="111"/>
        <v>72.010699512493773</v>
      </c>
      <c r="W54" t="str">
        <f t="shared" si="141"/>
        <v>34 Culture, media and sports occupations</v>
      </c>
      <c r="X54" s="18">
        <f t="shared" si="112"/>
        <v>2.9276366385178538</v>
      </c>
      <c r="Y54" s="18">
        <f t="shared" si="112"/>
        <v>2.5753599859590808</v>
      </c>
      <c r="Z54" s="18">
        <f t="shared" si="112"/>
        <v>2.6083785063724241</v>
      </c>
      <c r="AA54" s="18">
        <f t="shared" si="112"/>
        <v>2.0561884027850579</v>
      </c>
      <c r="AB54" s="18">
        <f t="shared" si="112"/>
        <v>1.8071946313977332</v>
      </c>
      <c r="AD54" s="68">
        <f t="shared" si="113"/>
        <v>-7.3666238228532714</v>
      </c>
      <c r="AE54" s="69">
        <f t="shared" si="114"/>
        <v>44.194279422141278</v>
      </c>
      <c r="AF54" s="69">
        <f t="shared" si="115"/>
        <v>36.827655599288008</v>
      </c>
      <c r="AH54" t="str">
        <f t="shared" si="142"/>
        <v>34 Culture, media and sports occupations</v>
      </c>
      <c r="AI54" s="18">
        <f t="shared" si="116"/>
        <v>1.0260449090578529</v>
      </c>
      <c r="AJ54" s="18">
        <f t="shared" si="116"/>
        <v>1.0703807246826034</v>
      </c>
      <c r="AK54" s="18">
        <f t="shared" si="116"/>
        <v>1.2402500007117849</v>
      </c>
      <c r="AL54" s="18">
        <f t="shared" si="116"/>
        <v>1.0587438301919172</v>
      </c>
      <c r="AM54" s="18">
        <f t="shared" si="116"/>
        <v>1.1811066494236975</v>
      </c>
      <c r="AO54" s="68">
        <f t="shared" si="117"/>
        <v>11.936729421388815</v>
      </c>
      <c r="AP54" s="69">
        <f t="shared" si="118"/>
        <v>45.724060815768205</v>
      </c>
      <c r="AQ54" s="69">
        <f t="shared" si="119"/>
        <v>57.660790237157023</v>
      </c>
      <c r="AS54" t="str">
        <f t="shared" si="143"/>
        <v>34 Culture, media and sports occupations</v>
      </c>
      <c r="AT54" s="18">
        <f t="shared" si="120"/>
        <v>1.5684981162486586</v>
      </c>
      <c r="AU54" s="18">
        <f t="shared" si="120"/>
        <v>1.4387536715238132</v>
      </c>
      <c r="AV54" s="18">
        <f t="shared" si="120"/>
        <v>1.4053373510859395</v>
      </c>
      <c r="AW54" s="18">
        <f t="shared" si="120"/>
        <v>1.0899979525760219</v>
      </c>
      <c r="AX54" s="18">
        <f t="shared" si="120"/>
        <v>0.94068897714234634</v>
      </c>
      <c r="AZ54" s="68">
        <f t="shared" si="121"/>
        <v>-15.736235798830233</v>
      </c>
      <c r="BA54" s="69">
        <f t="shared" si="122"/>
        <v>40.234940234351782</v>
      </c>
      <c r="BB54" s="69">
        <f t="shared" si="123"/>
        <v>24.498704435521546</v>
      </c>
      <c r="BD54" t="str">
        <f t="shared" si="144"/>
        <v>34 Culture, media and sports occupations</v>
      </c>
      <c r="BE54" s="18">
        <f t="shared" si="124"/>
        <v>1.0487110574602747</v>
      </c>
      <c r="BF54" s="18">
        <f t="shared" si="124"/>
        <v>0.99142451990906211</v>
      </c>
      <c r="BG54" s="18">
        <f t="shared" si="124"/>
        <v>0.97284837004631664</v>
      </c>
      <c r="BH54" s="18">
        <f t="shared" si="124"/>
        <v>0.74716215201673553</v>
      </c>
      <c r="BI54" s="18">
        <f t="shared" si="124"/>
        <v>0.73509073527436497</v>
      </c>
      <c r="BK54" s="68">
        <f t="shared" si="125"/>
        <v>-19.468411483570666</v>
      </c>
      <c r="BL54" s="69">
        <f t="shared" si="126"/>
        <v>30.95792996991376</v>
      </c>
      <c r="BM54" s="69">
        <f t="shared" si="127"/>
        <v>11.489518486343094</v>
      </c>
      <c r="BO54" t="str">
        <f t="shared" si="145"/>
        <v>34 Culture, media and sports occupations</v>
      </c>
      <c r="BP54" s="18">
        <f t="shared" si="128"/>
        <v>0.54614849784313357</v>
      </c>
      <c r="BQ54" s="18">
        <f t="shared" si="128"/>
        <v>0.44975685947967392</v>
      </c>
      <c r="BR54" s="18">
        <f t="shared" si="128"/>
        <v>0.44090918273509355</v>
      </c>
      <c r="BS54" s="18">
        <f t="shared" si="128"/>
        <v>0.30069148003416751</v>
      </c>
      <c r="BT54" s="18">
        <f t="shared" si="128"/>
        <v>0.21268454145053137</v>
      </c>
      <c r="BV54" s="68">
        <f t="shared" si="129"/>
        <v>-62.594627437338744</v>
      </c>
      <c r="BW54" s="69">
        <f t="shared" si="130"/>
        <v>22.948543011322371</v>
      </c>
      <c r="BX54" s="69">
        <f t="shared" si="131"/>
        <v>-39.646084426016373</v>
      </c>
      <c r="BZ54" t="str">
        <f t="shared" si="146"/>
        <v>34 Culture, media and sports occupations</v>
      </c>
      <c r="CA54" s="18">
        <f t="shared" si="132"/>
        <v>0.61051473817314927</v>
      </c>
      <c r="CB54" s="18">
        <f t="shared" si="132"/>
        <v>0.61714563021813051</v>
      </c>
      <c r="CC54" s="18">
        <f t="shared" si="132"/>
        <v>0.62960907974367475</v>
      </c>
      <c r="CD54" s="18">
        <f t="shared" si="132"/>
        <v>0.53022996970938918</v>
      </c>
      <c r="CE54" s="18">
        <f t="shared" si="132"/>
        <v>0.51369553580560412</v>
      </c>
      <c r="CG54" s="68">
        <f t="shared" si="133"/>
        <v>-54.937484987060159</v>
      </c>
      <c r="CH54" s="69">
        <f t="shared" si="134"/>
        <v>24.939576280198576</v>
      </c>
      <c r="CI54" s="69">
        <f t="shared" si="135"/>
        <v>-29.997908706861576</v>
      </c>
      <c r="CK54" t="str">
        <f t="shared" si="147"/>
        <v>34 Culture, media and sports occupations</v>
      </c>
      <c r="CL54" s="18">
        <f t="shared" si="136"/>
        <v>0.49409970377768736</v>
      </c>
      <c r="CM54" s="18">
        <f t="shared" si="136"/>
        <v>0.68772678770123941</v>
      </c>
      <c r="CN54" s="18">
        <f t="shared" si="136"/>
        <v>0.75544015812059384</v>
      </c>
      <c r="CO54" s="18">
        <f t="shared" si="136"/>
        <v>0.8210229857900776</v>
      </c>
      <c r="CP54" s="18">
        <f t="shared" si="136"/>
        <v>0.99213394245483633</v>
      </c>
      <c r="CR54" s="68">
        <f t="shared" si="137"/>
        <v>-11.106300180944249</v>
      </c>
      <c r="CS54" s="69">
        <f t="shared" si="138"/>
        <v>35.428770917661517</v>
      </c>
      <c r="CT54" s="69">
        <f t="shared" si="139"/>
        <v>24.322470736717268</v>
      </c>
    </row>
    <row r="55" spans="1:98" x14ac:dyDescent="0.2">
      <c r="A55" t="str">
        <f t="shared" si="103"/>
        <v>35 Business and public service associate professionals</v>
      </c>
      <c r="B55" s="18">
        <f t="shared" ref="B55:F64" si="148">B18/B$35*100</f>
        <v>4.7507132989414744</v>
      </c>
      <c r="C55" s="18">
        <f t="shared" si="148"/>
        <v>4.5457774045401926</v>
      </c>
      <c r="D55" s="18">
        <f t="shared" si="148"/>
        <v>4.6313787606781451</v>
      </c>
      <c r="E55" s="18">
        <f t="shared" si="148"/>
        <v>4.6874640787874808</v>
      </c>
      <c r="F55" s="18">
        <f t="shared" si="148"/>
        <v>4.9506551623922217</v>
      </c>
      <c r="H55" s="68">
        <f t="shared" si="105"/>
        <v>67.885546407596891</v>
      </c>
      <c r="I55" s="69">
        <f t="shared" si="106"/>
        <v>60.752558644738144</v>
      </c>
      <c r="J55" s="69">
        <f t="shared" si="107"/>
        <v>128.63810505233505</v>
      </c>
      <c r="L55" t="str">
        <f t="shared" si="140"/>
        <v>35 Business and public service associate professionals</v>
      </c>
      <c r="M55" s="18">
        <f t="shared" ref="M55:Q64" si="149">M18/M$35*100</f>
        <v>7.1824026178968454</v>
      </c>
      <c r="N55" s="18">
        <f t="shared" si="149"/>
        <v>7.2561553962065855</v>
      </c>
      <c r="O55" s="18">
        <f t="shared" si="149"/>
        <v>7.3614085340294331</v>
      </c>
      <c r="P55" s="18">
        <f t="shared" si="149"/>
        <v>7.3048931075359551</v>
      </c>
      <c r="Q55" s="18">
        <f t="shared" si="149"/>
        <v>7.2131884915267896</v>
      </c>
      <c r="S55" s="68">
        <f t="shared" si="109"/>
        <v>55.250260439651925</v>
      </c>
      <c r="T55" s="69">
        <f t="shared" si="110"/>
        <v>58.562253534560384</v>
      </c>
      <c r="U55" s="69">
        <f t="shared" si="111"/>
        <v>113.81251397421231</v>
      </c>
      <c r="W55" t="str">
        <f t="shared" si="141"/>
        <v>35 Business and public service associate professionals</v>
      </c>
      <c r="X55" s="18">
        <f t="shared" ref="X55:AB64" si="150">X18/X$35*100</f>
        <v>7.8925140027359202</v>
      </c>
      <c r="Y55" s="18">
        <f t="shared" si="150"/>
        <v>7.5805771494211802</v>
      </c>
      <c r="Z55" s="18">
        <f t="shared" si="150"/>
        <v>7.6639929113181502</v>
      </c>
      <c r="AA55" s="18">
        <f t="shared" si="150"/>
        <v>7.3116893450300937</v>
      </c>
      <c r="AB55" s="18">
        <f t="shared" si="150"/>
        <v>6.7567548863749662</v>
      </c>
      <c r="AD55" s="68">
        <f t="shared" si="113"/>
        <v>17.873518692345403</v>
      </c>
      <c r="AE55" s="69">
        <f t="shared" si="114"/>
        <v>55.579010119794972</v>
      </c>
      <c r="AF55" s="69">
        <f t="shared" si="115"/>
        <v>73.452528812140358</v>
      </c>
      <c r="AH55" t="str">
        <f t="shared" si="142"/>
        <v>35 Business and public service associate professionals</v>
      </c>
      <c r="AI55" s="18">
        <f t="shared" ref="AI55:AM64" si="151">AI18/AI$35*100</f>
        <v>6.8181724717707777</v>
      </c>
      <c r="AJ55" s="18">
        <f t="shared" si="151"/>
        <v>7.0582328575518671</v>
      </c>
      <c r="AK55" s="18">
        <f t="shared" si="151"/>
        <v>7.8669864443814115</v>
      </c>
      <c r="AL55" s="18">
        <f t="shared" si="151"/>
        <v>8.2000693991835814</v>
      </c>
      <c r="AM55" s="18">
        <f t="shared" si="151"/>
        <v>8.6135289763593814</v>
      </c>
      <c r="AO55" s="68">
        <f t="shared" si="117"/>
        <v>28.696119521723524</v>
      </c>
      <c r="AP55" s="69">
        <f t="shared" si="118"/>
        <v>55.103610013192551</v>
      </c>
      <c r="AQ55" s="69">
        <f t="shared" si="119"/>
        <v>83.799729534916082</v>
      </c>
      <c r="AS55" t="str">
        <f t="shared" si="143"/>
        <v>35 Business and public service associate professionals</v>
      </c>
      <c r="AT55" s="18">
        <f t="shared" ref="AT55:AX64" si="152">AT18/AT$35*100</f>
        <v>6.7318951268625176</v>
      </c>
      <c r="AU55" s="18">
        <f t="shared" si="152"/>
        <v>6.5046777882494649</v>
      </c>
      <c r="AV55" s="18">
        <f t="shared" si="152"/>
        <v>6.8126976922164202</v>
      </c>
      <c r="AW55" s="18">
        <f t="shared" si="152"/>
        <v>6.6407967707774667</v>
      </c>
      <c r="AX55" s="18">
        <f t="shared" si="152"/>
        <v>6.546899835219568</v>
      </c>
      <c r="AZ55" s="68">
        <f t="shared" si="121"/>
        <v>20.973979846252842</v>
      </c>
      <c r="BA55" s="69">
        <f t="shared" si="122"/>
        <v>50.876089918834289</v>
      </c>
      <c r="BB55" s="69">
        <f t="shared" si="123"/>
        <v>71.850069765087127</v>
      </c>
      <c r="BD55" t="str">
        <f t="shared" si="144"/>
        <v>35 Business and public service associate professionals</v>
      </c>
      <c r="BE55" s="18">
        <f t="shared" ref="BE55:BI64" si="153">BE18/BE$35*100</f>
        <v>4.8969704369899203</v>
      </c>
      <c r="BF55" s="18">
        <f t="shared" si="153"/>
        <v>4.970070276554722</v>
      </c>
      <c r="BG55" s="18">
        <f t="shared" si="153"/>
        <v>5.3110691901315539</v>
      </c>
      <c r="BH55" s="18">
        <f t="shared" si="153"/>
        <v>5.0204196356476531</v>
      </c>
      <c r="BI55" s="18">
        <f t="shared" si="153"/>
        <v>4.7952353786420545</v>
      </c>
      <c r="BK55" s="68">
        <f t="shared" si="125"/>
        <v>-3.7726684240656274</v>
      </c>
      <c r="BL55" s="69">
        <f t="shared" si="126"/>
        <v>40.604325415513436</v>
      </c>
      <c r="BM55" s="69">
        <f t="shared" si="127"/>
        <v>36.831656991447815</v>
      </c>
      <c r="BO55" t="str">
        <f t="shared" si="145"/>
        <v>35 Business and public service associate professionals</v>
      </c>
      <c r="BP55" s="18">
        <f t="shared" ref="BP55:BT64" si="154">BP18/BP$35*100</f>
        <v>3.8984737391236681</v>
      </c>
      <c r="BQ55" s="18">
        <f t="shared" si="154"/>
        <v>3.9600375255512308</v>
      </c>
      <c r="BR55" s="18">
        <f t="shared" si="154"/>
        <v>4.2852236064271976</v>
      </c>
      <c r="BS55" s="18">
        <f t="shared" si="154"/>
        <v>4.0191414744175571</v>
      </c>
      <c r="BT55" s="18">
        <f t="shared" si="154"/>
        <v>3.8984605941659569</v>
      </c>
      <c r="BV55" s="68">
        <f t="shared" si="129"/>
        <v>-29.454898376845723</v>
      </c>
      <c r="BW55" s="69">
        <f t="shared" si="130"/>
        <v>33.383964082984981</v>
      </c>
      <c r="BX55" s="69">
        <f t="shared" si="131"/>
        <v>3.9290657061392564</v>
      </c>
      <c r="BZ55" t="str">
        <f t="shared" si="146"/>
        <v>35 Business and public service associate professionals</v>
      </c>
      <c r="CA55" s="18">
        <f t="shared" ref="CA55:CE64" si="155">CA18/CA$35*100</f>
        <v>3.5754576181521691</v>
      </c>
      <c r="CB55" s="18">
        <f t="shared" si="155"/>
        <v>3.9205661752530618</v>
      </c>
      <c r="CC55" s="18">
        <f t="shared" si="155"/>
        <v>4.0802842017922636</v>
      </c>
      <c r="CD55" s="18">
        <f t="shared" si="155"/>
        <v>3.9685992392401448</v>
      </c>
      <c r="CE55" s="18">
        <f t="shared" si="155"/>
        <v>4.057387277404823</v>
      </c>
      <c r="CG55" s="68">
        <f t="shared" si="133"/>
        <v>-45.079223753785733</v>
      </c>
      <c r="CH55" s="69">
        <f t="shared" si="134"/>
        <v>28.515550185132728</v>
      </c>
      <c r="CI55" s="69">
        <f t="shared" si="135"/>
        <v>-16.563673568653002</v>
      </c>
      <c r="CK55" t="str">
        <f t="shared" si="147"/>
        <v>35 Business and public service associate professionals</v>
      </c>
      <c r="CL55" s="18">
        <f t="shared" ref="CL55:CP64" si="156">CL18/CL$35*100</f>
        <v>1.9755561830632442</v>
      </c>
      <c r="CM55" s="18">
        <f t="shared" si="156"/>
        <v>2.4544408987909812</v>
      </c>
      <c r="CN55" s="18">
        <f t="shared" si="156"/>
        <v>2.5997179384730269</v>
      </c>
      <c r="CO55" s="18">
        <f t="shared" si="156"/>
        <v>2.4836661773723083</v>
      </c>
      <c r="CP55" s="18">
        <f t="shared" si="156"/>
        <v>3.0071335218078343</v>
      </c>
      <c r="CR55" s="68">
        <f t="shared" si="137"/>
        <v>-21.706226870407562</v>
      </c>
      <c r="CS55" s="69">
        <f t="shared" si="138"/>
        <v>29.683933729290196</v>
      </c>
      <c r="CT55" s="69">
        <f t="shared" si="139"/>
        <v>7.977706858882633</v>
      </c>
    </row>
    <row r="56" spans="1:98" x14ac:dyDescent="0.2">
      <c r="A56" t="str">
        <f t="shared" si="103"/>
        <v>41 Administrative occupations</v>
      </c>
      <c r="B56" s="18">
        <f t="shared" si="148"/>
        <v>3.1817001513673198</v>
      </c>
      <c r="C56" s="18">
        <f t="shared" si="148"/>
        <v>3.2612874107411614</v>
      </c>
      <c r="D56" s="18">
        <f t="shared" si="148"/>
        <v>3.0748159884187807</v>
      </c>
      <c r="E56" s="18">
        <f t="shared" si="148"/>
        <v>3.2855249094306531</v>
      </c>
      <c r="F56" s="18">
        <f t="shared" si="148"/>
        <v>3.5731790788542996</v>
      </c>
      <c r="H56" s="68">
        <f t="shared" si="105"/>
        <v>82.514168157277396</v>
      </c>
      <c r="I56" s="69">
        <f t="shared" si="106"/>
        <v>69.138050912440335</v>
      </c>
      <c r="J56" s="69">
        <f t="shared" si="107"/>
        <v>151.65221906971772</v>
      </c>
      <c r="L56" t="str">
        <f t="shared" si="140"/>
        <v>41 Administrative occupations</v>
      </c>
      <c r="M56" s="18">
        <f t="shared" si="149"/>
        <v>5.4638340977925015</v>
      </c>
      <c r="N56" s="18">
        <f t="shared" si="149"/>
        <v>5.6602304014937319</v>
      </c>
      <c r="O56" s="18">
        <f t="shared" si="149"/>
        <v>5.4434529311593876</v>
      </c>
      <c r="P56" s="18">
        <f t="shared" si="149"/>
        <v>5.9798180220312966</v>
      </c>
      <c r="Q56" s="18">
        <f t="shared" si="149"/>
        <v>6.2964061165207585</v>
      </c>
      <c r="S56" s="68">
        <f t="shared" si="109"/>
        <v>83.266985676528677</v>
      </c>
      <c r="T56" s="69">
        <f t="shared" si="110"/>
        <v>70.819125451252162</v>
      </c>
      <c r="U56" s="69">
        <f t="shared" si="111"/>
        <v>154.08611112778084</v>
      </c>
      <c r="W56" t="str">
        <f t="shared" si="141"/>
        <v>41 Administrative occupations</v>
      </c>
      <c r="X56" s="18">
        <f t="shared" si="150"/>
        <v>8.3738578887054835</v>
      </c>
      <c r="Y56" s="18">
        <f t="shared" si="150"/>
        <v>8.3741347482511035</v>
      </c>
      <c r="Z56" s="18">
        <f t="shared" si="150"/>
        <v>8.0891034749581419</v>
      </c>
      <c r="AA56" s="18">
        <f t="shared" si="150"/>
        <v>8.8157524948488764</v>
      </c>
      <c r="AB56" s="18">
        <f t="shared" si="150"/>
        <v>8.9653529884206016</v>
      </c>
      <c r="AD56" s="68">
        <f t="shared" si="113"/>
        <v>48.183613380793119</v>
      </c>
      <c r="AE56" s="69">
        <f t="shared" si="114"/>
        <v>72.895935552138155</v>
      </c>
      <c r="AF56" s="69">
        <f t="shared" si="115"/>
        <v>121.07954893293127</v>
      </c>
      <c r="AH56" t="str">
        <f t="shared" si="142"/>
        <v>41 Administrative occupations</v>
      </c>
      <c r="AI56" s="18">
        <f t="shared" si="151"/>
        <v>10.162153596500364</v>
      </c>
      <c r="AJ56" s="18">
        <f t="shared" si="151"/>
        <v>11.20773752603009</v>
      </c>
      <c r="AK56" s="18">
        <f t="shared" si="151"/>
        <v>11.072036851669763</v>
      </c>
      <c r="AL56" s="18">
        <f t="shared" si="151"/>
        <v>12.576048106700988</v>
      </c>
      <c r="AM56" s="18">
        <f t="shared" si="151"/>
        <v>13.450576039251066</v>
      </c>
      <c r="AO56" s="68">
        <f t="shared" si="117"/>
        <v>42.792729847580532</v>
      </c>
      <c r="AP56" s="69">
        <f t="shared" si="118"/>
        <v>74.380323380743505</v>
      </c>
      <c r="AQ56" s="69">
        <f t="shared" si="119"/>
        <v>117.17305322832404</v>
      </c>
      <c r="AS56" t="str">
        <f t="shared" si="143"/>
        <v>41 Administrative occupations</v>
      </c>
      <c r="AT56" s="18">
        <f t="shared" si="152"/>
        <v>9.9265893889226291</v>
      </c>
      <c r="AU56" s="18">
        <f t="shared" si="152"/>
        <v>10.486338871406977</v>
      </c>
      <c r="AV56" s="18">
        <f t="shared" si="152"/>
        <v>9.7453518036929498</v>
      </c>
      <c r="AW56" s="18">
        <f t="shared" si="152"/>
        <v>10.167527422933775</v>
      </c>
      <c r="AX56" s="18">
        <f t="shared" si="152"/>
        <v>10.254257782084263</v>
      </c>
      <c r="AZ56" s="68">
        <f t="shared" si="121"/>
        <v>32.459191318915018</v>
      </c>
      <c r="BA56" s="69">
        <f t="shared" si="122"/>
        <v>66.592421671565944</v>
      </c>
      <c r="BB56" s="69">
        <f t="shared" si="123"/>
        <v>99.051612990480962</v>
      </c>
      <c r="BD56" t="str">
        <f t="shared" si="144"/>
        <v>41 Administrative occupations</v>
      </c>
      <c r="BE56" s="18">
        <f t="shared" si="153"/>
        <v>8.0008278295426116</v>
      </c>
      <c r="BF56" s="18">
        <f t="shared" si="153"/>
        <v>7.4747057097292249</v>
      </c>
      <c r="BG56" s="18">
        <f t="shared" si="153"/>
        <v>8.2416648931172141</v>
      </c>
      <c r="BH56" s="18">
        <f t="shared" si="153"/>
        <v>8.035012557769166</v>
      </c>
      <c r="BI56" s="18">
        <f t="shared" si="153"/>
        <v>7.2029309759822659</v>
      </c>
      <c r="BK56" s="68">
        <f t="shared" si="125"/>
        <v>-6.8538791134947115</v>
      </c>
      <c r="BL56" s="69">
        <f t="shared" si="126"/>
        <v>46.296883890442402</v>
      </c>
      <c r="BM56" s="69">
        <f t="shared" si="127"/>
        <v>39.443004776947696</v>
      </c>
      <c r="BO56" t="str">
        <f t="shared" si="145"/>
        <v>41 Administrative occupations</v>
      </c>
      <c r="BP56" s="18">
        <f t="shared" si="154"/>
        <v>9.5970087513141102</v>
      </c>
      <c r="BQ56" s="18">
        <f t="shared" si="154"/>
        <v>8.8781534104875046</v>
      </c>
      <c r="BR56" s="18">
        <f t="shared" si="154"/>
        <v>9.7396072573401256</v>
      </c>
      <c r="BS56" s="18">
        <f t="shared" si="154"/>
        <v>9.2854940405372748</v>
      </c>
      <c r="BT56" s="18">
        <f t="shared" si="154"/>
        <v>7.9264562692079004</v>
      </c>
      <c r="BV56" s="68">
        <f t="shared" si="129"/>
        <v>-36.891940443374381</v>
      </c>
      <c r="BW56" s="69">
        <f t="shared" si="130"/>
        <v>37.672627757280274</v>
      </c>
      <c r="BX56" s="69">
        <f t="shared" si="131"/>
        <v>0.78068731390589452</v>
      </c>
      <c r="BZ56" t="str">
        <f t="shared" si="146"/>
        <v>41 Administrative occupations</v>
      </c>
      <c r="CA56" s="18">
        <f t="shared" si="155"/>
        <v>7.9747779633184592</v>
      </c>
      <c r="CB56" s="18">
        <f t="shared" si="155"/>
        <v>6.7223476622118987</v>
      </c>
      <c r="CC56" s="18">
        <f t="shared" si="155"/>
        <v>6.8963973487595229</v>
      </c>
      <c r="CD56" s="18">
        <f t="shared" si="155"/>
        <v>6.0818965413007531</v>
      </c>
      <c r="CE56" s="18">
        <f t="shared" si="155"/>
        <v>4.0625311172163467</v>
      </c>
      <c r="CG56" s="68">
        <f t="shared" si="133"/>
        <v>-67.464683045375409</v>
      </c>
      <c r="CH56" s="69">
        <f t="shared" si="134"/>
        <v>22.945388046194637</v>
      </c>
      <c r="CI56" s="69">
        <f t="shared" si="135"/>
        <v>-44.519294999180772</v>
      </c>
      <c r="CK56" t="str">
        <f t="shared" si="147"/>
        <v>41 Administrative occupations</v>
      </c>
      <c r="CL56" s="18">
        <f t="shared" si="156"/>
        <v>4.7313260088167368</v>
      </c>
      <c r="CM56" s="18">
        <f t="shared" si="156"/>
        <v>4.7943521429202587</v>
      </c>
      <c r="CN56" s="18">
        <f t="shared" si="156"/>
        <v>4.8711780442769923</v>
      </c>
      <c r="CO56" s="18">
        <f t="shared" si="156"/>
        <v>4.7010252765502463</v>
      </c>
      <c r="CP56" s="18">
        <f t="shared" si="156"/>
        <v>4.1998037612899779</v>
      </c>
      <c r="CR56" s="68">
        <f t="shared" si="137"/>
        <v>-41.642626591454075</v>
      </c>
      <c r="CS56" s="69">
        <f t="shared" si="138"/>
        <v>28.321555743612542</v>
      </c>
      <c r="CT56" s="69">
        <f t="shared" si="139"/>
        <v>-13.321070847841535</v>
      </c>
    </row>
    <row r="57" spans="1:98" x14ac:dyDescent="0.2">
      <c r="A57" t="str">
        <f t="shared" si="103"/>
        <v>42 Secretarial and related occupations</v>
      </c>
      <c r="B57" s="18">
        <f t="shared" si="148"/>
        <v>0.28169519449051783</v>
      </c>
      <c r="C57" s="18">
        <f t="shared" si="148"/>
        <v>0.33373034838054033</v>
      </c>
      <c r="D57" s="18">
        <f t="shared" si="148"/>
        <v>0.31069920435021225</v>
      </c>
      <c r="E57" s="18">
        <f t="shared" si="148"/>
        <v>0.39672996232480223</v>
      </c>
      <c r="F57" s="18">
        <f t="shared" si="148"/>
        <v>0.49114307957662157</v>
      </c>
      <c r="H57" s="68">
        <f t="shared" si="105"/>
        <v>148.27261549428545</v>
      </c>
      <c r="I57" s="69">
        <f t="shared" si="106"/>
        <v>95.114067127723928</v>
      </c>
      <c r="J57" s="69">
        <f t="shared" si="107"/>
        <v>243.38668262200943</v>
      </c>
      <c r="L57" t="str">
        <f t="shared" si="140"/>
        <v>42 Secretarial and related occupations</v>
      </c>
      <c r="M57" s="18">
        <f t="shared" si="149"/>
        <v>0.98987002458937379</v>
      </c>
      <c r="N57" s="18">
        <f t="shared" si="149"/>
        <v>1.0038817715111592</v>
      </c>
      <c r="O57" s="18">
        <f t="shared" si="149"/>
        <v>0.89142803571617346</v>
      </c>
      <c r="P57" s="18">
        <f t="shared" si="149"/>
        <v>1.0802829321416967</v>
      </c>
      <c r="Q57" s="18">
        <f t="shared" si="149"/>
        <v>1.0569629905266162</v>
      </c>
      <c r="S57" s="68">
        <f t="shared" si="109"/>
        <v>87.862228027692808</v>
      </c>
      <c r="T57" s="69">
        <f t="shared" si="110"/>
        <v>77.60733346890737</v>
      </c>
      <c r="U57" s="69">
        <f t="shared" si="111"/>
        <v>165.46956149660016</v>
      </c>
      <c r="W57" t="str">
        <f t="shared" si="141"/>
        <v>42 Secretarial and related occupations</v>
      </c>
      <c r="X57" s="18">
        <f t="shared" si="150"/>
        <v>1.5740812283512731</v>
      </c>
      <c r="Y57" s="18">
        <f t="shared" si="150"/>
        <v>1.6146861927404568</v>
      </c>
      <c r="Z57" s="18">
        <f t="shared" si="150"/>
        <v>1.4528633225939847</v>
      </c>
      <c r="AA57" s="18">
        <f t="shared" si="150"/>
        <v>1.6948127660168879</v>
      </c>
      <c r="AB57" s="18">
        <f t="shared" si="150"/>
        <v>1.85910119450916</v>
      </c>
      <c r="AD57" s="68">
        <f t="shared" si="113"/>
        <v>71.084808400122697</v>
      </c>
      <c r="AE57" s="69">
        <f t="shared" si="114"/>
        <v>87.248299734953861</v>
      </c>
      <c r="AF57" s="69">
        <f t="shared" si="115"/>
        <v>158.33310813507657</v>
      </c>
      <c r="AH57" t="str">
        <f t="shared" si="142"/>
        <v>42 Secretarial and related occupations</v>
      </c>
      <c r="AI57" s="18">
        <f t="shared" si="151"/>
        <v>2.0891651328747884</v>
      </c>
      <c r="AJ57" s="18">
        <f t="shared" si="151"/>
        <v>2.2659107664478491</v>
      </c>
      <c r="AK57" s="18">
        <f t="shared" si="151"/>
        <v>2.1900847807164769</v>
      </c>
      <c r="AL57" s="18">
        <f t="shared" si="151"/>
        <v>2.4680052788243594</v>
      </c>
      <c r="AM57" s="18">
        <f t="shared" si="151"/>
        <v>2.2427461921618277</v>
      </c>
      <c r="AO57" s="68">
        <f t="shared" si="117"/>
        <v>20.368247012911876</v>
      </c>
      <c r="AP57" s="69">
        <f t="shared" si="118"/>
        <v>68.470473324777686</v>
      </c>
      <c r="AQ57" s="69">
        <f t="shared" si="119"/>
        <v>88.838720337689566</v>
      </c>
      <c r="AS57" t="str">
        <f t="shared" si="143"/>
        <v>42 Secretarial and related occupations</v>
      </c>
      <c r="AT57" s="18">
        <f t="shared" si="152"/>
        <v>1.784535126722723</v>
      </c>
      <c r="AU57" s="18">
        <f t="shared" si="152"/>
        <v>1.8263497488136839</v>
      </c>
      <c r="AV57" s="18">
        <f t="shared" si="152"/>
        <v>1.636000860049136</v>
      </c>
      <c r="AW57" s="18">
        <f t="shared" si="152"/>
        <v>1.7652839013741026</v>
      </c>
      <c r="AX57" s="18">
        <f t="shared" si="152"/>
        <v>1.3340537584987826</v>
      </c>
      <c r="AZ57" s="68">
        <f t="shared" si="121"/>
        <v>2.6514747364170246</v>
      </c>
      <c r="BA57" s="69">
        <f t="shared" si="122"/>
        <v>63.64375011170501</v>
      </c>
      <c r="BB57" s="69">
        <f t="shared" si="123"/>
        <v>66.295224848122032</v>
      </c>
      <c r="BD57" t="str">
        <f t="shared" si="144"/>
        <v>42 Secretarial and related occupations</v>
      </c>
      <c r="BE57" s="18">
        <f t="shared" si="153"/>
        <v>1.7463692267845028</v>
      </c>
      <c r="BF57" s="18">
        <f t="shared" si="153"/>
        <v>1.5717139234994779</v>
      </c>
      <c r="BG57" s="18">
        <f t="shared" si="153"/>
        <v>1.5869461143600758</v>
      </c>
      <c r="BH57" s="18">
        <f t="shared" si="153"/>
        <v>1.4449780760223772</v>
      </c>
      <c r="BI57" s="18">
        <f t="shared" si="153"/>
        <v>0.55656801242059672</v>
      </c>
      <c r="BK57" s="68">
        <f t="shared" si="125"/>
        <v>-62.621098463191039</v>
      </c>
      <c r="BL57" s="69">
        <f t="shared" si="126"/>
        <v>34.909896055286708</v>
      </c>
      <c r="BM57" s="69">
        <f t="shared" si="127"/>
        <v>-27.711202407904334</v>
      </c>
      <c r="BO57" t="str">
        <f t="shared" si="145"/>
        <v>42 Secretarial and related occupations</v>
      </c>
      <c r="BP57" s="18">
        <f t="shared" si="154"/>
        <v>2.3140436200757004</v>
      </c>
      <c r="BQ57" s="18">
        <f t="shared" si="154"/>
        <v>2.0035347218075308</v>
      </c>
      <c r="BR57" s="18">
        <f t="shared" si="154"/>
        <v>2.0708982147670256</v>
      </c>
      <c r="BS57" s="18">
        <f t="shared" si="154"/>
        <v>1.6622784148202907</v>
      </c>
      <c r="BT57" s="18">
        <f t="shared" si="154"/>
        <v>0.72083166404371002</v>
      </c>
      <c r="BV57" s="68">
        <f t="shared" si="129"/>
        <v>-73.008793032445993</v>
      </c>
      <c r="BW57" s="69">
        <f t="shared" si="130"/>
        <v>29.250667397860745</v>
      </c>
      <c r="BX57" s="69">
        <f t="shared" si="131"/>
        <v>-43.758125634585248</v>
      </c>
      <c r="BZ57" t="str">
        <f t="shared" si="146"/>
        <v>42 Secretarial and related occupations</v>
      </c>
      <c r="CA57" s="18">
        <f t="shared" si="155"/>
        <v>2.9662170707455524</v>
      </c>
      <c r="CB57" s="18">
        <f t="shared" si="155"/>
        <v>2.6408484795534046</v>
      </c>
      <c r="CC57" s="18">
        <f t="shared" si="155"/>
        <v>2.5805549946965431</v>
      </c>
      <c r="CD57" s="18">
        <f t="shared" si="155"/>
        <v>1.7654971307710643</v>
      </c>
      <c r="CE57" s="18">
        <f t="shared" si="155"/>
        <v>1.0437382889077758</v>
      </c>
      <c r="CG57" s="68">
        <f t="shared" si="133"/>
        <v>-77.661237317170176</v>
      </c>
      <c r="CH57" s="69">
        <f t="shared" si="134"/>
        <v>20.553484646493281</v>
      </c>
      <c r="CI57" s="69">
        <f t="shared" si="135"/>
        <v>-57.107752670676895</v>
      </c>
      <c r="CK57" t="str">
        <f t="shared" si="147"/>
        <v>42 Secretarial and related occupations</v>
      </c>
      <c r="CL57" s="18">
        <f t="shared" si="156"/>
        <v>1.531299280120896</v>
      </c>
      <c r="CM57" s="18">
        <f t="shared" si="156"/>
        <v>1.7499878472167738</v>
      </c>
      <c r="CN57" s="18">
        <f t="shared" si="156"/>
        <v>1.8999746562869526</v>
      </c>
      <c r="CO57" s="18">
        <f t="shared" si="156"/>
        <v>2.1792615812172418</v>
      </c>
      <c r="CP57" s="18">
        <f t="shared" si="156"/>
        <v>2.7030200350488687</v>
      </c>
      <c r="CR57" s="68">
        <f t="shared" si="137"/>
        <v>-3.7053411681695128</v>
      </c>
      <c r="CS57" s="69">
        <f t="shared" si="138"/>
        <v>49.273920982303224</v>
      </c>
      <c r="CT57" s="69">
        <f t="shared" si="139"/>
        <v>45.568579814133713</v>
      </c>
    </row>
    <row r="58" spans="1:98" x14ac:dyDescent="0.2">
      <c r="A58" t="str">
        <f t="shared" si="103"/>
        <v>51 Skilled agricultural and related trades</v>
      </c>
      <c r="B58" s="18">
        <f t="shared" si="148"/>
        <v>0.35586454386902194</v>
      </c>
      <c r="C58" s="18">
        <f t="shared" si="148"/>
        <v>0.73814084031115645</v>
      </c>
      <c r="D58" s="18">
        <f t="shared" si="148"/>
        <v>0.30306447975330397</v>
      </c>
      <c r="E58" s="18">
        <f t="shared" si="148"/>
        <v>0.29258288061927684</v>
      </c>
      <c r="F58" s="18">
        <f t="shared" si="148"/>
        <v>0.28357423450915081</v>
      </c>
      <c r="H58" s="68">
        <f t="shared" si="105"/>
        <v>46.957806639527888</v>
      </c>
      <c r="I58" s="69">
        <f t="shared" si="106"/>
        <v>83.145578122564885</v>
      </c>
      <c r="J58" s="69">
        <f t="shared" si="107"/>
        <v>130.10338476209279</v>
      </c>
      <c r="L58" t="str">
        <f t="shared" si="140"/>
        <v>51 Skilled agricultural and related trades</v>
      </c>
      <c r="M58" s="18">
        <f t="shared" si="149"/>
        <v>0.34610587441859969</v>
      </c>
      <c r="N58" s="18">
        <f t="shared" si="149"/>
        <v>0.28640789954947343</v>
      </c>
      <c r="O58" s="18">
        <f t="shared" si="149"/>
        <v>0.25633080152612098</v>
      </c>
      <c r="P58" s="18">
        <f t="shared" si="149"/>
        <v>0.20724571774840209</v>
      </c>
      <c r="Q58" s="18">
        <f t="shared" si="149"/>
        <v>0.21187715117958417</v>
      </c>
      <c r="S58" s="68">
        <f t="shared" si="109"/>
        <v>30.963208379371064</v>
      </c>
      <c r="T58" s="69">
        <f t="shared" si="110"/>
        <v>57.601216207302329</v>
      </c>
      <c r="U58" s="69">
        <f t="shared" si="111"/>
        <v>88.564424586673397</v>
      </c>
      <c r="W58" t="str">
        <f t="shared" si="141"/>
        <v>51 Skilled agricultural and related trades</v>
      </c>
      <c r="X58" s="18">
        <f t="shared" si="150"/>
        <v>1.494480330127526</v>
      </c>
      <c r="Y58" s="18">
        <f t="shared" si="150"/>
        <v>1.5833287780937784</v>
      </c>
      <c r="Z58" s="18">
        <f t="shared" si="150"/>
        <v>1.8619819691665416</v>
      </c>
      <c r="AA58" s="18">
        <f t="shared" si="150"/>
        <v>1.8403628517016004</v>
      </c>
      <c r="AB58" s="18">
        <f t="shared" si="150"/>
        <v>2.0209954596414104</v>
      </c>
      <c r="AD58" s="68">
        <f t="shared" si="113"/>
        <v>45.118588233074547</v>
      </c>
      <c r="AE58" s="69">
        <f t="shared" si="114"/>
        <v>77.78281627196148</v>
      </c>
      <c r="AF58" s="69">
        <f t="shared" si="115"/>
        <v>122.90140450503601</v>
      </c>
      <c r="AH58" t="str">
        <f t="shared" si="142"/>
        <v>51 Skilled agricultural and related trades</v>
      </c>
      <c r="AI58" s="18">
        <f t="shared" si="151"/>
        <v>1.5494688674763792</v>
      </c>
      <c r="AJ58" s="18">
        <f t="shared" si="151"/>
        <v>1.7550018997389518</v>
      </c>
      <c r="AK58" s="18">
        <f t="shared" si="151"/>
        <v>1.779195263524356</v>
      </c>
      <c r="AL58" s="18">
        <f t="shared" si="151"/>
        <v>1.7454764344443936</v>
      </c>
      <c r="AM58" s="18">
        <f t="shared" si="151"/>
        <v>1.8725441079505962</v>
      </c>
      <c r="AO58" s="68">
        <f t="shared" si="117"/>
        <v>23.708966167045649</v>
      </c>
      <c r="AP58" s="69">
        <f t="shared" si="118"/>
        <v>77.332125642942941</v>
      </c>
      <c r="AQ58" s="69">
        <f t="shared" si="119"/>
        <v>101.04109180998859</v>
      </c>
      <c r="AS58" t="str">
        <f t="shared" si="143"/>
        <v>51 Skilled agricultural and related trades</v>
      </c>
      <c r="AT58" s="18">
        <f t="shared" si="152"/>
        <v>2.6361622011243662</v>
      </c>
      <c r="AU58" s="18">
        <f t="shared" si="152"/>
        <v>2.2757449839871216</v>
      </c>
      <c r="AV58" s="18">
        <f t="shared" si="152"/>
        <v>2.872744280628015</v>
      </c>
      <c r="AW58" s="18">
        <f t="shared" si="152"/>
        <v>2.7099963742683721</v>
      </c>
      <c r="AX58" s="18">
        <f t="shared" si="152"/>
        <v>2.9060041271215726</v>
      </c>
      <c r="AZ58" s="68">
        <f t="shared" si="121"/>
        <v>27.342874223939383</v>
      </c>
      <c r="BA58" s="69">
        <f t="shared" si="122"/>
        <v>67.386975361243657</v>
      </c>
      <c r="BB58" s="69">
        <f t="shared" si="123"/>
        <v>94.729849585183032</v>
      </c>
      <c r="BD58" t="str">
        <f t="shared" si="144"/>
        <v>51 Skilled agricultural and related trades</v>
      </c>
      <c r="BE58" s="18">
        <f t="shared" si="153"/>
        <v>1.4257602285390636</v>
      </c>
      <c r="BF58" s="18">
        <f t="shared" si="153"/>
        <v>1.3119636116982307</v>
      </c>
      <c r="BG58" s="18">
        <f t="shared" si="153"/>
        <v>1.4895970058863344</v>
      </c>
      <c r="BH58" s="18">
        <f t="shared" si="153"/>
        <v>1.3108443350997983</v>
      </c>
      <c r="BI58" s="18">
        <f t="shared" si="153"/>
        <v>1.2027148505981577</v>
      </c>
      <c r="BK58" s="68">
        <f t="shared" si="125"/>
        <v>-13.9473289921396</v>
      </c>
      <c r="BL58" s="69">
        <f t="shared" si="126"/>
        <v>47.339703127420016</v>
      </c>
      <c r="BM58" s="69">
        <f t="shared" si="127"/>
        <v>33.39237413528042</v>
      </c>
      <c r="BO58" t="str">
        <f t="shared" si="145"/>
        <v>51 Skilled agricultural and related trades</v>
      </c>
      <c r="BP58" s="18">
        <f t="shared" si="154"/>
        <v>1.8521861798000905</v>
      </c>
      <c r="BQ58" s="18">
        <f t="shared" si="154"/>
        <v>1.9357306468128332</v>
      </c>
      <c r="BR58" s="18">
        <f t="shared" si="154"/>
        <v>2.1902868047166586</v>
      </c>
      <c r="BS58" s="18">
        <f t="shared" si="154"/>
        <v>2.1225049107712906</v>
      </c>
      <c r="BT58" s="18">
        <f t="shared" si="154"/>
        <v>2.3589768139369043</v>
      </c>
      <c r="BV58" s="68">
        <f t="shared" si="129"/>
        <v>-16.483960907129081</v>
      </c>
      <c r="BW58" s="69">
        <f t="shared" si="130"/>
        <v>46.761953723222021</v>
      </c>
      <c r="BX58" s="69">
        <f t="shared" si="131"/>
        <v>30.27799281609294</v>
      </c>
      <c r="BZ58" t="str">
        <f t="shared" si="146"/>
        <v>51 Skilled agricultural and related trades</v>
      </c>
      <c r="CA58" s="18">
        <f t="shared" si="155"/>
        <v>2.1773636959119225</v>
      </c>
      <c r="CB58" s="18">
        <f t="shared" si="155"/>
        <v>2.049163727045487</v>
      </c>
      <c r="CC58" s="18">
        <f t="shared" si="155"/>
        <v>2.4195120569559054</v>
      </c>
      <c r="CD58" s="18">
        <f t="shared" si="155"/>
        <v>2.0078584558880213</v>
      </c>
      <c r="CE58" s="18">
        <f t="shared" si="155"/>
        <v>1.9161716003894171</v>
      </c>
      <c r="CG58" s="68">
        <f t="shared" si="133"/>
        <v>-56.259149201127343</v>
      </c>
      <c r="CH58" s="69">
        <f t="shared" si="134"/>
        <v>31.274419428458629</v>
      </c>
      <c r="CI58" s="69">
        <f t="shared" si="135"/>
        <v>-24.984729772668718</v>
      </c>
      <c r="CK58" t="str">
        <f t="shared" si="147"/>
        <v>51 Skilled agricultural and related trades</v>
      </c>
      <c r="CL58" s="18">
        <f t="shared" si="156"/>
        <v>4.2251379984419382</v>
      </c>
      <c r="CM58" s="18">
        <f t="shared" si="156"/>
        <v>3.7181753642590376</v>
      </c>
      <c r="CN58" s="18">
        <f t="shared" si="156"/>
        <v>5.2728298309324826</v>
      </c>
      <c r="CO58" s="18">
        <f t="shared" si="156"/>
        <v>5.6854550073175254</v>
      </c>
      <c r="CP58" s="18">
        <f t="shared" si="156"/>
        <v>4.8634205909699633</v>
      </c>
      <c r="CR58" s="68">
        <f t="shared" si="137"/>
        <v>-37.56921215284823</v>
      </c>
      <c r="CS58" s="69">
        <f t="shared" si="138"/>
        <v>29.876556221107968</v>
      </c>
      <c r="CT58" s="69">
        <f t="shared" si="139"/>
        <v>-7.6926559317402612</v>
      </c>
    </row>
    <row r="59" spans="1:98" x14ac:dyDescent="0.2">
      <c r="A59" t="str">
        <f t="shared" si="103"/>
        <v>52 Skilled metal, electrical and electronic trades</v>
      </c>
      <c r="B59" s="18">
        <f t="shared" si="148"/>
        <v>0.25762742853083465</v>
      </c>
      <c r="C59" s="18">
        <f t="shared" si="148"/>
        <v>0.19727700701719558</v>
      </c>
      <c r="D59" s="18">
        <f t="shared" si="148"/>
        <v>0.24326524833390945</v>
      </c>
      <c r="E59" s="18">
        <f t="shared" si="148"/>
        <v>0.25086926056173625</v>
      </c>
      <c r="F59" s="18">
        <f t="shared" si="148"/>
        <v>0.27616773664478733</v>
      </c>
      <c r="H59" s="68">
        <f t="shared" si="105"/>
        <v>78.301008645740495</v>
      </c>
      <c r="I59" s="69">
        <f t="shared" si="106"/>
        <v>62.593269372310999</v>
      </c>
      <c r="J59" s="69">
        <f t="shared" si="107"/>
        <v>140.89427801805149</v>
      </c>
      <c r="L59" t="str">
        <f t="shared" si="140"/>
        <v>52 Skilled metal, electrical and electronic trades</v>
      </c>
      <c r="M59" s="18">
        <f t="shared" si="149"/>
        <v>0.81394597934771851</v>
      </c>
      <c r="N59" s="18">
        <f t="shared" si="149"/>
        <v>0.73987841759524531</v>
      </c>
      <c r="O59" s="18">
        <f t="shared" si="149"/>
        <v>0.63925196894846181</v>
      </c>
      <c r="P59" s="18">
        <f t="shared" si="149"/>
        <v>0.75065098011668219</v>
      </c>
      <c r="Q59" s="18">
        <f t="shared" si="149"/>
        <v>0.86917329081262906</v>
      </c>
      <c r="S59" s="68">
        <f t="shared" si="109"/>
        <v>115.42706989481711</v>
      </c>
      <c r="T59" s="69">
        <f t="shared" si="110"/>
        <v>73.428652997974069</v>
      </c>
      <c r="U59" s="69">
        <f t="shared" si="111"/>
        <v>188.85572289279116</v>
      </c>
      <c r="W59" t="str">
        <f t="shared" si="141"/>
        <v>52 Skilled metal, electrical and electronic trades</v>
      </c>
      <c r="X59" s="18">
        <f t="shared" si="150"/>
        <v>1.1489520564716282</v>
      </c>
      <c r="Y59" s="18">
        <f t="shared" si="150"/>
        <v>1.0133587091245169</v>
      </c>
      <c r="Z59" s="18">
        <f t="shared" si="150"/>
        <v>0.94426592976572488</v>
      </c>
      <c r="AA59" s="18">
        <f t="shared" si="150"/>
        <v>0.98967080514699868</v>
      </c>
      <c r="AB59" s="18">
        <f t="shared" si="150"/>
        <v>1.0254090986418261</v>
      </c>
      <c r="AD59" s="68">
        <f t="shared" si="113"/>
        <v>45.189772455981995</v>
      </c>
      <c r="AE59" s="69">
        <f t="shared" si="114"/>
        <v>58.757520043893599</v>
      </c>
      <c r="AF59" s="69">
        <f t="shared" si="115"/>
        <v>103.9472924998756</v>
      </c>
      <c r="AH59" t="str">
        <f t="shared" si="142"/>
        <v>52 Skilled metal, electrical and electronic trades</v>
      </c>
      <c r="AI59" s="18">
        <f t="shared" si="151"/>
        <v>1.5462398871165648</v>
      </c>
      <c r="AJ59" s="18">
        <f t="shared" si="151"/>
        <v>1.3490611743380461</v>
      </c>
      <c r="AK59" s="18">
        <f t="shared" si="151"/>
        <v>1.4176070812524864</v>
      </c>
      <c r="AL59" s="18">
        <f t="shared" si="151"/>
        <v>1.5183071403303656</v>
      </c>
      <c r="AM59" s="18">
        <f t="shared" si="151"/>
        <v>1.6448793317910266</v>
      </c>
      <c r="AO59" s="68">
        <f t="shared" si="117"/>
        <v>36.386349303628286</v>
      </c>
      <c r="AP59" s="69">
        <f t="shared" si="118"/>
        <v>51.904034938688007</v>
      </c>
      <c r="AQ59" s="69">
        <f t="shared" si="119"/>
        <v>88.290384242316293</v>
      </c>
      <c r="AS59" t="str">
        <f t="shared" si="143"/>
        <v>52 Skilled metal, electrical and electronic trades</v>
      </c>
      <c r="AT59" s="18">
        <f t="shared" si="152"/>
        <v>6.1679002767585924</v>
      </c>
      <c r="AU59" s="18">
        <f t="shared" si="152"/>
        <v>5.0661127341772589</v>
      </c>
      <c r="AV59" s="18">
        <f t="shared" si="152"/>
        <v>4.7944083087866201</v>
      </c>
      <c r="AW59" s="18">
        <f t="shared" si="152"/>
        <v>4.5669064486006796</v>
      </c>
      <c r="AX59" s="18">
        <f t="shared" si="152"/>
        <v>4.3465192916387654</v>
      </c>
      <c r="AZ59" s="68">
        <f t="shared" si="121"/>
        <v>14.125313655830487</v>
      </c>
      <c r="BA59" s="69">
        <f t="shared" si="122"/>
        <v>45.295243219151565</v>
      </c>
      <c r="BB59" s="69">
        <f t="shared" si="123"/>
        <v>59.420556874982054</v>
      </c>
      <c r="BD59" t="str">
        <f t="shared" si="144"/>
        <v>52 Skilled metal, electrical and electronic trades</v>
      </c>
      <c r="BE59" s="18">
        <f t="shared" si="153"/>
        <v>8.3494580030443242</v>
      </c>
      <c r="BF59" s="18">
        <f t="shared" si="153"/>
        <v>8.0109421854512259</v>
      </c>
      <c r="BG59" s="18">
        <f t="shared" si="153"/>
        <v>6.8610853511856558</v>
      </c>
      <c r="BH59" s="18">
        <f t="shared" si="153"/>
        <v>6.7343546984414333</v>
      </c>
      <c r="BI59" s="18">
        <f t="shared" si="153"/>
        <v>6.1580999685429036</v>
      </c>
      <c r="BK59" s="68">
        <f t="shared" si="125"/>
        <v>-4.3413196895142248</v>
      </c>
      <c r="BL59" s="69">
        <f t="shared" si="126"/>
        <v>35.244769854397013</v>
      </c>
      <c r="BM59" s="69">
        <f t="shared" si="127"/>
        <v>30.903450164882791</v>
      </c>
      <c r="BO59" t="str">
        <f t="shared" si="145"/>
        <v>52 Skilled metal, electrical and electronic trades</v>
      </c>
      <c r="BP59" s="18">
        <f t="shared" si="154"/>
        <v>4.6225197385285695</v>
      </c>
      <c r="BQ59" s="18">
        <f t="shared" si="154"/>
        <v>4.4456013970360946</v>
      </c>
      <c r="BR59" s="18">
        <f t="shared" si="154"/>
        <v>4.0024580786768977</v>
      </c>
      <c r="BS59" s="18">
        <f t="shared" si="154"/>
        <v>3.8995154847222624</v>
      </c>
      <c r="BT59" s="18">
        <f t="shared" si="154"/>
        <v>3.7896072364342124</v>
      </c>
      <c r="BV59" s="68">
        <f t="shared" si="129"/>
        <v>-26.579960711763846</v>
      </c>
      <c r="BW59" s="69">
        <f t="shared" si="130"/>
        <v>30.556820600916968</v>
      </c>
      <c r="BX59" s="69">
        <f t="shared" si="131"/>
        <v>3.9768598891531233</v>
      </c>
      <c r="BZ59" t="str">
        <f t="shared" si="146"/>
        <v>52 Skilled metal, electrical and electronic trades</v>
      </c>
      <c r="CA59" s="18">
        <f t="shared" si="155"/>
        <v>3.3603432143891352</v>
      </c>
      <c r="CB59" s="18">
        <f t="shared" si="155"/>
        <v>3.3240326516371246</v>
      </c>
      <c r="CC59" s="18">
        <f t="shared" si="155"/>
        <v>3.0904443573349307</v>
      </c>
      <c r="CD59" s="18">
        <f t="shared" si="155"/>
        <v>2.7475142221837037</v>
      </c>
      <c r="CE59" s="18">
        <f t="shared" si="155"/>
        <v>2.378686675106942</v>
      </c>
      <c r="CG59" s="68">
        <f t="shared" si="133"/>
        <v>-57.489429946412415</v>
      </c>
      <c r="CH59" s="69">
        <f t="shared" si="134"/>
        <v>25.64822494686852</v>
      </c>
      <c r="CI59" s="69">
        <f t="shared" si="135"/>
        <v>-31.841204999543898</v>
      </c>
      <c r="CK59" t="str">
        <f t="shared" si="147"/>
        <v>52 Skilled metal, electrical and electronic trades</v>
      </c>
      <c r="CL59" s="18">
        <f t="shared" si="156"/>
        <v>3.6948372920072803</v>
      </c>
      <c r="CM59" s="18">
        <f t="shared" si="156"/>
        <v>4.1263452132968981</v>
      </c>
      <c r="CN59" s="18">
        <f t="shared" si="156"/>
        <v>4.106425082707359</v>
      </c>
      <c r="CO59" s="18">
        <f t="shared" si="156"/>
        <v>4.5683225183887712</v>
      </c>
      <c r="CP59" s="18">
        <f t="shared" si="156"/>
        <v>4.6683429393269176</v>
      </c>
      <c r="CR59" s="68">
        <f t="shared" si="137"/>
        <v>-23.05160067457447</v>
      </c>
      <c r="CS59" s="69">
        <f t="shared" si="138"/>
        <v>29.269697470690875</v>
      </c>
      <c r="CT59" s="69">
        <f t="shared" si="139"/>
        <v>6.2180967961164031</v>
      </c>
    </row>
    <row r="60" spans="1:98" x14ac:dyDescent="0.2">
      <c r="A60" t="str">
        <f t="shared" si="103"/>
        <v>53 Skilled construction and building trades</v>
      </c>
      <c r="B60" s="18">
        <f t="shared" si="148"/>
        <v>0.12324258463269841</v>
      </c>
      <c r="C60" s="18">
        <f t="shared" si="148"/>
        <v>5.8610315157777142E-2</v>
      </c>
      <c r="D60" s="18">
        <f t="shared" si="148"/>
        <v>4.7537517200034622E-2</v>
      </c>
      <c r="E60" s="18">
        <f t="shared" si="148"/>
        <v>6.2709268542390811E-2</v>
      </c>
      <c r="F60" s="18">
        <f t="shared" si="148"/>
        <v>4.9725110767710384E-2</v>
      </c>
      <c r="H60" s="68">
        <f t="shared" si="105"/>
        <v>64.285863655383778</v>
      </c>
      <c r="I60" s="69">
        <f t="shared" si="106"/>
        <v>72.09650610453771</v>
      </c>
      <c r="J60" s="69">
        <f t="shared" si="107"/>
        <v>136.38236975992149</v>
      </c>
      <c r="L60" t="str">
        <f t="shared" si="140"/>
        <v>53 Skilled construction and building trades</v>
      </c>
      <c r="M60" s="18">
        <f t="shared" si="149"/>
        <v>0.30092236899489655</v>
      </c>
      <c r="N60" s="18">
        <f t="shared" si="149"/>
        <v>0.23038845960742324</v>
      </c>
      <c r="O60" s="18">
        <f t="shared" si="149"/>
        <v>0.19872759021672351</v>
      </c>
      <c r="P60" s="18">
        <f t="shared" si="149"/>
        <v>0.21068082130686078</v>
      </c>
      <c r="Q60" s="18">
        <f t="shared" si="149"/>
        <v>0.20379466165723528</v>
      </c>
      <c r="S60" s="68">
        <f t="shared" si="109"/>
        <v>62.480263204606501</v>
      </c>
      <c r="T60" s="69">
        <f t="shared" si="110"/>
        <v>66.581489086360179</v>
      </c>
      <c r="U60" s="69">
        <f t="shared" si="111"/>
        <v>129.06175229096669</v>
      </c>
      <c r="W60" t="str">
        <f t="shared" si="141"/>
        <v>53 Skilled construction and building trades</v>
      </c>
      <c r="X60" s="18">
        <f t="shared" si="150"/>
        <v>0.61142172769420833</v>
      </c>
      <c r="Y60" s="18">
        <f t="shared" si="150"/>
        <v>0.44159638513603894</v>
      </c>
      <c r="Z60" s="18">
        <f t="shared" si="150"/>
        <v>0.41061439892141199</v>
      </c>
      <c r="AA60" s="18">
        <f t="shared" si="150"/>
        <v>0.42314986093443746</v>
      </c>
      <c r="AB60" s="18">
        <f t="shared" si="150"/>
        <v>0.40944752205162549</v>
      </c>
      <c r="AD60" s="68">
        <f t="shared" si="113"/>
        <v>33.320597252798464</v>
      </c>
      <c r="AE60" s="69">
        <f t="shared" si="114"/>
        <v>58.964119049421207</v>
      </c>
      <c r="AF60" s="69">
        <f t="shared" si="115"/>
        <v>92.284716302219678</v>
      </c>
      <c r="AH60" t="str">
        <f t="shared" si="142"/>
        <v>53 Skilled construction and building trades</v>
      </c>
      <c r="AI60" s="18">
        <f t="shared" si="151"/>
        <v>0.99427212891590278</v>
      </c>
      <c r="AJ60" s="18">
        <f t="shared" si="151"/>
        <v>0.93107316030600695</v>
      </c>
      <c r="AK60" s="18">
        <f t="shared" si="151"/>
        <v>0.89709740622194034</v>
      </c>
      <c r="AL60" s="18">
        <f t="shared" si="151"/>
        <v>0.98436423257851247</v>
      </c>
      <c r="AM60" s="18">
        <f t="shared" si="151"/>
        <v>1.0190899060104199</v>
      </c>
      <c r="AO60" s="68">
        <f t="shared" si="117"/>
        <v>33.525936890656212</v>
      </c>
      <c r="AP60" s="69">
        <f t="shared" si="118"/>
        <v>61.211345392224189</v>
      </c>
      <c r="AQ60" s="69">
        <f t="shared" si="119"/>
        <v>94.737282282880415</v>
      </c>
      <c r="AS60" t="str">
        <f t="shared" si="143"/>
        <v>53 Skilled construction and building trades</v>
      </c>
      <c r="AT60" s="18">
        <f t="shared" si="152"/>
        <v>1.8673215045313014</v>
      </c>
      <c r="AU60" s="18">
        <f t="shared" si="152"/>
        <v>1.5945582745545261</v>
      </c>
      <c r="AV60" s="18">
        <f t="shared" si="152"/>
        <v>1.3826264262490466</v>
      </c>
      <c r="AW60" s="18">
        <f t="shared" si="152"/>
        <v>1.4663034208913654</v>
      </c>
      <c r="AX60" s="18">
        <f t="shared" si="152"/>
        <v>1.372779855091196</v>
      </c>
      <c r="AZ60" s="68">
        <f t="shared" si="121"/>
        <v>24.988896582538811</v>
      </c>
      <c r="BA60" s="69">
        <f t="shared" si="122"/>
        <v>58.102676408019761</v>
      </c>
      <c r="BB60" s="69">
        <f t="shared" si="123"/>
        <v>83.091572990558575</v>
      </c>
      <c r="BD60" t="str">
        <f t="shared" si="144"/>
        <v>53 Skilled construction and building trades</v>
      </c>
      <c r="BE60" s="18">
        <f t="shared" si="153"/>
        <v>4.6585856071863798</v>
      </c>
      <c r="BF60" s="18">
        <f t="shared" si="153"/>
        <v>4.0849917157116327</v>
      </c>
      <c r="BG60" s="18">
        <f t="shared" si="153"/>
        <v>3.2663329653389104</v>
      </c>
      <c r="BH60" s="18">
        <f t="shared" si="153"/>
        <v>3.1127261510284749</v>
      </c>
      <c r="BI60" s="18">
        <f t="shared" si="153"/>
        <v>2.5890696880767288</v>
      </c>
      <c r="BK60" s="68">
        <f t="shared" si="125"/>
        <v>-15.520028552116605</v>
      </c>
      <c r="BL60" s="69">
        <f t="shared" si="126"/>
        <v>34.962943263651702</v>
      </c>
      <c r="BM60" s="69">
        <f t="shared" si="127"/>
        <v>19.442914711535096</v>
      </c>
      <c r="BO60" t="str">
        <f t="shared" si="145"/>
        <v>53 Skilled construction and building trades</v>
      </c>
      <c r="BP60" s="18">
        <f t="shared" si="154"/>
        <v>3.9223994093383459</v>
      </c>
      <c r="BQ60" s="18">
        <f t="shared" si="154"/>
        <v>3.9534630013284042</v>
      </c>
      <c r="BR60" s="18">
        <f t="shared" si="154"/>
        <v>3.3124294350707539</v>
      </c>
      <c r="BS60" s="18">
        <f t="shared" si="154"/>
        <v>3.4927992616737402</v>
      </c>
      <c r="BT60" s="18">
        <f t="shared" si="154"/>
        <v>3.8043892608967851</v>
      </c>
      <c r="BV60" s="68">
        <f t="shared" si="129"/>
        <v>-10.939420795559689</v>
      </c>
      <c r="BW60" s="69">
        <f t="shared" si="130"/>
        <v>40.201317096114678</v>
      </c>
      <c r="BX60" s="69">
        <f t="shared" si="131"/>
        <v>29.261896300554991</v>
      </c>
      <c r="BZ60" t="str">
        <f t="shared" si="146"/>
        <v>53 Skilled construction and building trades</v>
      </c>
      <c r="CA60" s="18">
        <f t="shared" si="155"/>
        <v>3.0037894440667299</v>
      </c>
      <c r="CB60" s="18">
        <f t="shared" si="155"/>
        <v>3.0841362327783761</v>
      </c>
      <c r="CC60" s="18">
        <f t="shared" si="155"/>
        <v>2.6697552559575115</v>
      </c>
      <c r="CD60" s="18">
        <f t="shared" si="155"/>
        <v>2.5349414078282728</v>
      </c>
      <c r="CE60" s="18">
        <f t="shared" si="155"/>
        <v>2.7998905496549797</v>
      </c>
      <c r="CG60" s="68">
        <f t="shared" si="133"/>
        <v>-42.077110030023675</v>
      </c>
      <c r="CH60" s="69">
        <f t="shared" si="134"/>
        <v>32.401070275741091</v>
      </c>
      <c r="CI60" s="69">
        <f t="shared" si="135"/>
        <v>-9.6760397542825789</v>
      </c>
      <c r="CK60" t="str">
        <f t="shared" si="147"/>
        <v>53 Skilled construction and building trades</v>
      </c>
      <c r="CL60" s="18">
        <f t="shared" si="156"/>
        <v>4.6013059097177278</v>
      </c>
      <c r="CM60" s="18">
        <f t="shared" si="156"/>
        <v>4.5736213027792516</v>
      </c>
      <c r="CN60" s="18">
        <f t="shared" si="156"/>
        <v>3.9108079090553631</v>
      </c>
      <c r="CO60" s="18">
        <f t="shared" si="156"/>
        <v>3.7347465052028372</v>
      </c>
      <c r="CP60" s="18">
        <f t="shared" si="156"/>
        <v>1.6423214503373453</v>
      </c>
      <c r="CR60" s="68">
        <f t="shared" si="137"/>
        <v>-71.575526935616111</v>
      </c>
      <c r="CS60" s="69">
        <f t="shared" si="138"/>
        <v>19.287620071865188</v>
      </c>
      <c r="CT60" s="69">
        <f t="shared" si="139"/>
        <v>-52.287906863750912</v>
      </c>
    </row>
    <row r="61" spans="1:98" x14ac:dyDescent="0.2">
      <c r="A61" t="str">
        <f t="shared" si="103"/>
        <v>54 Textiles, printing and other skilled trades</v>
      </c>
      <c r="B61" s="18">
        <f t="shared" si="148"/>
        <v>0.65549291926784192</v>
      </c>
      <c r="C61" s="18">
        <f t="shared" si="148"/>
        <v>0.53133349120056617</v>
      </c>
      <c r="D61" s="18">
        <f t="shared" si="148"/>
        <v>0.48889854440786995</v>
      </c>
      <c r="E61" s="18">
        <f t="shared" si="148"/>
        <v>0.57573217053418402</v>
      </c>
      <c r="F61" s="18">
        <f t="shared" si="148"/>
        <v>0.61533145181886573</v>
      </c>
      <c r="H61" s="68">
        <f t="shared" si="105"/>
        <v>97.674796919923139</v>
      </c>
      <c r="I61" s="69">
        <f t="shared" si="106"/>
        <v>68.478789626216056</v>
      </c>
      <c r="J61" s="69">
        <f t="shared" si="107"/>
        <v>166.15358654613919</v>
      </c>
      <c r="L61" t="str">
        <f t="shared" si="140"/>
        <v>54 Textiles, printing and other skilled trades</v>
      </c>
      <c r="M61" s="18">
        <f t="shared" si="149"/>
        <v>0.77713999895725849</v>
      </c>
      <c r="N61" s="18">
        <f t="shared" si="149"/>
        <v>0.82562114728813429</v>
      </c>
      <c r="O61" s="18">
        <f t="shared" si="149"/>
        <v>0.71351108561082599</v>
      </c>
      <c r="P61" s="18">
        <f t="shared" si="149"/>
        <v>0.7316380110494618</v>
      </c>
      <c r="Q61" s="18">
        <f t="shared" si="149"/>
        <v>0.78119711291398863</v>
      </c>
      <c r="S61" s="68">
        <f t="shared" si="109"/>
        <v>73.470600224080428</v>
      </c>
      <c r="T61" s="69">
        <f t="shared" si="110"/>
        <v>67.049091200584783</v>
      </c>
      <c r="U61" s="69">
        <f t="shared" si="111"/>
        <v>140.51969142466524</v>
      </c>
      <c r="W61" t="str">
        <f t="shared" si="141"/>
        <v>54 Textiles, printing and other skilled trades</v>
      </c>
      <c r="X61" s="18">
        <f t="shared" si="150"/>
        <v>0.88708119499231319</v>
      </c>
      <c r="Y61" s="18">
        <f t="shared" si="150"/>
        <v>0.80583942629096406</v>
      </c>
      <c r="Z61" s="18">
        <f t="shared" si="150"/>
        <v>0.71072850600604509</v>
      </c>
      <c r="AA61" s="18">
        <f t="shared" si="150"/>
        <v>0.79749251674775001</v>
      </c>
      <c r="AB61" s="18">
        <f t="shared" si="150"/>
        <v>0.84192359062563116</v>
      </c>
      <c r="AD61" s="68">
        <f t="shared" si="113"/>
        <v>58.380650392099533</v>
      </c>
      <c r="AE61" s="69">
        <f t="shared" si="114"/>
        <v>70.37540372177348</v>
      </c>
      <c r="AF61" s="69">
        <f t="shared" si="115"/>
        <v>128.75605411387301</v>
      </c>
      <c r="AH61" t="str">
        <f t="shared" si="142"/>
        <v>54 Textiles, printing and other skilled trades</v>
      </c>
      <c r="AI61" s="18">
        <f t="shared" si="151"/>
        <v>1.2136701036116964</v>
      </c>
      <c r="AJ61" s="18">
        <f t="shared" si="151"/>
        <v>1.1054395533687609</v>
      </c>
      <c r="AK61" s="18">
        <f t="shared" si="151"/>
        <v>1.1471851093143031</v>
      </c>
      <c r="AL61" s="18">
        <f t="shared" si="151"/>
        <v>1.2569896188784688</v>
      </c>
      <c r="AM61" s="18">
        <f t="shared" si="151"/>
        <v>1.4319654013397731</v>
      </c>
      <c r="AO61" s="68">
        <f t="shared" si="117"/>
        <v>46.720824421371354</v>
      </c>
      <c r="AP61" s="69">
        <f t="shared" si="118"/>
        <v>64.515650628304783</v>
      </c>
      <c r="AQ61" s="69">
        <f t="shared" si="119"/>
        <v>111.23647504967616</v>
      </c>
      <c r="AS61" t="str">
        <f t="shared" si="143"/>
        <v>54 Textiles, printing and other skilled trades</v>
      </c>
      <c r="AT61" s="18">
        <f t="shared" si="152"/>
        <v>1.3480376234541858</v>
      </c>
      <c r="AU61" s="18">
        <f t="shared" si="152"/>
        <v>1.2504560523865589</v>
      </c>
      <c r="AV61" s="18">
        <f t="shared" si="152"/>
        <v>1.1190264358005864</v>
      </c>
      <c r="AW61" s="18">
        <f t="shared" si="152"/>
        <v>1.2453578171946982</v>
      </c>
      <c r="AX61" s="18">
        <f t="shared" si="152"/>
        <v>1.2961487000102843</v>
      </c>
      <c r="AZ61" s="68">
        <f t="shared" si="121"/>
        <v>45.810860227770966</v>
      </c>
      <c r="BA61" s="69">
        <f t="shared" si="122"/>
        <v>66.6955100670733</v>
      </c>
      <c r="BB61" s="69">
        <f t="shared" si="123"/>
        <v>112.50637029484427</v>
      </c>
      <c r="BD61" t="str">
        <f t="shared" si="144"/>
        <v>54 Textiles, printing and other skilled trades</v>
      </c>
      <c r="BE61" s="18">
        <f t="shared" si="153"/>
        <v>2.1347633947294873</v>
      </c>
      <c r="BF61" s="18">
        <f t="shared" si="153"/>
        <v>1.7914501148172219</v>
      </c>
      <c r="BG61" s="18">
        <f t="shared" si="153"/>
        <v>1.7112638090607948</v>
      </c>
      <c r="BH61" s="18">
        <f t="shared" si="153"/>
        <v>1.7488332462719549</v>
      </c>
      <c r="BI61" s="18">
        <f t="shared" si="153"/>
        <v>1.576937832504709</v>
      </c>
      <c r="BK61" s="68">
        <f t="shared" si="125"/>
        <v>-1.787203094862259</v>
      </c>
      <c r="BL61" s="69">
        <f t="shared" si="126"/>
        <v>42.300290130494325</v>
      </c>
      <c r="BM61" s="69">
        <f t="shared" si="127"/>
        <v>40.513087035632068</v>
      </c>
      <c r="BO61" t="str">
        <f t="shared" si="145"/>
        <v>54 Textiles, printing and other skilled trades</v>
      </c>
      <c r="BP61" s="18">
        <f t="shared" si="154"/>
        <v>2.8056921860332968</v>
      </c>
      <c r="BQ61" s="18">
        <f t="shared" si="154"/>
        <v>2.2666389797548936</v>
      </c>
      <c r="BR61" s="18">
        <f t="shared" si="154"/>
        <v>2.2740182295223534</v>
      </c>
      <c r="BS61" s="18">
        <f t="shared" si="154"/>
        <v>2.2399042872624042</v>
      </c>
      <c r="BT61" s="18">
        <f t="shared" si="154"/>
        <v>2.1910698341455204</v>
      </c>
      <c r="BV61" s="68">
        <f t="shared" si="129"/>
        <v>-25.284710900472785</v>
      </c>
      <c r="BW61" s="69">
        <f t="shared" si="130"/>
        <v>33.697722042059766</v>
      </c>
      <c r="BX61" s="69">
        <f t="shared" si="131"/>
        <v>8.4130111415869777</v>
      </c>
      <c r="BZ61" t="str">
        <f t="shared" si="146"/>
        <v>54 Textiles, printing and other skilled trades</v>
      </c>
      <c r="CA61" s="18">
        <f t="shared" si="155"/>
        <v>3.383813063511218</v>
      </c>
      <c r="CB61" s="18">
        <f t="shared" si="155"/>
        <v>3.067035583709842</v>
      </c>
      <c r="CC61" s="18">
        <f t="shared" si="155"/>
        <v>3.1673799297816219</v>
      </c>
      <c r="CD61" s="18">
        <f t="shared" si="155"/>
        <v>3.4876905525152853</v>
      </c>
      <c r="CE61" s="18">
        <f t="shared" si="155"/>
        <v>4.2011514907427303</v>
      </c>
      <c r="CG61" s="68">
        <f t="shared" si="133"/>
        <v>-26.743055701993146</v>
      </c>
      <c r="CH61" s="69">
        <f t="shared" si="134"/>
        <v>32.809559078049688</v>
      </c>
      <c r="CI61" s="69">
        <f t="shared" si="135"/>
        <v>6.0665033760565441</v>
      </c>
      <c r="CK61" t="str">
        <f t="shared" si="147"/>
        <v>54 Textiles, printing and other skilled trades</v>
      </c>
      <c r="CL61" s="18">
        <f t="shared" si="156"/>
        <v>3.9155239671412336</v>
      </c>
      <c r="CM61" s="18">
        <f t="shared" si="156"/>
        <v>3.4718812861319059</v>
      </c>
      <c r="CN61" s="18">
        <f t="shared" si="156"/>
        <v>3.6753370790037687</v>
      </c>
      <c r="CO61" s="18">
        <f t="shared" si="156"/>
        <v>3.2697282546323896</v>
      </c>
      <c r="CP61" s="18">
        <f t="shared" si="156"/>
        <v>2.7402916265957717</v>
      </c>
      <c r="CR61" s="68">
        <f t="shared" si="137"/>
        <v>-49.533829614122467</v>
      </c>
      <c r="CS61" s="69">
        <f t="shared" si="138"/>
        <v>22.818162383750561</v>
      </c>
      <c r="CT61" s="69">
        <f t="shared" si="139"/>
        <v>-26.71566723037191</v>
      </c>
    </row>
    <row r="62" spans="1:98" x14ac:dyDescent="0.2">
      <c r="A62" t="str">
        <f t="shared" si="103"/>
        <v>61 Caring personal service occupations</v>
      </c>
      <c r="B62" s="18">
        <f t="shared" si="148"/>
        <v>0.53492137659945371</v>
      </c>
      <c r="C62" s="18">
        <f t="shared" si="148"/>
        <v>0.52648595416925614</v>
      </c>
      <c r="D62" s="18">
        <f t="shared" si="148"/>
        <v>0.44717287557684404</v>
      </c>
      <c r="E62" s="18">
        <f t="shared" si="148"/>
        <v>0.53144198614320659</v>
      </c>
      <c r="F62" s="18">
        <f t="shared" si="148"/>
        <v>0.59477558863878799</v>
      </c>
      <c r="H62" s="68">
        <f t="shared" si="105"/>
        <v>108.90008398281287</v>
      </c>
      <c r="I62" s="69">
        <f t="shared" si="106"/>
        <v>80.914895835282209</v>
      </c>
      <c r="J62" s="69">
        <f t="shared" si="107"/>
        <v>189.81497981809508</v>
      </c>
      <c r="L62" t="str">
        <f t="shared" si="140"/>
        <v>61 Caring personal service occupations</v>
      </c>
      <c r="M62" s="18">
        <f t="shared" si="149"/>
        <v>3.9266192373516571</v>
      </c>
      <c r="N62" s="18">
        <f t="shared" si="149"/>
        <v>4.208267724319346</v>
      </c>
      <c r="O62" s="18">
        <f t="shared" si="149"/>
        <v>3.681206499296092</v>
      </c>
      <c r="P62" s="18">
        <f t="shared" si="149"/>
        <v>4.2692959072114105</v>
      </c>
      <c r="Q62" s="18">
        <f t="shared" si="149"/>
        <v>4.6747971963214496</v>
      </c>
      <c r="S62" s="68">
        <f t="shared" si="109"/>
        <v>101.2049085175839</v>
      </c>
      <c r="T62" s="69">
        <f t="shared" si="110"/>
        <v>81.889490036086713</v>
      </c>
      <c r="U62" s="69">
        <f t="shared" si="111"/>
        <v>183.0943985536706</v>
      </c>
      <c r="W62" t="str">
        <f t="shared" si="141"/>
        <v>61 Caring personal service occupations</v>
      </c>
      <c r="X62" s="18">
        <f t="shared" si="150"/>
        <v>6.0445970561801303</v>
      </c>
      <c r="Y62" s="18">
        <f t="shared" si="150"/>
        <v>6.4093474220802413</v>
      </c>
      <c r="Z62" s="18">
        <f t="shared" si="150"/>
        <v>5.6680290875122541</v>
      </c>
      <c r="AA62" s="18">
        <f t="shared" si="150"/>
        <v>6.3198690849649131</v>
      </c>
      <c r="AB62" s="18">
        <f t="shared" si="150"/>
        <v>6.7719614553647407</v>
      </c>
      <c r="AD62" s="68">
        <f t="shared" si="113"/>
        <v>59.740700740000818</v>
      </c>
      <c r="AE62" s="69">
        <f t="shared" si="114"/>
        <v>86.976308763332909</v>
      </c>
      <c r="AF62" s="69">
        <f t="shared" si="115"/>
        <v>146.71700950333374</v>
      </c>
      <c r="AH62" t="str">
        <f t="shared" si="142"/>
        <v>61 Caring personal service occupations</v>
      </c>
      <c r="AI62" s="18">
        <f t="shared" si="151"/>
        <v>15.946694599751599</v>
      </c>
      <c r="AJ62" s="18">
        <f t="shared" si="151"/>
        <v>16.071299816791694</v>
      </c>
      <c r="AK62" s="18">
        <f t="shared" si="151"/>
        <v>14.616645102234315</v>
      </c>
      <c r="AL62" s="18">
        <f t="shared" si="151"/>
        <v>14.952677313570739</v>
      </c>
      <c r="AM62" s="18">
        <f t="shared" si="151"/>
        <v>14.074013560881776</v>
      </c>
      <c r="AO62" s="68">
        <f t="shared" si="117"/>
        <v>13.178256095213129</v>
      </c>
      <c r="AP62" s="69">
        <f t="shared" si="118"/>
        <v>62.777849810617994</v>
      </c>
      <c r="AQ62" s="69">
        <f t="shared" si="119"/>
        <v>75.956105905831123</v>
      </c>
      <c r="AS62" t="str">
        <f t="shared" si="143"/>
        <v>61 Caring personal service occupations</v>
      </c>
      <c r="AT62" s="18">
        <f t="shared" si="152"/>
        <v>8.9918140838043286</v>
      </c>
      <c r="AU62" s="18">
        <f t="shared" si="152"/>
        <v>9.8868616919805099</v>
      </c>
      <c r="AV62" s="18">
        <f t="shared" si="152"/>
        <v>8.2750559097796401</v>
      </c>
      <c r="AW62" s="18">
        <f t="shared" si="152"/>
        <v>8.4476659920601644</v>
      </c>
      <c r="AX62" s="18">
        <f t="shared" si="152"/>
        <v>8.1661702270755629</v>
      </c>
      <c r="AZ62" s="68">
        <f t="shared" si="121"/>
        <v>24.228969276061825</v>
      </c>
      <c r="BA62" s="69">
        <f t="shared" si="122"/>
        <v>66.286726989479803</v>
      </c>
      <c r="BB62" s="69">
        <f t="shared" si="123"/>
        <v>90.515696265541635</v>
      </c>
      <c r="BD62" t="str">
        <f t="shared" si="144"/>
        <v>61 Caring personal service occupations</v>
      </c>
      <c r="BE62" s="18">
        <f t="shared" si="153"/>
        <v>13.354259776517061</v>
      </c>
      <c r="BF62" s="18">
        <f t="shared" si="153"/>
        <v>13.779548426535795</v>
      </c>
      <c r="BG62" s="18">
        <f t="shared" si="153"/>
        <v>14.034061539585366</v>
      </c>
      <c r="BH62" s="18">
        <f t="shared" si="153"/>
        <v>14.496933629559477</v>
      </c>
      <c r="BI62" s="18">
        <f t="shared" si="153"/>
        <v>15.440673936871146</v>
      </c>
      <c r="BK62" s="68">
        <f t="shared" si="125"/>
        <v>17.26093361914716</v>
      </c>
      <c r="BL62" s="69">
        <f t="shared" si="126"/>
        <v>59.243938326617084</v>
      </c>
      <c r="BM62" s="69">
        <f t="shared" si="127"/>
        <v>76.504871945764236</v>
      </c>
      <c r="BO62" t="str">
        <f t="shared" si="145"/>
        <v>61 Caring personal service occupations</v>
      </c>
      <c r="BP62" s="18">
        <f t="shared" si="154"/>
        <v>11.005193411073005</v>
      </c>
      <c r="BQ62" s="18">
        <f t="shared" si="154"/>
        <v>10.654027569613637</v>
      </c>
      <c r="BR62" s="18">
        <f t="shared" si="154"/>
        <v>10.531015417175386</v>
      </c>
      <c r="BS62" s="18">
        <f t="shared" si="154"/>
        <v>10.35455348328156</v>
      </c>
      <c r="BT62" s="18">
        <f t="shared" si="154"/>
        <v>9.5220425887349496</v>
      </c>
      <c r="BV62" s="68">
        <f t="shared" si="129"/>
        <v>-29.885623815244088</v>
      </c>
      <c r="BW62" s="69">
        <f t="shared" si="130"/>
        <v>43.69095426026108</v>
      </c>
      <c r="BX62" s="69">
        <f t="shared" si="131"/>
        <v>13.805330445016986</v>
      </c>
      <c r="BZ62" t="str">
        <f t="shared" si="146"/>
        <v>61 Caring personal service occupations</v>
      </c>
      <c r="CA62" s="18">
        <f t="shared" si="155"/>
        <v>4.7396405168898674</v>
      </c>
      <c r="CB62" s="18">
        <f t="shared" si="155"/>
        <v>2.6392409746799914</v>
      </c>
      <c r="CC62" s="18">
        <f t="shared" si="155"/>
        <v>2.507884825812178</v>
      </c>
      <c r="CD62" s="18">
        <f t="shared" si="155"/>
        <v>1.9493543096968793</v>
      </c>
      <c r="CE62" s="18">
        <f t="shared" si="155"/>
        <v>2.2187738329658804</v>
      </c>
      <c r="CG62" s="68">
        <f t="shared" si="133"/>
        <v>-51.136331919192088</v>
      </c>
      <c r="CH62" s="69">
        <f t="shared" si="134"/>
        <v>22.258607793885226</v>
      </c>
      <c r="CI62" s="69">
        <f t="shared" si="135"/>
        <v>-28.877724125306869</v>
      </c>
      <c r="CK62" t="str">
        <f t="shared" si="147"/>
        <v>61 Caring personal service occupations</v>
      </c>
      <c r="CL62" s="18">
        <f t="shared" si="156"/>
        <v>1.7230843299714416</v>
      </c>
      <c r="CM62" s="18">
        <f t="shared" si="156"/>
        <v>1.7277863056875737</v>
      </c>
      <c r="CN62" s="18">
        <f t="shared" si="156"/>
        <v>1.8127925150252449</v>
      </c>
      <c r="CO62" s="18">
        <f t="shared" si="156"/>
        <v>2.6881717944806831</v>
      </c>
      <c r="CP62" s="18">
        <f t="shared" si="156"/>
        <v>4.1585870752479828</v>
      </c>
      <c r="CR62" s="68">
        <f t="shared" si="137"/>
        <v>55.273893161263324</v>
      </c>
      <c r="CS62" s="69">
        <f t="shared" si="138"/>
        <v>41.379558898200635</v>
      </c>
      <c r="CT62" s="69">
        <f t="shared" si="139"/>
        <v>96.653452059463945</v>
      </c>
    </row>
    <row r="63" spans="1:98" x14ac:dyDescent="0.2">
      <c r="A63" t="str">
        <f t="shared" si="103"/>
        <v>62 Leisure, travel and related personal service occupations</v>
      </c>
      <c r="B63" s="18">
        <f t="shared" si="148"/>
        <v>0.17947637065281777</v>
      </c>
      <c r="C63" s="18">
        <f t="shared" si="148"/>
        <v>0.25479689601393368</v>
      </c>
      <c r="D63" s="18">
        <f t="shared" si="148"/>
        <v>0.16961773126970273</v>
      </c>
      <c r="E63" s="18">
        <f t="shared" si="148"/>
        <v>0.18432419488944005</v>
      </c>
      <c r="F63" s="18">
        <f t="shared" si="148"/>
        <v>0.22584386196119202</v>
      </c>
      <c r="H63" s="68">
        <f t="shared" si="105"/>
        <v>109.12115708902634</v>
      </c>
      <c r="I63" s="69">
        <f t="shared" si="106"/>
        <v>74.133225431015987</v>
      </c>
      <c r="J63" s="69">
        <f t="shared" si="107"/>
        <v>183.25438252004233</v>
      </c>
      <c r="L63" t="str">
        <f t="shared" si="140"/>
        <v>62 Leisure, travel and related personal service occupations</v>
      </c>
      <c r="M63" s="18">
        <f t="shared" si="149"/>
        <v>0.5634997832789912</v>
      </c>
      <c r="N63" s="18">
        <f t="shared" si="149"/>
        <v>0.7414626331875106</v>
      </c>
      <c r="O63" s="18">
        <f t="shared" si="149"/>
        <v>0.59818979131575589</v>
      </c>
      <c r="P63" s="18">
        <f t="shared" si="149"/>
        <v>0.56526966896486663</v>
      </c>
      <c r="Q63" s="18">
        <f t="shared" si="149"/>
        <v>0.57724640679952555</v>
      </c>
      <c r="S63" s="68">
        <f t="shared" si="109"/>
        <v>52.893216671216159</v>
      </c>
      <c r="T63" s="69">
        <f t="shared" si="110"/>
        <v>60.065560031988639</v>
      </c>
      <c r="U63" s="69">
        <f t="shared" si="111"/>
        <v>112.95877670320482</v>
      </c>
      <c r="W63" t="str">
        <f t="shared" si="141"/>
        <v>62 Leisure, travel and related personal service occupations</v>
      </c>
      <c r="X63" s="18">
        <f t="shared" si="150"/>
        <v>1.0890980805740256</v>
      </c>
      <c r="Y63" s="18">
        <f t="shared" si="150"/>
        <v>1.4366615941322425</v>
      </c>
      <c r="Z63" s="18">
        <f t="shared" si="150"/>
        <v>1.2836420027189219</v>
      </c>
      <c r="AA63" s="18">
        <f t="shared" si="150"/>
        <v>1.3548183825763995</v>
      </c>
      <c r="AB63" s="18">
        <f t="shared" si="150"/>
        <v>1.5698726909187732</v>
      </c>
      <c r="AD63" s="68">
        <f t="shared" si="113"/>
        <v>63.513529576564366</v>
      </c>
      <c r="AE63" s="69">
        <f t="shared" si="114"/>
        <v>80.605055389317926</v>
      </c>
      <c r="AF63" s="69">
        <f t="shared" si="115"/>
        <v>144.11858496588229</v>
      </c>
      <c r="AH63" t="str">
        <f t="shared" si="142"/>
        <v>62 Leisure, travel and related personal service occupations</v>
      </c>
      <c r="AI63" s="18">
        <f t="shared" si="151"/>
        <v>2.1211240118790085</v>
      </c>
      <c r="AJ63" s="18">
        <f t="shared" si="151"/>
        <v>3.200478198799253</v>
      </c>
      <c r="AK63" s="18">
        <f t="shared" si="151"/>
        <v>2.9536948793931308</v>
      </c>
      <c r="AL63" s="18">
        <f t="shared" si="151"/>
        <v>3.0984647619264885</v>
      </c>
      <c r="AM63" s="18">
        <f t="shared" si="151"/>
        <v>3.7612959143020714</v>
      </c>
      <c r="AO63" s="68">
        <f t="shared" si="117"/>
        <v>49.680286949528032</v>
      </c>
      <c r="AP63" s="69">
        <f t="shared" si="118"/>
        <v>73.362975808136227</v>
      </c>
      <c r="AQ63" s="69">
        <f t="shared" si="119"/>
        <v>123.04326275766427</v>
      </c>
      <c r="AS63" t="str">
        <f t="shared" si="143"/>
        <v>62 Leisure, travel and related personal service occupations</v>
      </c>
      <c r="AT63" s="18">
        <f t="shared" si="152"/>
        <v>2.5523637030691422</v>
      </c>
      <c r="AU63" s="18">
        <f t="shared" si="152"/>
        <v>3.8196471835752388</v>
      </c>
      <c r="AV63" s="18">
        <f t="shared" si="152"/>
        <v>3.6975573339585406</v>
      </c>
      <c r="AW63" s="18">
        <f t="shared" si="152"/>
        <v>3.8152516907970835</v>
      </c>
      <c r="AX63" s="18">
        <f t="shared" si="152"/>
        <v>4.7595868636577254</v>
      </c>
      <c r="AZ63" s="68">
        <f t="shared" si="121"/>
        <v>62.042796778639712</v>
      </c>
      <c r="BA63" s="69">
        <f t="shared" si="122"/>
        <v>77.690095468837583</v>
      </c>
      <c r="BB63" s="69">
        <f t="shared" si="123"/>
        <v>139.73289224747728</v>
      </c>
      <c r="BD63" t="str">
        <f t="shared" si="144"/>
        <v>62 Leisure, travel and related personal service occupations</v>
      </c>
      <c r="BE63" s="18">
        <f t="shared" si="153"/>
        <v>2.4582717690160236</v>
      </c>
      <c r="BF63" s="18">
        <f t="shared" si="153"/>
        <v>2.9442725700315266</v>
      </c>
      <c r="BG63" s="18">
        <f t="shared" si="153"/>
        <v>2.941155780402906</v>
      </c>
      <c r="BH63" s="18">
        <f t="shared" si="153"/>
        <v>2.4886826026540878</v>
      </c>
      <c r="BI63" s="18">
        <f t="shared" si="153"/>
        <v>2.1924761819779253</v>
      </c>
      <c r="BK63" s="68">
        <f t="shared" si="125"/>
        <v>-20.551202463242955</v>
      </c>
      <c r="BL63" s="69">
        <f t="shared" si="126"/>
        <v>38.158965605292586</v>
      </c>
      <c r="BM63" s="69">
        <f t="shared" si="127"/>
        <v>17.607763142049635</v>
      </c>
      <c r="BO63" t="str">
        <f t="shared" si="145"/>
        <v>62 Leisure, travel and related personal service occupations</v>
      </c>
      <c r="BP63" s="18">
        <f t="shared" si="154"/>
        <v>2.5839413984189354</v>
      </c>
      <c r="BQ63" s="18">
        <f t="shared" si="154"/>
        <v>3.1796810282704175</v>
      </c>
      <c r="BR63" s="18">
        <f t="shared" si="154"/>
        <v>3.165662454332554</v>
      </c>
      <c r="BS63" s="18">
        <f t="shared" si="154"/>
        <v>2.6614298778925418</v>
      </c>
      <c r="BT63" s="18">
        <f t="shared" si="154"/>
        <v>2.4831165492466245</v>
      </c>
      <c r="BV63" s="68">
        <f t="shared" si="129"/>
        <v>-39.175338263029069</v>
      </c>
      <c r="BW63" s="69">
        <f t="shared" si="130"/>
        <v>36.45759625464536</v>
      </c>
      <c r="BX63" s="69">
        <f t="shared" si="131"/>
        <v>-2.7177420083837105</v>
      </c>
      <c r="BZ63" t="str">
        <f t="shared" si="146"/>
        <v>62 Leisure, travel and related personal service occupations</v>
      </c>
      <c r="CA63" s="18">
        <f t="shared" si="155"/>
        <v>2.5397081392092296</v>
      </c>
      <c r="CB63" s="18">
        <f t="shared" si="155"/>
        <v>3.3046603303857363</v>
      </c>
      <c r="CC63" s="18">
        <f t="shared" si="155"/>
        <v>3.235212079277658</v>
      </c>
      <c r="CD63" s="18">
        <f t="shared" si="155"/>
        <v>3.6030080238892288</v>
      </c>
      <c r="CE63" s="18">
        <f t="shared" si="155"/>
        <v>4.3663634239567291</v>
      </c>
      <c r="CG63" s="68">
        <f t="shared" si="133"/>
        <v>-25.458566125019878</v>
      </c>
      <c r="CH63" s="69">
        <f t="shared" si="134"/>
        <v>37.309163167902831</v>
      </c>
      <c r="CI63" s="69">
        <f t="shared" si="135"/>
        <v>11.850597042882956</v>
      </c>
      <c r="CK63" t="str">
        <f t="shared" si="147"/>
        <v>62 Leisure, travel and related personal service occupations</v>
      </c>
      <c r="CL63" s="18">
        <f t="shared" si="156"/>
        <v>2.4547405207516899</v>
      </c>
      <c r="CM63" s="18">
        <f t="shared" si="156"/>
        <v>2.6757129408002491</v>
      </c>
      <c r="CN63" s="18">
        <f t="shared" si="156"/>
        <v>2.5109175384037856</v>
      </c>
      <c r="CO63" s="18">
        <f t="shared" si="156"/>
        <v>2.0010559101865151</v>
      </c>
      <c r="CP63" s="18">
        <f t="shared" si="156"/>
        <v>1.3901886121807454</v>
      </c>
      <c r="CR63" s="68">
        <f t="shared" si="137"/>
        <v>-62.524967473181157</v>
      </c>
      <c r="CS63" s="69">
        <f t="shared" si="138"/>
        <v>20.564027535302582</v>
      </c>
      <c r="CT63" s="69">
        <f t="shared" si="139"/>
        <v>-41.960939937878564</v>
      </c>
    </row>
    <row r="64" spans="1:98" x14ac:dyDescent="0.2">
      <c r="A64" t="str">
        <f t="shared" si="103"/>
        <v>63 Community and civil enforcement occupations</v>
      </c>
      <c r="B64" s="18">
        <f t="shared" si="148"/>
        <v>2.1270942738355426E-2</v>
      </c>
      <c r="C64" s="18">
        <f t="shared" si="148"/>
        <v>2.2950847115487494E-2</v>
      </c>
      <c r="D64" s="18">
        <f t="shared" si="148"/>
        <v>1.8558643371475867E-2</v>
      </c>
      <c r="E64" s="18">
        <f t="shared" si="148"/>
        <v>2.241527376980185E-2</v>
      </c>
      <c r="F64" s="18">
        <f t="shared" si="148"/>
        <v>2.4310132813228792E-2</v>
      </c>
      <c r="H64" s="68">
        <f t="shared" si="105"/>
        <v>105.73208938509096</v>
      </c>
      <c r="I64" s="69">
        <f t="shared" si="106"/>
        <v>84.051176483642791</v>
      </c>
      <c r="J64" s="69">
        <f t="shared" si="107"/>
        <v>189.78326586873374</v>
      </c>
      <c r="L64" t="str">
        <f t="shared" si="140"/>
        <v>63 Community and civil enforcement occupations</v>
      </c>
      <c r="M64" s="18">
        <f t="shared" si="149"/>
        <v>4.4244422763791334E-2</v>
      </c>
      <c r="N64" s="18">
        <f t="shared" si="149"/>
        <v>3.4870756726510799E-2</v>
      </c>
      <c r="O64" s="18">
        <f t="shared" si="149"/>
        <v>3.9920189071688233E-2</v>
      </c>
      <c r="P64" s="18">
        <f t="shared" si="149"/>
        <v>3.5332934080767632E-2</v>
      </c>
      <c r="Q64" s="18">
        <f t="shared" si="149"/>
        <v>4.0684181219297823E-2</v>
      </c>
      <c r="S64" s="68">
        <f t="shared" si="109"/>
        <v>61.472647935967004</v>
      </c>
      <c r="T64" s="69">
        <f t="shared" si="110"/>
        <v>61.198236759047489</v>
      </c>
      <c r="U64" s="69">
        <f t="shared" si="111"/>
        <v>122.67088469501451</v>
      </c>
      <c r="W64" t="str">
        <f t="shared" si="141"/>
        <v>63 Community and civil enforcement occupations</v>
      </c>
      <c r="X64" s="18">
        <f t="shared" si="150"/>
        <v>9.2909930145314887E-2</v>
      </c>
      <c r="Y64" s="18">
        <f t="shared" si="150"/>
        <v>8.4066502418172873E-2</v>
      </c>
      <c r="Z64" s="18">
        <f t="shared" si="150"/>
        <v>8.8702172260295989E-2</v>
      </c>
      <c r="AA64" s="18">
        <f t="shared" si="150"/>
        <v>8.3189716147240619E-2</v>
      </c>
      <c r="AB64" s="18">
        <f t="shared" si="150"/>
        <v>9.2770360808307625E-2</v>
      </c>
      <c r="AD64" s="68">
        <f t="shared" si="113"/>
        <v>39.832514772807791</v>
      </c>
      <c r="AE64" s="69">
        <f t="shared" si="114"/>
        <v>68.479002842921403</v>
      </c>
      <c r="AF64" s="69">
        <f t="shared" si="115"/>
        <v>108.31151761572919</v>
      </c>
      <c r="AH64" t="str">
        <f t="shared" si="142"/>
        <v>63 Community and civil enforcement occupations</v>
      </c>
      <c r="AI64" s="18">
        <f t="shared" si="151"/>
        <v>7.8848183003145098E-2</v>
      </c>
      <c r="AJ64" s="18">
        <f t="shared" si="151"/>
        <v>6.8912246668035859E-2</v>
      </c>
      <c r="AK64" s="18">
        <f t="shared" si="151"/>
        <v>9.2218136860647226E-2</v>
      </c>
      <c r="AL64" s="18">
        <f t="shared" si="151"/>
        <v>7.494897147688423E-2</v>
      </c>
      <c r="AM64" s="18">
        <f t="shared" si="151"/>
        <v>8.8198050440875905E-2</v>
      </c>
      <c r="AO64" s="68">
        <f t="shared" si="117"/>
        <v>12.41787630101161</v>
      </c>
      <c r="AP64" s="69">
        <f t="shared" si="118"/>
        <v>50.821784282066893</v>
      </c>
      <c r="AQ64" s="69">
        <f t="shared" si="119"/>
        <v>63.239660583078496</v>
      </c>
      <c r="AS64" t="str">
        <f t="shared" si="143"/>
        <v>63 Community and civil enforcement occupations</v>
      </c>
      <c r="AT64" s="18">
        <f t="shared" si="152"/>
        <v>8.5814094790489737E-2</v>
      </c>
      <c r="AU64" s="18">
        <f t="shared" si="152"/>
        <v>6.7848214313259908E-2</v>
      </c>
      <c r="AV64" s="18">
        <f t="shared" si="152"/>
        <v>7.8107584892331772E-2</v>
      </c>
      <c r="AW64" s="18">
        <f t="shared" si="152"/>
        <v>5.5378706215203702E-2</v>
      </c>
      <c r="AX64" s="18">
        <f t="shared" si="152"/>
        <v>5.3643363312983527E-2</v>
      </c>
      <c r="AZ64" s="68">
        <f t="shared" si="121"/>
        <v>-13.543394573475256</v>
      </c>
      <c r="BA64" s="69">
        <f t="shared" si="122"/>
        <v>45.565702674140205</v>
      </c>
      <c r="BB64" s="69">
        <f t="shared" si="123"/>
        <v>32.022308100664951</v>
      </c>
      <c r="BD64" t="str">
        <f t="shared" si="144"/>
        <v>63 Community and civil enforcement occupations</v>
      </c>
      <c r="BE64" s="18">
        <f t="shared" si="153"/>
        <v>9.6934542691119702E-2</v>
      </c>
      <c r="BF64" s="18">
        <f t="shared" si="153"/>
        <v>6.7297812994731809E-2</v>
      </c>
      <c r="BG64" s="18">
        <f t="shared" si="153"/>
        <v>8.9122436549605416E-2</v>
      </c>
      <c r="BH64" s="18">
        <f t="shared" si="153"/>
        <v>6.1472032110722066E-2</v>
      </c>
      <c r="BI64" s="18">
        <f t="shared" si="153"/>
        <v>7.3355398710860331E-2</v>
      </c>
      <c r="BK64" s="68">
        <f t="shared" si="125"/>
        <v>-12.276590485756074</v>
      </c>
      <c r="BL64" s="69">
        <f t="shared" si="126"/>
        <v>28.380898107415831</v>
      </c>
      <c r="BM64" s="69">
        <f t="shared" si="127"/>
        <v>16.104307621659757</v>
      </c>
      <c r="BO64" t="str">
        <f t="shared" si="145"/>
        <v>63 Community and civil enforcement occupations</v>
      </c>
      <c r="BP64" s="18">
        <f t="shared" si="154"/>
        <v>0.12450014600689044</v>
      </c>
      <c r="BQ64" s="18">
        <f t="shared" si="154"/>
        <v>0.10424917680984928</v>
      </c>
      <c r="BR64" s="18">
        <f t="shared" si="154"/>
        <v>0.13436454127998265</v>
      </c>
      <c r="BS64" s="18">
        <f t="shared" si="154"/>
        <v>0.10452897775641813</v>
      </c>
      <c r="BT64" s="18">
        <f t="shared" si="154"/>
        <v>0.12992583692799592</v>
      </c>
      <c r="BV64" s="68">
        <f t="shared" si="129"/>
        <v>-25.017821744649403</v>
      </c>
      <c r="BW64" s="69">
        <f t="shared" si="130"/>
        <v>31.206826693012836</v>
      </c>
      <c r="BX64" s="69">
        <f t="shared" si="131"/>
        <v>6.1890049483634328</v>
      </c>
      <c r="BZ64" t="str">
        <f t="shared" si="146"/>
        <v>63 Community and civil enforcement occupations</v>
      </c>
      <c r="CA64" s="18">
        <f t="shared" si="155"/>
        <v>0.14449915209718842</v>
      </c>
      <c r="CB64" s="18">
        <f t="shared" si="155"/>
        <v>0.13254070560266765</v>
      </c>
      <c r="CC64" s="18">
        <f t="shared" si="155"/>
        <v>0.18134162239073051</v>
      </c>
      <c r="CD64" s="18">
        <f t="shared" si="155"/>
        <v>0.14225575300087573</v>
      </c>
      <c r="CE64" s="18">
        <f t="shared" si="155"/>
        <v>0.17861108154172636</v>
      </c>
      <c r="CG64" s="68">
        <f t="shared" si="133"/>
        <v>-45.600924248393206</v>
      </c>
      <c r="CH64" s="69">
        <f t="shared" si="134"/>
        <v>26.601089180220612</v>
      </c>
      <c r="CI64" s="69">
        <f t="shared" si="135"/>
        <v>-18.999835068172594</v>
      </c>
      <c r="CK64" t="str">
        <f t="shared" si="147"/>
        <v>63 Community and civil enforcement occupations</v>
      </c>
      <c r="CL64" s="18">
        <f t="shared" si="156"/>
        <v>0.13730807612224957</v>
      </c>
      <c r="CM64" s="18">
        <f t="shared" si="156"/>
        <v>9.9819590358162069E-2</v>
      </c>
      <c r="CN64" s="18">
        <f t="shared" si="156"/>
        <v>0.13945948659869176</v>
      </c>
      <c r="CO64" s="18">
        <f t="shared" si="156"/>
        <v>7.3499821839505125E-2</v>
      </c>
      <c r="CP64" s="18">
        <f t="shared" si="156"/>
        <v>7.0826849801316608E-2</v>
      </c>
      <c r="CR64" s="68">
        <f t="shared" si="137"/>
        <v>-65.62437477635909</v>
      </c>
      <c r="CS64" s="69">
        <f t="shared" si="138"/>
        <v>12.528651968442063</v>
      </c>
      <c r="CT64" s="69">
        <f t="shared" si="139"/>
        <v>-53.095722807917035</v>
      </c>
    </row>
    <row r="65" spans="1:98" x14ac:dyDescent="0.2">
      <c r="A65" t="str">
        <f t="shared" si="103"/>
        <v>71 Sales occupations</v>
      </c>
      <c r="B65" s="18">
        <f t="shared" ref="B65:F70" si="157">B28/B$35*100</f>
        <v>1.2865922378205965</v>
      </c>
      <c r="C65" s="18">
        <f t="shared" si="157"/>
        <v>1.2543557499291298</v>
      </c>
      <c r="D65" s="18">
        <f t="shared" si="157"/>
        <v>0.93169297131356787</v>
      </c>
      <c r="E65" s="18">
        <f t="shared" si="157"/>
        <v>0.93078854196992167</v>
      </c>
      <c r="F65" s="18">
        <f t="shared" si="157"/>
        <v>0.93513919954199676</v>
      </c>
      <c r="H65" s="68">
        <f t="shared" si="105"/>
        <v>57.639255333276218</v>
      </c>
      <c r="I65" s="69">
        <f t="shared" si="106"/>
        <v>55.487503597361389</v>
      </c>
      <c r="J65" s="69">
        <f t="shared" si="107"/>
        <v>113.12675893063759</v>
      </c>
      <c r="L65" t="str">
        <f t="shared" si="140"/>
        <v>71 Sales occupations</v>
      </c>
      <c r="M65" s="18">
        <f t="shared" ref="M65:Q70" si="158">M28/M$35*100</f>
        <v>2.5708818959792485</v>
      </c>
      <c r="N65" s="18">
        <f t="shared" si="158"/>
        <v>2.3539636942825908</v>
      </c>
      <c r="O65" s="18">
        <f t="shared" si="158"/>
        <v>2.1892274695992429</v>
      </c>
      <c r="P65" s="18">
        <f t="shared" si="158"/>
        <v>2.3215567071484893</v>
      </c>
      <c r="Q65" s="18">
        <f t="shared" si="158"/>
        <v>2.6755567040249448</v>
      </c>
      <c r="S65" s="68">
        <f t="shared" si="109"/>
        <v>93.637402068204722</v>
      </c>
      <c r="T65" s="69">
        <f t="shared" si="110"/>
        <v>64.912531878813397</v>
      </c>
      <c r="U65" s="69">
        <f t="shared" si="111"/>
        <v>158.54993394701813</v>
      </c>
      <c r="W65" t="str">
        <f t="shared" si="141"/>
        <v>71 Sales occupations</v>
      </c>
      <c r="X65" s="18">
        <f t="shared" ref="X65:AB70" si="159">X28/X$35*100</f>
        <v>4.9676762333586222</v>
      </c>
      <c r="Y65" s="18">
        <f t="shared" si="159"/>
        <v>4.6594687882738404</v>
      </c>
      <c r="Z65" s="18">
        <f t="shared" si="159"/>
        <v>4.4849251334882689</v>
      </c>
      <c r="AA65" s="18">
        <f t="shared" si="159"/>
        <v>4.6558847992195354</v>
      </c>
      <c r="AB65" s="18">
        <f t="shared" si="159"/>
        <v>5.2995533301936142</v>
      </c>
      <c r="AD65" s="68">
        <f t="shared" si="113"/>
        <v>57.985506593702659</v>
      </c>
      <c r="AE65" s="69">
        <f t="shared" si="114"/>
        <v>70.351864184963659</v>
      </c>
      <c r="AF65" s="69">
        <f t="shared" si="115"/>
        <v>128.33737077866633</v>
      </c>
      <c r="AH65" t="str">
        <f t="shared" si="142"/>
        <v>71 Sales occupations</v>
      </c>
      <c r="AI65" s="18">
        <f t="shared" ref="AI65:AM70" si="160">AI28/AI$35*100</f>
        <v>5.306091116476205</v>
      </c>
      <c r="AJ65" s="18">
        <f t="shared" si="160"/>
        <v>5.4186685497154174</v>
      </c>
      <c r="AK65" s="18">
        <f t="shared" si="160"/>
        <v>5.2645411676196181</v>
      </c>
      <c r="AL65" s="18">
        <f t="shared" si="160"/>
        <v>5.5630525264896615</v>
      </c>
      <c r="AM65" s="18">
        <f t="shared" si="160"/>
        <v>6.7449869725236713</v>
      </c>
      <c r="AO65" s="68">
        <f t="shared" si="117"/>
        <v>50.595960934018592</v>
      </c>
      <c r="AP65" s="69">
        <f t="shared" si="118"/>
        <v>70.16142535262415</v>
      </c>
      <c r="AQ65" s="69">
        <f t="shared" si="119"/>
        <v>120.75738628664274</v>
      </c>
      <c r="AS65" t="str">
        <f t="shared" si="143"/>
        <v>71 Sales occupations</v>
      </c>
      <c r="AT65" s="18">
        <f t="shared" ref="AT65:AX70" si="161">AT28/AT$35*100</f>
        <v>4.8341360861601697</v>
      </c>
      <c r="AU65" s="18">
        <f t="shared" si="161"/>
        <v>4.501115759016268</v>
      </c>
      <c r="AV65" s="18">
        <f t="shared" si="161"/>
        <v>4.3158281106720358</v>
      </c>
      <c r="AW65" s="18">
        <f t="shared" si="161"/>
        <v>4.1713318775504264</v>
      </c>
      <c r="AX65" s="18">
        <f t="shared" si="161"/>
        <v>4.5035232431786563</v>
      </c>
      <c r="AZ65" s="68">
        <f t="shared" si="121"/>
        <v>31.360157056299681</v>
      </c>
      <c r="BA65" s="69">
        <f t="shared" si="122"/>
        <v>52.898425313004552</v>
      </c>
      <c r="BB65" s="69">
        <f t="shared" si="123"/>
        <v>84.258582369304236</v>
      </c>
      <c r="BD65" t="str">
        <f t="shared" si="144"/>
        <v>71 Sales occupations</v>
      </c>
      <c r="BE65" s="18">
        <f t="shared" ref="BE65:BI70" si="162">BE28/BE$35*100</f>
        <v>8.9672467388588544</v>
      </c>
      <c r="BF65" s="18">
        <f t="shared" si="162"/>
        <v>8.2677231507277682</v>
      </c>
      <c r="BG65" s="18">
        <f t="shared" si="162"/>
        <v>8.3309573634476113</v>
      </c>
      <c r="BH65" s="18">
        <f t="shared" si="162"/>
        <v>8.161399387040607</v>
      </c>
      <c r="BI65" s="18">
        <f t="shared" si="162"/>
        <v>8.3987353204972557</v>
      </c>
      <c r="BK65" s="68">
        <f t="shared" si="125"/>
        <v>7.445802880222069</v>
      </c>
      <c r="BL65" s="69">
        <f t="shared" si="126"/>
        <v>46.502032091534886</v>
      </c>
      <c r="BM65" s="69">
        <f t="shared" si="127"/>
        <v>53.947834971756961</v>
      </c>
      <c r="BO65" t="str">
        <f t="shared" si="145"/>
        <v>71 Sales occupations</v>
      </c>
      <c r="BP65" s="18">
        <f t="shared" ref="BP65:BT70" si="163">BP28/BP$35*100</f>
        <v>9.5184454018967024</v>
      </c>
      <c r="BQ65" s="18">
        <f t="shared" si="163"/>
        <v>8.4738563074019879</v>
      </c>
      <c r="BR65" s="18">
        <f t="shared" si="163"/>
        <v>8.4977766028331576</v>
      </c>
      <c r="BS65" s="18">
        <f t="shared" si="163"/>
        <v>8.3588741948693333</v>
      </c>
      <c r="BT65" s="18">
        <f t="shared" si="163"/>
        <v>8.3765981718768305</v>
      </c>
      <c r="BV65" s="68">
        <f t="shared" si="129"/>
        <v>-23.561954045731767</v>
      </c>
      <c r="BW65" s="69">
        <f t="shared" si="130"/>
        <v>44.09984910029425</v>
      </c>
      <c r="BX65" s="69">
        <f t="shared" si="131"/>
        <v>20.537895054562487</v>
      </c>
      <c r="BZ65" t="str">
        <f t="shared" si="146"/>
        <v>71 Sales occupations</v>
      </c>
      <c r="CA65" s="18">
        <f t="shared" ref="CA65:CE70" si="164">CA28/CA$35*100</f>
        <v>9.843606394225823</v>
      </c>
      <c r="CB65" s="18">
        <f t="shared" si="164"/>
        <v>8.9478375366463183</v>
      </c>
      <c r="CC65" s="18">
        <f t="shared" si="164"/>
        <v>8.6681964372660474</v>
      </c>
      <c r="CD65" s="18">
        <f t="shared" si="164"/>
        <v>8.4560186300454863</v>
      </c>
      <c r="CE65" s="18">
        <f t="shared" si="164"/>
        <v>4.7476497818826857</v>
      </c>
      <c r="CG65" s="68">
        <f t="shared" si="133"/>
        <v>-69.749639959820243</v>
      </c>
      <c r="CH65" s="69">
        <f t="shared" si="134"/>
        <v>24.37011395544668</v>
      </c>
      <c r="CI65" s="69">
        <f t="shared" si="135"/>
        <v>-45.379526004373567</v>
      </c>
      <c r="CK65" t="str">
        <f t="shared" si="147"/>
        <v>71 Sales occupations</v>
      </c>
      <c r="CL65" s="18">
        <f t="shared" ref="CL65:CP70" si="165">CL28/CL$35*100</f>
        <v>10.750794248572682</v>
      </c>
      <c r="CM65" s="18">
        <f t="shared" si="165"/>
        <v>9.7028726854227436</v>
      </c>
      <c r="CN65" s="18">
        <f t="shared" si="165"/>
        <v>9.2091363939466291</v>
      </c>
      <c r="CO65" s="18">
        <f t="shared" si="165"/>
        <v>8.1683084941160544</v>
      </c>
      <c r="CP65" s="18">
        <f t="shared" si="165"/>
        <v>7.5606761899379347</v>
      </c>
      <c r="CR65" s="68">
        <f t="shared" si="137"/>
        <v>-44.429734056168549</v>
      </c>
      <c r="CS65" s="69">
        <f t="shared" si="138"/>
        <v>20.427331003394059</v>
      </c>
      <c r="CT65" s="69">
        <f t="shared" si="139"/>
        <v>-24.002403052774486</v>
      </c>
    </row>
    <row r="66" spans="1:98" x14ac:dyDescent="0.2">
      <c r="A66" t="str">
        <f t="shared" si="103"/>
        <v>72 Customer service occupations</v>
      </c>
      <c r="B66" s="18">
        <f t="shared" si="157"/>
        <v>0.39587043686216217</v>
      </c>
      <c r="C66" s="18">
        <f t="shared" si="157"/>
        <v>0.36400548946123634</v>
      </c>
      <c r="D66" s="18">
        <f t="shared" si="157"/>
        <v>0.36720429921449055</v>
      </c>
      <c r="E66" s="18">
        <f t="shared" si="157"/>
        <v>0.45573453474080156</v>
      </c>
      <c r="F66" s="18">
        <f t="shared" si="157"/>
        <v>0.49965896075512717</v>
      </c>
      <c r="H66" s="68">
        <f t="shared" si="105"/>
        <v>113.71098923810538</v>
      </c>
      <c r="I66" s="69">
        <f t="shared" si="106"/>
        <v>67.175916466882839</v>
      </c>
      <c r="J66" s="69">
        <f t="shared" si="107"/>
        <v>180.88690570498821</v>
      </c>
      <c r="L66" t="str">
        <f t="shared" si="140"/>
        <v>72 Customer service occupations</v>
      </c>
      <c r="M66" s="18">
        <f t="shared" si="158"/>
        <v>0.67439738939048</v>
      </c>
      <c r="N66" s="18">
        <f t="shared" si="158"/>
        <v>0.7165373193284722</v>
      </c>
      <c r="O66" s="18">
        <f t="shared" si="158"/>
        <v>0.66331395549850325</v>
      </c>
      <c r="P66" s="18">
        <f t="shared" si="158"/>
        <v>0.78388670670666694</v>
      </c>
      <c r="Q66" s="18">
        <f t="shared" si="158"/>
        <v>0.86532826120654138</v>
      </c>
      <c r="S66" s="68">
        <f t="shared" si="109"/>
        <v>106.69393333969911</v>
      </c>
      <c r="T66" s="69">
        <f t="shared" si="110"/>
        <v>69.86170895631615</v>
      </c>
      <c r="U66" s="69">
        <f t="shared" si="111"/>
        <v>176.55564229601529</v>
      </c>
      <c r="W66" t="str">
        <f t="shared" si="141"/>
        <v>72 Customer service occupations</v>
      </c>
      <c r="X66" s="18">
        <f t="shared" si="159"/>
        <v>1.29779415954528</v>
      </c>
      <c r="Y66" s="18">
        <f t="shared" si="159"/>
        <v>1.3848890871492359</v>
      </c>
      <c r="Z66" s="18">
        <f t="shared" si="159"/>
        <v>1.3176638296643637</v>
      </c>
      <c r="AA66" s="18">
        <f t="shared" si="159"/>
        <v>1.4843667080744773</v>
      </c>
      <c r="AB66" s="18">
        <f t="shared" si="159"/>
        <v>1.6704292837073191</v>
      </c>
      <c r="AD66" s="68">
        <f t="shared" si="113"/>
        <v>69.494905166750314</v>
      </c>
      <c r="AE66" s="69">
        <f t="shared" si="114"/>
        <v>72.393497247116073</v>
      </c>
      <c r="AF66" s="69">
        <f t="shared" si="115"/>
        <v>141.88840241386637</v>
      </c>
      <c r="AH66" t="str">
        <f t="shared" si="142"/>
        <v>72 Customer service occupations</v>
      </c>
      <c r="AI66" s="18">
        <f t="shared" si="160"/>
        <v>1.2904377973388592</v>
      </c>
      <c r="AJ66" s="18">
        <f t="shared" si="160"/>
        <v>1.5414938531696953</v>
      </c>
      <c r="AK66" s="18">
        <f t="shared" si="160"/>
        <v>1.58683870024222</v>
      </c>
      <c r="AL66" s="18">
        <f t="shared" si="160"/>
        <v>1.8766029391232761</v>
      </c>
      <c r="AM66" s="18">
        <f t="shared" si="160"/>
        <v>2.2202128361103255</v>
      </c>
      <c r="AO66" s="68">
        <f t="shared" si="117"/>
        <v>64.457831894307432</v>
      </c>
      <c r="AP66" s="69">
        <f t="shared" si="118"/>
        <v>72.133499381634024</v>
      </c>
      <c r="AQ66" s="69">
        <f t="shared" si="119"/>
        <v>136.59133127594146</v>
      </c>
      <c r="AS66" t="str">
        <f t="shared" si="143"/>
        <v>72 Customer service occupations</v>
      </c>
      <c r="AT66" s="18">
        <f t="shared" si="161"/>
        <v>1.8029400439884682</v>
      </c>
      <c r="AU66" s="18">
        <f t="shared" si="161"/>
        <v>1.9177486256963965</v>
      </c>
      <c r="AV66" s="18">
        <f t="shared" si="161"/>
        <v>1.8552325563746721</v>
      </c>
      <c r="AW66" s="18">
        <f t="shared" si="161"/>
        <v>2.1377034965959703</v>
      </c>
      <c r="AX66" s="18">
        <f t="shared" si="161"/>
        <v>2.141070385581616</v>
      </c>
      <c r="AZ66" s="68">
        <f t="shared" si="121"/>
        <v>45.28071801586654</v>
      </c>
      <c r="BA66" s="69">
        <f t="shared" si="122"/>
        <v>60.867378170536156</v>
      </c>
      <c r="BB66" s="69">
        <f t="shared" si="123"/>
        <v>106.14809618640268</v>
      </c>
      <c r="BD66" t="str">
        <f t="shared" si="144"/>
        <v>72 Customer service occupations</v>
      </c>
      <c r="BE66" s="18">
        <f t="shared" si="162"/>
        <v>1.737566975181442</v>
      </c>
      <c r="BF66" s="18">
        <f t="shared" si="162"/>
        <v>1.7503764012968726</v>
      </c>
      <c r="BG66" s="18">
        <f t="shared" si="162"/>
        <v>1.8894385890817984</v>
      </c>
      <c r="BH66" s="18">
        <f t="shared" si="162"/>
        <v>2.0114625981404446</v>
      </c>
      <c r="BI66" s="18">
        <f t="shared" si="162"/>
        <v>2.1407483933546221</v>
      </c>
      <c r="BK66" s="68">
        <f t="shared" si="125"/>
        <v>20.754498343235177</v>
      </c>
      <c r="BL66" s="69">
        <f t="shared" si="126"/>
        <v>48.709268098045868</v>
      </c>
      <c r="BM66" s="69">
        <f t="shared" si="127"/>
        <v>69.463766441281038</v>
      </c>
      <c r="BO66" t="str">
        <f t="shared" si="145"/>
        <v>72 Customer service occupations</v>
      </c>
      <c r="BP66" s="18">
        <f t="shared" si="163"/>
        <v>1.7536177007367408</v>
      </c>
      <c r="BQ66" s="18">
        <f t="shared" si="163"/>
        <v>1.8346759170114617</v>
      </c>
      <c r="BR66" s="18">
        <f t="shared" si="163"/>
        <v>1.9253084216606695</v>
      </c>
      <c r="BS66" s="18">
        <f t="shared" si="163"/>
        <v>2.0691400114513083</v>
      </c>
      <c r="BT66" s="18">
        <f t="shared" si="163"/>
        <v>2.2043003284159468</v>
      </c>
      <c r="BV66" s="68">
        <f t="shared" si="129"/>
        <v>-11.219485352390389</v>
      </c>
      <c r="BW66" s="69">
        <f t="shared" si="130"/>
        <v>48.493542268540693</v>
      </c>
      <c r="BX66" s="69">
        <f t="shared" si="131"/>
        <v>37.274056916150315</v>
      </c>
      <c r="BZ66" t="str">
        <f t="shared" si="146"/>
        <v>72 Customer service occupations</v>
      </c>
      <c r="CA66" s="18">
        <f t="shared" si="164"/>
        <v>1.4064185365708231</v>
      </c>
      <c r="CB66" s="18">
        <f t="shared" si="164"/>
        <v>1.3786419710105435</v>
      </c>
      <c r="CC66" s="18">
        <f t="shared" si="164"/>
        <v>1.3855711580008498</v>
      </c>
      <c r="CD66" s="18">
        <f t="shared" si="164"/>
        <v>1.4169605852867881</v>
      </c>
      <c r="CE66" s="18">
        <f t="shared" si="164"/>
        <v>1.5735591544408529</v>
      </c>
      <c r="CG66" s="68">
        <f t="shared" si="133"/>
        <v>-37.275839558859772</v>
      </c>
      <c r="CH66" s="69">
        <f t="shared" si="134"/>
        <v>27.230056780514602</v>
      </c>
      <c r="CI66" s="69">
        <f t="shared" si="135"/>
        <v>-10.045782778345165</v>
      </c>
      <c r="CK66" t="str">
        <f t="shared" si="147"/>
        <v>72 Customer service occupations</v>
      </c>
      <c r="CL66" s="18">
        <f t="shared" si="165"/>
        <v>1.040698792621273</v>
      </c>
      <c r="CM66" s="18">
        <f t="shared" si="165"/>
        <v>1.3818572425028326</v>
      </c>
      <c r="CN66" s="18">
        <f t="shared" si="165"/>
        <v>1.4530899325064084</v>
      </c>
      <c r="CO66" s="18">
        <f t="shared" si="165"/>
        <v>2.0034499174825378</v>
      </c>
      <c r="CP66" s="18">
        <f t="shared" si="165"/>
        <v>3.1665360788169035</v>
      </c>
      <c r="CR66" s="68">
        <f t="shared" si="137"/>
        <v>47.500227046283214</v>
      </c>
      <c r="CS66" s="69">
        <f t="shared" si="138"/>
        <v>44.46692145359544</v>
      </c>
      <c r="CT66" s="69">
        <f t="shared" si="139"/>
        <v>91.967148499878675</v>
      </c>
    </row>
    <row r="67" spans="1:98" x14ac:dyDescent="0.2">
      <c r="A67" t="str">
        <f t="shared" si="103"/>
        <v>81 Process, plant and machine operatives</v>
      </c>
      <c r="B67" s="18">
        <f t="shared" si="157"/>
        <v>0.53777830003032079</v>
      </c>
      <c r="C67" s="18">
        <f t="shared" si="157"/>
        <v>0.64463845634037809</v>
      </c>
      <c r="D67" s="18">
        <f t="shared" si="157"/>
        <v>0.48980173556043544</v>
      </c>
      <c r="E67" s="18">
        <f t="shared" si="157"/>
        <v>0.56214588849647562</v>
      </c>
      <c r="F67" s="18">
        <f t="shared" si="157"/>
        <v>0.86246028001292352</v>
      </c>
      <c r="H67" s="68">
        <f t="shared" si="105"/>
        <v>176.55385390780452</v>
      </c>
      <c r="I67" s="69">
        <f t="shared" si="106"/>
        <v>92.854747384696381</v>
      </c>
      <c r="J67" s="69">
        <f t="shared" si="107"/>
        <v>269.40860129250092</v>
      </c>
      <c r="L67" t="str">
        <f t="shared" si="140"/>
        <v>81 Process, plant and machine operatives</v>
      </c>
      <c r="M67" s="18">
        <f t="shared" si="158"/>
        <v>0.75681492527314997</v>
      </c>
      <c r="N67" s="18">
        <f t="shared" si="158"/>
        <v>0.8271513838969019</v>
      </c>
      <c r="O67" s="18">
        <f t="shared" si="158"/>
        <v>0.67368296302339192</v>
      </c>
      <c r="P67" s="18">
        <f t="shared" si="158"/>
        <v>0.92566737756089368</v>
      </c>
      <c r="Q67" s="18">
        <f t="shared" si="158"/>
        <v>1.376546225153225</v>
      </c>
      <c r="S67" s="68">
        <f t="shared" si="109"/>
        <v>223.74361506860313</v>
      </c>
      <c r="T67" s="69">
        <f t="shared" si="110"/>
        <v>102.88263485661476</v>
      </c>
      <c r="U67" s="69">
        <f t="shared" si="111"/>
        <v>326.62624992521785</v>
      </c>
      <c r="W67" t="str">
        <f t="shared" si="141"/>
        <v>81 Process, plant and machine operatives</v>
      </c>
      <c r="X67" s="18">
        <f t="shared" si="159"/>
        <v>0.87341877883580599</v>
      </c>
      <c r="Y67" s="18">
        <f t="shared" si="159"/>
        <v>0.88362963241295001</v>
      </c>
      <c r="Z67" s="18">
        <f t="shared" si="159"/>
        <v>0.78140914995755328</v>
      </c>
      <c r="AA67" s="18">
        <f t="shared" si="159"/>
        <v>1.0197028494107656</v>
      </c>
      <c r="AB67" s="18">
        <f t="shared" si="159"/>
        <v>1.4759757410688492</v>
      </c>
      <c r="AD67" s="68">
        <f t="shared" si="113"/>
        <v>152.54216847350551</v>
      </c>
      <c r="AE67" s="69">
        <f t="shared" si="114"/>
        <v>92.295143893026875</v>
      </c>
      <c r="AF67" s="69">
        <f t="shared" si="115"/>
        <v>244.83731236653239</v>
      </c>
      <c r="AH67" t="str">
        <f t="shared" si="142"/>
        <v>81 Process, plant and machine operatives</v>
      </c>
      <c r="AI67" s="18">
        <f t="shared" si="160"/>
        <v>1.178982505020447</v>
      </c>
      <c r="AJ67" s="18">
        <f t="shared" si="160"/>
        <v>1.203381189823937</v>
      </c>
      <c r="AK67" s="18">
        <f t="shared" si="160"/>
        <v>1.2120274283304404</v>
      </c>
      <c r="AL67" s="18">
        <f t="shared" si="160"/>
        <v>1.5031050577751579</v>
      </c>
      <c r="AM67" s="18">
        <f t="shared" si="160"/>
        <v>1.7387285182734975</v>
      </c>
      <c r="AO67" s="68">
        <f t="shared" si="117"/>
        <v>68.621156745362768</v>
      </c>
      <c r="AP67" s="69">
        <f t="shared" si="118"/>
        <v>66.895494775202522</v>
      </c>
      <c r="AQ67" s="69">
        <f t="shared" si="119"/>
        <v>135.51665152056529</v>
      </c>
      <c r="AS67" t="str">
        <f t="shared" si="143"/>
        <v>81 Process, plant and machine operatives</v>
      </c>
      <c r="AT67" s="18">
        <f t="shared" si="161"/>
        <v>2.8566752691922317</v>
      </c>
      <c r="AU67" s="18">
        <f t="shared" si="161"/>
        <v>2.6671410586114583</v>
      </c>
      <c r="AV67" s="18">
        <f t="shared" si="161"/>
        <v>2.5914477700327625</v>
      </c>
      <c r="AW67" s="18">
        <f t="shared" si="161"/>
        <v>2.9612004878014013</v>
      </c>
      <c r="AX67" s="18">
        <f t="shared" si="161"/>
        <v>3.3101496096109941</v>
      </c>
      <c r="AZ67" s="68">
        <f t="shared" si="121"/>
        <v>60.797966742019192</v>
      </c>
      <c r="BA67" s="69">
        <f t="shared" si="122"/>
        <v>65.231553346554236</v>
      </c>
      <c r="BB67" s="69">
        <f t="shared" si="123"/>
        <v>126.02952008857342</v>
      </c>
      <c r="BD67" t="str">
        <f t="shared" si="144"/>
        <v>81 Process, plant and machine operatives</v>
      </c>
      <c r="BE67" s="18">
        <f t="shared" si="162"/>
        <v>4.8357275362577221</v>
      </c>
      <c r="BF67" s="18">
        <f t="shared" si="162"/>
        <v>4.6819631130839108</v>
      </c>
      <c r="BG67" s="18">
        <f t="shared" si="162"/>
        <v>4.1947759034347083</v>
      </c>
      <c r="BH67" s="18">
        <f t="shared" si="162"/>
        <v>4.760153048449915</v>
      </c>
      <c r="BI67" s="18">
        <f t="shared" si="162"/>
        <v>4.9236267666399538</v>
      </c>
      <c r="BK67" s="68">
        <f t="shared" si="125"/>
        <v>25.096981811638543</v>
      </c>
      <c r="BL67" s="69">
        <f t="shared" si="126"/>
        <v>44.008016935027086</v>
      </c>
      <c r="BM67" s="69">
        <f t="shared" si="127"/>
        <v>69.104998746665629</v>
      </c>
      <c r="BO67" t="str">
        <f t="shared" si="145"/>
        <v>81 Process, plant and machine operatives</v>
      </c>
      <c r="BP67" s="18">
        <f t="shared" si="163"/>
        <v>6.4328430460597703</v>
      </c>
      <c r="BQ67" s="18">
        <f t="shared" si="163"/>
        <v>6.4710045171697343</v>
      </c>
      <c r="BR67" s="18">
        <f t="shared" si="163"/>
        <v>5.8732771669141135</v>
      </c>
      <c r="BS67" s="18">
        <f t="shared" si="163"/>
        <v>6.6296475381299347</v>
      </c>
      <c r="BT67" s="18">
        <f t="shared" si="163"/>
        <v>7.0002456038766123</v>
      </c>
      <c r="BV67" s="68">
        <f t="shared" si="129"/>
        <v>-7.5770163122881558</v>
      </c>
      <c r="BW67" s="69">
        <f t="shared" si="130"/>
        <v>40.550489080153568</v>
      </c>
      <c r="BX67" s="69">
        <f t="shared" si="131"/>
        <v>32.973472767865417</v>
      </c>
      <c r="BZ67" t="str">
        <f t="shared" si="146"/>
        <v>81 Process, plant and machine operatives</v>
      </c>
      <c r="CA67" s="18">
        <f t="shared" si="164"/>
        <v>7.813116067365435</v>
      </c>
      <c r="CB67" s="18">
        <f t="shared" si="164"/>
        <v>7.8577084388172249</v>
      </c>
      <c r="CC67" s="18">
        <f t="shared" si="164"/>
        <v>7.2585199308236907</v>
      </c>
      <c r="CD67" s="18">
        <f t="shared" si="164"/>
        <v>7.2566549929661193</v>
      </c>
      <c r="CE67" s="18">
        <f t="shared" si="164"/>
        <v>5.1255986786217056</v>
      </c>
      <c r="CG67" s="68">
        <f t="shared" si="133"/>
        <v>-60.998874243755161</v>
      </c>
      <c r="CH67" s="69">
        <f t="shared" si="134"/>
        <v>25.719083594373664</v>
      </c>
      <c r="CI67" s="69">
        <f t="shared" si="135"/>
        <v>-35.279790649381496</v>
      </c>
      <c r="CK67" t="str">
        <f t="shared" si="147"/>
        <v>81 Process, plant and machine operatives</v>
      </c>
      <c r="CL67" s="18">
        <f t="shared" si="165"/>
        <v>10.147404853389299</v>
      </c>
      <c r="CM67" s="18">
        <f t="shared" si="165"/>
        <v>8.8848654078648526</v>
      </c>
      <c r="CN67" s="18">
        <f t="shared" si="165"/>
        <v>8.2240040347652457</v>
      </c>
      <c r="CO67" s="18">
        <f t="shared" si="165"/>
        <v>4.2100774929176286</v>
      </c>
      <c r="CP67" s="18">
        <f t="shared" si="165"/>
        <v>2.643528798118949</v>
      </c>
      <c r="CR67" s="68">
        <f t="shared" si="137"/>
        <v>-78.242876687462001</v>
      </c>
      <c r="CS67" s="69">
        <f t="shared" si="138"/>
        <v>11.874902545169496</v>
      </c>
      <c r="CT67" s="69">
        <f t="shared" si="139"/>
        <v>-66.367974142292496</v>
      </c>
    </row>
    <row r="68" spans="1:98" x14ac:dyDescent="0.2">
      <c r="A68" t="str">
        <f t="shared" si="103"/>
        <v>82 Transport and mobile machine drivers and operatives</v>
      </c>
      <c r="B68" s="18">
        <f t="shared" si="157"/>
        <v>0.5437159758551835</v>
      </c>
      <c r="C68" s="18">
        <f t="shared" si="157"/>
        <v>0.50487671035908177</v>
      </c>
      <c r="D68" s="18">
        <f t="shared" si="157"/>
        <v>0.55486149677853458</v>
      </c>
      <c r="E68" s="18">
        <f t="shared" si="157"/>
        <v>0.6412191344449375</v>
      </c>
      <c r="F68" s="18">
        <f t="shared" si="157"/>
        <v>0.76351365681055594</v>
      </c>
      <c r="H68" s="68">
        <f t="shared" si="105"/>
        <v>116.11910086196096</v>
      </c>
      <c r="I68" s="69">
        <f t="shared" si="106"/>
        <v>98.85442742679416</v>
      </c>
      <c r="J68" s="69">
        <f t="shared" si="107"/>
        <v>214.97352828875512</v>
      </c>
      <c r="L68" t="str">
        <f t="shared" si="140"/>
        <v>82 Transport and mobile machine drivers and operatives</v>
      </c>
      <c r="M68" s="18">
        <f t="shared" si="158"/>
        <v>0.57312577150442834</v>
      </c>
      <c r="N68" s="18">
        <f t="shared" si="158"/>
        <v>0.52567033268321717</v>
      </c>
      <c r="O68" s="18">
        <f t="shared" si="158"/>
        <v>0.56047819707262814</v>
      </c>
      <c r="P68" s="18">
        <f t="shared" si="158"/>
        <v>0.59099615850646769</v>
      </c>
      <c r="Q68" s="18">
        <f t="shared" si="158"/>
        <v>0.63843378379376636</v>
      </c>
      <c r="S68" s="68">
        <f t="shared" si="109"/>
        <v>80.477519777398314</v>
      </c>
      <c r="T68" s="69">
        <f t="shared" si="110"/>
        <v>86.202185765270357</v>
      </c>
      <c r="U68" s="69">
        <f t="shared" si="111"/>
        <v>166.67970554266864</v>
      </c>
      <c r="W68" t="str">
        <f t="shared" si="141"/>
        <v>82 Transport and mobile machine drivers and operatives</v>
      </c>
      <c r="X68" s="18">
        <f t="shared" si="159"/>
        <v>0.99288647606663472</v>
      </c>
      <c r="Y68" s="18">
        <f t="shared" si="159"/>
        <v>0.9452111173087131</v>
      </c>
      <c r="Z68" s="18">
        <f t="shared" si="159"/>
        <v>1.0548029724789632</v>
      </c>
      <c r="AA68" s="18">
        <f t="shared" si="159"/>
        <v>1.0925402680863743</v>
      </c>
      <c r="AB68" s="18">
        <f t="shared" si="159"/>
        <v>1.1603681689894478</v>
      </c>
      <c r="AD68" s="68">
        <f t="shared" si="113"/>
        <v>47.081360979831686</v>
      </c>
      <c r="AE68" s="69">
        <f t="shared" si="114"/>
        <v>80.58143128065403</v>
      </c>
      <c r="AF68" s="69">
        <f t="shared" si="115"/>
        <v>127.66279226048572</v>
      </c>
      <c r="AH68" t="str">
        <f t="shared" si="142"/>
        <v>82 Transport and mobile machine drivers and operatives</v>
      </c>
      <c r="AI68" s="18">
        <f t="shared" si="160"/>
        <v>1.4123657499696045</v>
      </c>
      <c r="AJ68" s="18">
        <f t="shared" si="160"/>
        <v>1.4145274765658689</v>
      </c>
      <c r="AK68" s="18">
        <f t="shared" si="160"/>
        <v>1.7930055462527801</v>
      </c>
      <c r="AL68" s="18">
        <f t="shared" si="160"/>
        <v>1.9394419114064814</v>
      </c>
      <c r="AM68" s="18">
        <f t="shared" si="160"/>
        <v>2.1940036986440981</v>
      </c>
      <c r="AO68" s="68">
        <f t="shared" si="117"/>
        <v>43.829661168867958</v>
      </c>
      <c r="AP68" s="69">
        <f t="shared" si="118"/>
        <v>76.599150463937946</v>
      </c>
      <c r="AQ68" s="69">
        <f t="shared" si="119"/>
        <v>120.42881163280592</v>
      </c>
      <c r="AS68" t="str">
        <f t="shared" si="143"/>
        <v>82 Transport and mobile machine drivers and operatives</v>
      </c>
      <c r="AT68" s="18">
        <f t="shared" si="161"/>
        <v>2.3395324348504007</v>
      </c>
      <c r="AU68" s="18">
        <f t="shared" si="161"/>
        <v>2.2624540546602048</v>
      </c>
      <c r="AV68" s="18">
        <f t="shared" si="161"/>
        <v>2.5750530586943787</v>
      </c>
      <c r="AW68" s="18">
        <f t="shared" si="161"/>
        <v>2.6860211343370697</v>
      </c>
      <c r="AX68" s="18">
        <f t="shared" si="161"/>
        <v>2.8152551601076938</v>
      </c>
      <c r="AZ68" s="68">
        <f t="shared" si="121"/>
        <v>37.628054583340351</v>
      </c>
      <c r="BA68" s="69">
        <f t="shared" si="122"/>
        <v>76.995207505396138</v>
      </c>
      <c r="BB68" s="69">
        <f t="shared" si="123"/>
        <v>114.6232620887365</v>
      </c>
      <c r="BD68" t="str">
        <f t="shared" si="144"/>
        <v>82 Transport and mobile machine drivers and operatives</v>
      </c>
      <c r="BE68" s="18">
        <f t="shared" si="162"/>
        <v>3.7600764066689698</v>
      </c>
      <c r="BF68" s="18">
        <f t="shared" si="162"/>
        <v>3.9761179481359279</v>
      </c>
      <c r="BG68" s="18">
        <f t="shared" si="162"/>
        <v>3.8265096745400795</v>
      </c>
      <c r="BH68" s="18">
        <f t="shared" si="162"/>
        <v>4.1865666493286833</v>
      </c>
      <c r="BI68" s="18">
        <f t="shared" si="162"/>
        <v>4.6636750601562875</v>
      </c>
      <c r="BK68" s="68">
        <f t="shared" si="125"/>
        <v>29.896048568960982</v>
      </c>
      <c r="BL68" s="69">
        <f t="shared" si="126"/>
        <v>60.662798956381678</v>
      </c>
      <c r="BM68" s="69">
        <f t="shared" si="127"/>
        <v>90.558847525342642</v>
      </c>
      <c r="BO68" t="str">
        <f t="shared" si="145"/>
        <v>82 Transport and mobile machine drivers and operatives</v>
      </c>
      <c r="BP68" s="18">
        <f t="shared" si="163"/>
        <v>5.7754923255652226</v>
      </c>
      <c r="BQ68" s="18">
        <f t="shared" si="163"/>
        <v>6.2701523506482033</v>
      </c>
      <c r="BR68" s="18">
        <f t="shared" si="163"/>
        <v>6.0293089519842589</v>
      </c>
      <c r="BS68" s="18">
        <f t="shared" si="163"/>
        <v>6.5488047467744064</v>
      </c>
      <c r="BT68" s="18">
        <f t="shared" si="163"/>
        <v>7.6071379176766794</v>
      </c>
      <c r="BV68" s="68">
        <f t="shared" si="129"/>
        <v>-2.163489363974207</v>
      </c>
      <c r="BW68" s="69">
        <f t="shared" si="130"/>
        <v>53.222462714009588</v>
      </c>
      <c r="BX68" s="69">
        <f t="shared" si="131"/>
        <v>51.058973350035387</v>
      </c>
      <c r="BZ68" t="str">
        <f t="shared" si="146"/>
        <v>82 Transport and mobile machine drivers and operatives</v>
      </c>
      <c r="CA68" s="18">
        <f t="shared" si="164"/>
        <v>7.5032332612738593</v>
      </c>
      <c r="CB68" s="18">
        <f t="shared" si="164"/>
        <v>8.0618565670725388</v>
      </c>
      <c r="CC68" s="18">
        <f t="shared" si="164"/>
        <v>8.1821187642509265</v>
      </c>
      <c r="CD68" s="18">
        <f t="shared" si="164"/>
        <v>7.5398699881068678</v>
      </c>
      <c r="CE68" s="18">
        <f t="shared" si="164"/>
        <v>8.2710425954701563</v>
      </c>
      <c r="CG68" s="68">
        <f t="shared" si="133"/>
        <v>-44.16903993164982</v>
      </c>
      <c r="CH68" s="69">
        <f t="shared" si="134"/>
        <v>36.760299083519186</v>
      </c>
      <c r="CI68" s="69">
        <f t="shared" si="135"/>
        <v>-7.4087408481306278</v>
      </c>
      <c r="CK68" t="str">
        <f t="shared" si="147"/>
        <v>82 Transport and mobile machine drivers and operatives</v>
      </c>
      <c r="CL68" s="18">
        <f t="shared" si="165"/>
        <v>8.8857519795452902</v>
      </c>
      <c r="CM68" s="18">
        <f t="shared" si="165"/>
        <v>10.193951845151963</v>
      </c>
      <c r="CN68" s="18">
        <f t="shared" si="165"/>
        <v>10.91923391034616</v>
      </c>
      <c r="CO68" s="18">
        <f t="shared" si="165"/>
        <v>11.4499979462383</v>
      </c>
      <c r="CP68" s="18">
        <f t="shared" si="165"/>
        <v>8.732855405795215</v>
      </c>
      <c r="CR68" s="68">
        <f t="shared" si="137"/>
        <v>-45.866657724994418</v>
      </c>
      <c r="CS68" s="69">
        <f t="shared" si="138"/>
        <v>32.179397457156554</v>
      </c>
      <c r="CT68" s="69">
        <f t="shared" si="139"/>
        <v>-13.687260267837868</v>
      </c>
    </row>
    <row r="69" spans="1:98" x14ac:dyDescent="0.2">
      <c r="A69" t="str">
        <f t="shared" si="103"/>
        <v>91 Elementary trades and related occupations</v>
      </c>
      <c r="B69" s="18">
        <f t="shared" si="157"/>
        <v>7.3874572529943217E-3</v>
      </c>
      <c r="C69" s="18">
        <f t="shared" si="157"/>
        <v>6.1806578340853954E-3</v>
      </c>
      <c r="D69" s="18">
        <f t="shared" si="157"/>
        <v>5.7325790835743226E-3</v>
      </c>
      <c r="E69" s="18">
        <f t="shared" si="157"/>
        <v>2.4262807580820313E-2</v>
      </c>
      <c r="F69" s="18">
        <f t="shared" si="157"/>
        <v>3.5496169510522049E-2</v>
      </c>
      <c r="H69" s="68">
        <f t="shared" si="105"/>
        <v>872.50617246508261</v>
      </c>
      <c r="I69" s="69">
        <f t="shared" si="106"/>
        <v>398.71142274910795</v>
      </c>
      <c r="J69" s="69">
        <f t="shared" si="107"/>
        <v>1271.2175952141906</v>
      </c>
      <c r="L69" t="str">
        <f t="shared" si="140"/>
        <v>91 Elementary trades and related occupations</v>
      </c>
      <c r="M69" s="18">
        <f t="shared" si="158"/>
        <v>0.40483857700766168</v>
      </c>
      <c r="N69" s="18">
        <f t="shared" si="158"/>
        <v>0.35707633619984991</v>
      </c>
      <c r="O69" s="18">
        <f t="shared" si="158"/>
        <v>0.32373884789097995</v>
      </c>
      <c r="P69" s="18">
        <f t="shared" si="158"/>
        <v>0.49745057761940109</v>
      </c>
      <c r="Q69" s="18">
        <f t="shared" si="158"/>
        <v>0.62684559046056687</v>
      </c>
      <c r="S69" s="68">
        <f t="shared" si="109"/>
        <v>206.78331426895446</v>
      </c>
      <c r="T69" s="69">
        <f t="shared" si="110"/>
        <v>118.50960033531545</v>
      </c>
      <c r="U69" s="69">
        <f t="shared" si="111"/>
        <v>325.29291460426992</v>
      </c>
      <c r="W69" t="str">
        <f t="shared" si="141"/>
        <v>91 Elementary trades and related occupations</v>
      </c>
      <c r="X69" s="18">
        <f t="shared" si="159"/>
        <v>0.62926297877174886</v>
      </c>
      <c r="Y69" s="18">
        <f t="shared" si="159"/>
        <v>0.63179842847180234</v>
      </c>
      <c r="Z69" s="18">
        <f t="shared" si="159"/>
        <v>0.59248066421728152</v>
      </c>
      <c r="AA69" s="18">
        <f t="shared" si="159"/>
        <v>1.2076603125638363</v>
      </c>
      <c r="AB69" s="18">
        <f t="shared" si="159"/>
        <v>1.4676630868590155</v>
      </c>
      <c r="AD69" s="68">
        <f t="shared" si="113"/>
        <v>231.19621727256163</v>
      </c>
      <c r="AE69" s="69">
        <f t="shared" si="114"/>
        <v>172.09322186789268</v>
      </c>
      <c r="AF69" s="69">
        <f t="shared" si="115"/>
        <v>403.28943914045431</v>
      </c>
      <c r="AH69" t="str">
        <f t="shared" si="142"/>
        <v>91 Elementary trades and related occupations</v>
      </c>
      <c r="AI69" s="18">
        <f t="shared" si="160"/>
        <v>1.3265498868606382</v>
      </c>
      <c r="AJ69" s="18">
        <f t="shared" si="160"/>
        <v>1.4375147465748275</v>
      </c>
      <c r="AK69" s="18">
        <f t="shared" si="160"/>
        <v>1.3015078026523141</v>
      </c>
      <c r="AL69" s="18">
        <f t="shared" si="160"/>
        <v>2.8634634687031082</v>
      </c>
      <c r="AM69" s="18">
        <f t="shared" si="160"/>
        <v>3.8937157673059226</v>
      </c>
      <c r="AO69" s="68">
        <f t="shared" si="117"/>
        <v>251.64966227075749</v>
      </c>
      <c r="AP69" s="69">
        <f t="shared" si="118"/>
        <v>185.63576775619487</v>
      </c>
      <c r="AQ69" s="69">
        <f t="shared" si="119"/>
        <v>437.28543002695233</v>
      </c>
      <c r="AS69" t="str">
        <f t="shared" si="143"/>
        <v>91 Elementary trades and related occupations</v>
      </c>
      <c r="AT69" s="18">
        <f t="shared" si="161"/>
        <v>1.5262080908760467</v>
      </c>
      <c r="AU69" s="18">
        <f t="shared" si="161"/>
        <v>1.4490535184807154</v>
      </c>
      <c r="AV69" s="18">
        <f t="shared" si="161"/>
        <v>1.4982171724441828</v>
      </c>
      <c r="AW69" s="18">
        <f t="shared" si="161"/>
        <v>2.976334625631964</v>
      </c>
      <c r="AX69" s="18">
        <f t="shared" si="161"/>
        <v>3.5368879620837528</v>
      </c>
      <c r="AZ69" s="68">
        <f t="shared" si="121"/>
        <v>197.18160385220514</v>
      </c>
      <c r="BA69" s="69">
        <f t="shared" si="122"/>
        <v>141.75195532625645</v>
      </c>
      <c r="BB69" s="69">
        <f t="shared" si="123"/>
        <v>338.93355917846162</v>
      </c>
      <c r="BD69" t="str">
        <f t="shared" si="144"/>
        <v>91 Elementary trades and related occupations</v>
      </c>
      <c r="BE69" s="18">
        <f t="shared" si="162"/>
        <v>1.791421288630838</v>
      </c>
      <c r="BF69" s="18">
        <f t="shared" si="162"/>
        <v>1.5553561879240201</v>
      </c>
      <c r="BG69" s="18">
        <f t="shared" si="162"/>
        <v>1.408739082015162</v>
      </c>
      <c r="BH69" s="18">
        <f t="shared" si="162"/>
        <v>2.5845240567685486</v>
      </c>
      <c r="BI69" s="18">
        <f t="shared" si="162"/>
        <v>3.1620636362369039</v>
      </c>
      <c r="BK69" s="68">
        <f t="shared" si="125"/>
        <v>139.22717670016002</v>
      </c>
      <c r="BL69" s="69">
        <f t="shared" si="126"/>
        <v>88.454595191105597</v>
      </c>
      <c r="BM69" s="69">
        <f t="shared" si="127"/>
        <v>227.68177189126558</v>
      </c>
      <c r="BO69" t="str">
        <f t="shared" si="145"/>
        <v>91 Elementary trades and related occupations</v>
      </c>
      <c r="BP69" s="18">
        <f t="shared" si="163"/>
        <v>2.937804751231436</v>
      </c>
      <c r="BQ69" s="18">
        <f t="shared" si="163"/>
        <v>2.5414811162740403</v>
      </c>
      <c r="BR69" s="18">
        <f t="shared" si="163"/>
        <v>2.4134560411610115</v>
      </c>
      <c r="BS69" s="18">
        <f t="shared" si="163"/>
        <v>4.2280821676977913</v>
      </c>
      <c r="BT69" s="18">
        <f t="shared" si="163"/>
        <v>4.974907163712456</v>
      </c>
      <c r="BV69" s="68">
        <f t="shared" si="129"/>
        <v>59.842694255624707</v>
      </c>
      <c r="BW69" s="69">
        <f t="shared" si="130"/>
        <v>67.834945612559721</v>
      </c>
      <c r="BX69" s="69">
        <f t="shared" si="131"/>
        <v>127.67763986818443</v>
      </c>
      <c r="BZ69" t="str">
        <f t="shared" si="146"/>
        <v>91 Elementary trades and related occupations</v>
      </c>
      <c r="CA69" s="18">
        <f t="shared" si="164"/>
        <v>5.4634230303568296</v>
      </c>
      <c r="CB69" s="18">
        <f t="shared" si="164"/>
        <v>5.3290961158807226</v>
      </c>
      <c r="CC69" s="18">
        <f t="shared" si="164"/>
        <v>5.0047301998909495</v>
      </c>
      <c r="CD69" s="18">
        <f t="shared" si="164"/>
        <v>8.5350163234865786</v>
      </c>
      <c r="CE69" s="18">
        <f t="shared" si="164"/>
        <v>12.022336057919885</v>
      </c>
      <c r="CG69" s="68">
        <f t="shared" si="133"/>
        <v>32.674912883306973</v>
      </c>
      <c r="CH69" s="69">
        <f t="shared" si="134"/>
        <v>60.691972891435242</v>
      </c>
      <c r="CI69" s="69">
        <f t="shared" si="135"/>
        <v>93.366885774742215</v>
      </c>
      <c r="CK69" t="str">
        <f t="shared" si="147"/>
        <v>91 Elementary trades and related occupations</v>
      </c>
      <c r="CL69" s="18">
        <f t="shared" si="165"/>
        <v>7.1891830427877323</v>
      </c>
      <c r="CM69" s="18">
        <f t="shared" si="165"/>
        <v>6.9709840149550244</v>
      </c>
      <c r="CN69" s="18">
        <f t="shared" si="165"/>
        <v>6.8359810972042885</v>
      </c>
      <c r="CO69" s="18">
        <f t="shared" si="165"/>
        <v>11.738105031507287</v>
      </c>
      <c r="CP69" s="18">
        <f t="shared" si="165"/>
        <v>12.796014751207569</v>
      </c>
      <c r="CR69" s="68">
        <f t="shared" si="137"/>
        <v>26.699418293953208</v>
      </c>
      <c r="CS69" s="69">
        <f t="shared" si="138"/>
        <v>48.338923729224213</v>
      </c>
      <c r="CT69" s="69">
        <f t="shared" si="139"/>
        <v>75.038342023177435</v>
      </c>
    </row>
    <row r="70" spans="1:98" x14ac:dyDescent="0.2">
      <c r="A70" t="str">
        <f t="shared" si="103"/>
        <v>92 Elementary administration and service occupations</v>
      </c>
      <c r="B70" s="18">
        <f t="shared" si="157"/>
        <v>0.53675618144898163</v>
      </c>
      <c r="C70" s="18">
        <f t="shared" si="157"/>
        <v>0.53153273424070002</v>
      </c>
      <c r="D70" s="18">
        <f t="shared" si="157"/>
        <v>0.48524083026269754</v>
      </c>
      <c r="E70" s="18">
        <f t="shared" si="157"/>
        <v>0.47262413600486636</v>
      </c>
      <c r="F70" s="18">
        <f t="shared" si="157"/>
        <v>0.52439021582928358</v>
      </c>
      <c r="H70" s="68">
        <f t="shared" si="105"/>
        <v>69.72982925273395</v>
      </c>
      <c r="I70" s="69">
        <f t="shared" si="106"/>
        <v>67.521232672868251</v>
      </c>
      <c r="J70" s="69">
        <f t="shared" si="107"/>
        <v>137.25106192560219</v>
      </c>
      <c r="L70" t="str">
        <f t="shared" ref="L70" si="166">A70</f>
        <v>92 Elementary administration and service occupations</v>
      </c>
      <c r="M70" s="18">
        <f t="shared" si="158"/>
        <v>1.9958737553541981</v>
      </c>
      <c r="N70" s="18">
        <f t="shared" si="158"/>
        <v>1.9671035579682032</v>
      </c>
      <c r="O70" s="18">
        <f t="shared" si="158"/>
        <v>1.795453069477047</v>
      </c>
      <c r="P70" s="18">
        <f t="shared" si="158"/>
        <v>1.8290559419804113</v>
      </c>
      <c r="Q70" s="18">
        <f t="shared" si="158"/>
        <v>2.0361797937996542</v>
      </c>
      <c r="S70" s="68">
        <f t="shared" si="109"/>
        <v>79.68343533562448</v>
      </c>
      <c r="T70" s="69">
        <f t="shared" si="110"/>
        <v>70.745958513914744</v>
      </c>
      <c r="U70" s="69">
        <f t="shared" si="111"/>
        <v>150.4293938495392</v>
      </c>
      <c r="W70" t="str">
        <f t="shared" ref="W70" si="167">A70</f>
        <v>92 Elementary administration and service occupations</v>
      </c>
      <c r="X70" s="18">
        <f t="shared" si="159"/>
        <v>3.7623440159247061</v>
      </c>
      <c r="Y70" s="18">
        <f t="shared" si="159"/>
        <v>3.9846090754731058</v>
      </c>
      <c r="Z70" s="18">
        <f t="shared" si="159"/>
        <v>3.6447747084736517</v>
      </c>
      <c r="AA70" s="18">
        <f t="shared" si="159"/>
        <v>3.5888751591698949</v>
      </c>
      <c r="AB70" s="18">
        <f t="shared" si="159"/>
        <v>3.8624469348103285</v>
      </c>
      <c r="AD70" s="68">
        <f t="shared" si="113"/>
        <v>41.685372091856152</v>
      </c>
      <c r="AE70" s="69">
        <f t="shared" si="114"/>
        <v>72.171086859614633</v>
      </c>
      <c r="AF70" s="69">
        <f t="shared" si="115"/>
        <v>113.85645895147078</v>
      </c>
      <c r="AH70" t="str">
        <f t="shared" ref="AH70" si="168">L70</f>
        <v>92 Elementary administration and service occupations</v>
      </c>
      <c r="AI70" s="18">
        <f t="shared" si="160"/>
        <v>5.2727974144864094</v>
      </c>
      <c r="AJ70" s="18">
        <f t="shared" si="160"/>
        <v>6.0308667605663882</v>
      </c>
      <c r="AK70" s="18">
        <f t="shared" si="160"/>
        <v>5.8635271900501058</v>
      </c>
      <c r="AL70" s="18">
        <f t="shared" si="160"/>
        <v>5.9769388631158469</v>
      </c>
      <c r="AM70" s="18">
        <f t="shared" si="160"/>
        <v>6.7764378227232607</v>
      </c>
      <c r="AO70" s="68">
        <f t="shared" si="117"/>
        <v>35.842369810538564</v>
      </c>
      <c r="AP70" s="69">
        <f t="shared" si="118"/>
        <v>65.916352310908053</v>
      </c>
      <c r="AQ70" s="69">
        <f t="shared" si="119"/>
        <v>101.75872212144661</v>
      </c>
      <c r="AS70" t="str">
        <f t="shared" ref="AS70" si="169">W70</f>
        <v>92 Elementary administration and service occupations</v>
      </c>
      <c r="AT70" s="18">
        <f t="shared" si="161"/>
        <v>5.3034859366685696</v>
      </c>
      <c r="AU70" s="18">
        <f t="shared" si="161"/>
        <v>5.6749108865540032</v>
      </c>
      <c r="AV70" s="18">
        <f t="shared" si="161"/>
        <v>5.311596572687173</v>
      </c>
      <c r="AW70" s="18">
        <f t="shared" si="161"/>
        <v>4.9855338147471544</v>
      </c>
      <c r="AX70" s="18">
        <f t="shared" si="161"/>
        <v>5.2778130309226503</v>
      </c>
      <c r="AZ70" s="68">
        <f t="shared" si="121"/>
        <v>25.084733897124906</v>
      </c>
      <c r="BA70" s="69">
        <f t="shared" si="122"/>
        <v>62.055593154238011</v>
      </c>
      <c r="BB70" s="69">
        <f t="shared" si="123"/>
        <v>87.140327051362917</v>
      </c>
      <c r="BD70" t="str">
        <f t="shared" ref="BD70" si="170">AH70</f>
        <v>92 Elementary administration and service occupations</v>
      </c>
      <c r="BE70" s="18">
        <f t="shared" si="162"/>
        <v>8.3888262798921325</v>
      </c>
      <c r="BF70" s="18">
        <f t="shared" si="162"/>
        <v>7.870306388707748</v>
      </c>
      <c r="BG70" s="18">
        <f t="shared" si="162"/>
        <v>7.4238358317761</v>
      </c>
      <c r="BH70" s="18">
        <f t="shared" si="162"/>
        <v>6.2337932939089633</v>
      </c>
      <c r="BI70" s="18">
        <f t="shared" si="162"/>
        <v>5.9283239717252103</v>
      </c>
      <c r="BK70" s="68">
        <f t="shared" si="125"/>
        <v>-14.89128336722578</v>
      </c>
      <c r="BL70" s="69">
        <f t="shared" si="126"/>
        <v>39.677126081444705</v>
      </c>
      <c r="BM70" s="69">
        <f t="shared" si="127"/>
        <v>24.785842714218923</v>
      </c>
      <c r="BO70" t="str">
        <f t="shared" ref="BO70" si="171">AS70</f>
        <v>92 Elementary administration and service occupations</v>
      </c>
      <c r="BP70" s="18">
        <f t="shared" si="163"/>
        <v>13.374227286652621</v>
      </c>
      <c r="BQ70" s="18">
        <f t="shared" si="163"/>
        <v>13.781550546724</v>
      </c>
      <c r="BR70" s="18">
        <f t="shared" si="163"/>
        <v>12.997995737274346</v>
      </c>
      <c r="BS70" s="18">
        <f t="shared" si="163"/>
        <v>12.374720806234143</v>
      </c>
      <c r="BT70" s="18">
        <f t="shared" si="163"/>
        <v>13.03338723177044</v>
      </c>
      <c r="BV70" s="68">
        <f t="shared" si="129"/>
        <v>-22.245038285840504</v>
      </c>
      <c r="BW70" s="69">
        <f t="shared" si="130"/>
        <v>40.428273539611553</v>
      </c>
      <c r="BX70" s="69">
        <f t="shared" si="131"/>
        <v>18.183235253771048</v>
      </c>
      <c r="BZ70" t="str">
        <f t="shared" ref="BZ70" si="172">BD70</f>
        <v>92 Elementary administration and service occupations</v>
      </c>
      <c r="CA70" s="18">
        <f t="shared" si="164"/>
        <v>17.985377279228508</v>
      </c>
      <c r="CB70" s="18">
        <f t="shared" si="164"/>
        <v>18.602941708728562</v>
      </c>
      <c r="CC70" s="18">
        <f t="shared" si="164"/>
        <v>17.938811696783468</v>
      </c>
      <c r="CD70" s="18">
        <f t="shared" si="164"/>
        <v>17.427329209838213</v>
      </c>
      <c r="CE70" s="18">
        <f t="shared" si="164"/>
        <v>17.43522880408241</v>
      </c>
      <c r="CG70" s="68">
        <f t="shared" si="133"/>
        <v>-46.319741619739958</v>
      </c>
      <c r="CH70" s="69">
        <f t="shared" si="134"/>
        <v>30.067853402838026</v>
      </c>
      <c r="CI70" s="69">
        <f t="shared" si="135"/>
        <v>-16.251888216901936</v>
      </c>
      <c r="CK70" t="str">
        <f t="shared" ref="CK70" si="173">BO70</f>
        <v>92 Elementary administration and service occupations</v>
      </c>
      <c r="CL70" s="18">
        <f t="shared" si="165"/>
        <v>22.908678678472185</v>
      </c>
      <c r="CM70" s="18">
        <f t="shared" si="165"/>
        <v>19.996933091488799</v>
      </c>
      <c r="CN70" s="18">
        <f t="shared" si="165"/>
        <v>17.656065951932128</v>
      </c>
      <c r="CO70" s="18">
        <f t="shared" si="165"/>
        <v>12.566686285373036</v>
      </c>
      <c r="CP70" s="18">
        <f t="shared" si="165"/>
        <v>10.652160597685608</v>
      </c>
      <c r="CR70" s="68">
        <f t="shared" si="137"/>
        <v>-59.163876828094033</v>
      </c>
      <c r="CS70" s="69">
        <f t="shared" si="138"/>
        <v>17.296460242475987</v>
      </c>
      <c r="CT70" s="69">
        <f t="shared" si="139"/>
        <v>-41.867416585618045</v>
      </c>
    </row>
    <row r="71" spans="1:98" x14ac:dyDescent="0.2">
      <c r="B71" s="18"/>
      <c r="C71" s="18"/>
      <c r="D71" s="18"/>
      <c r="E71" s="18"/>
      <c r="F71" s="18"/>
      <c r="H71" s="68"/>
      <c r="I71" s="69"/>
      <c r="J71" s="69"/>
      <c r="M71" s="18"/>
      <c r="N71" s="18"/>
      <c r="O71" s="18"/>
      <c r="P71" s="18"/>
      <c r="Q71" s="18"/>
      <c r="S71" s="68"/>
      <c r="T71" s="69"/>
      <c r="U71" s="69"/>
      <c r="X71" s="18"/>
      <c r="Y71" s="18"/>
      <c r="Z71" s="18"/>
      <c r="AA71" s="18"/>
      <c r="AB71" s="18"/>
      <c r="AD71" s="68"/>
      <c r="AE71" s="69"/>
      <c r="AF71" s="69"/>
      <c r="AI71" s="18"/>
      <c r="AJ71" s="18"/>
      <c r="AK71" s="18"/>
      <c r="AL71" s="18"/>
      <c r="AM71" s="18"/>
      <c r="AO71" s="68"/>
      <c r="AP71" s="69"/>
      <c r="AQ71" s="69"/>
      <c r="AT71" s="18"/>
      <c r="AU71" s="18"/>
      <c r="AV71" s="18"/>
      <c r="AW71" s="18"/>
      <c r="AX71" s="18"/>
      <c r="AZ71" s="68"/>
      <c r="BA71" s="69"/>
      <c r="BB71" s="69"/>
      <c r="BE71" s="18"/>
      <c r="BF71" s="18"/>
      <c r="BG71" s="18"/>
      <c r="BH71" s="18"/>
      <c r="BI71" s="18"/>
      <c r="BK71" s="68"/>
      <c r="BL71" s="69"/>
      <c r="BM71" s="69"/>
      <c r="BP71" s="18"/>
      <c r="BQ71" s="18"/>
      <c r="BR71" s="18"/>
      <c r="BS71" s="18"/>
      <c r="BT71" s="18"/>
      <c r="BV71" s="68"/>
      <c r="BW71" s="69"/>
      <c r="BX71" s="69"/>
      <c r="CA71" s="18"/>
      <c r="CB71" s="18"/>
      <c r="CC71" s="18"/>
      <c r="CD71" s="18"/>
      <c r="CE71" s="18"/>
      <c r="CG71" s="68"/>
      <c r="CH71" s="69"/>
      <c r="CI71" s="69"/>
      <c r="CL71" s="18"/>
      <c r="CM71" s="18"/>
      <c r="CN71" s="18"/>
      <c r="CO71" s="18"/>
      <c r="CP71" s="18"/>
      <c r="CR71" s="68"/>
      <c r="CS71" s="69"/>
      <c r="CT71" s="69"/>
    </row>
    <row r="72" spans="1:98" x14ac:dyDescent="0.2">
      <c r="A72" s="24" t="str">
        <f>A35</f>
        <v>All occupations</v>
      </c>
      <c r="B72" s="26">
        <f>B35/B$35*100</f>
        <v>100</v>
      </c>
      <c r="C72" s="26">
        <f>C35/C$35*100</f>
        <v>100</v>
      </c>
      <c r="D72" s="26">
        <f>D35/D$35*100</f>
        <v>100</v>
      </c>
      <c r="E72" s="26">
        <f>E35/E$35*100</f>
        <v>100</v>
      </c>
      <c r="F72" s="26">
        <f>F35/F$35*100</f>
        <v>100</v>
      </c>
      <c r="H72" s="70">
        <f t="shared" ref="H72" si="174">IF(D35&gt;0,(H35/D35)*100,0)</f>
        <v>57.058314172961119</v>
      </c>
      <c r="I72" s="67">
        <f>IF(D35&gt;0,I35/D35*100,0)</f>
        <v>58.809836256174421</v>
      </c>
      <c r="J72" s="67">
        <f t="shared" ref="J72" si="175">IF(D35&gt;0,(J35/D35)*100,0)</f>
        <v>115.86815042913557</v>
      </c>
      <c r="L72" s="24" t="str">
        <f>L35</f>
        <v>All occupations</v>
      </c>
      <c r="M72" s="26">
        <f>M35/M$35*100</f>
        <v>100</v>
      </c>
      <c r="N72" s="26">
        <f>N35/N$35*100</f>
        <v>100</v>
      </c>
      <c r="O72" s="26">
        <f>O35/O$35*100</f>
        <v>100</v>
      </c>
      <c r="P72" s="26">
        <f>P35/P$35*100</f>
        <v>100</v>
      </c>
      <c r="Q72" s="26">
        <f>Q35/Q$35*100</f>
        <v>100</v>
      </c>
      <c r="S72" s="70">
        <f t="shared" ref="S72" si="176">IF(O35&gt;0,(S35/O35)*100,0)</f>
        <v>58.440416946437047</v>
      </c>
      <c r="T72" s="67">
        <f t="shared" ref="T72" si="177">IF(O35&gt;0,T35/O35*100,0)</f>
        <v>61.292831619934837</v>
      </c>
      <c r="U72" s="67">
        <f t="shared" ref="U72" si="178">IF(O35&gt;0,(U35/O35)*100,0)</f>
        <v>119.73324856637188</v>
      </c>
      <c r="W72" s="24" t="str">
        <f>W35</f>
        <v>All occupations</v>
      </c>
      <c r="X72" s="26">
        <f>X35/X$35*100</f>
        <v>100</v>
      </c>
      <c r="Y72" s="26">
        <f>Y35/Y$35*100</f>
        <v>100</v>
      </c>
      <c r="Z72" s="26">
        <f>Z35/Z$35*100</f>
        <v>100</v>
      </c>
      <c r="AA72" s="26">
        <f>AA35/AA$35*100</f>
        <v>100</v>
      </c>
      <c r="AB72" s="26">
        <f>AB35/AB$35*100</f>
        <v>100</v>
      </c>
      <c r="AD72" s="70">
        <f t="shared" ref="AD72" si="179">IF(Z35&gt;0,(AD35/Z35)*100,0)</f>
        <v>33.70054514067651</v>
      </c>
      <c r="AE72" s="67">
        <f t="shared" ref="AE72" si="180">IF(Z35&gt;0,AE35/Z35*100,0)</f>
        <v>64.731493911611707</v>
      </c>
      <c r="AF72" s="67">
        <f t="shared" ref="AF72" si="181">IF(Z35&gt;0,(AF35/Z35)*100,0)</f>
        <v>98.432039052288218</v>
      </c>
      <c r="AH72" s="24" t="str">
        <f>AH35</f>
        <v>All occupations</v>
      </c>
      <c r="AI72" s="26">
        <f>AI35/AI$35*100</f>
        <v>100</v>
      </c>
      <c r="AJ72" s="26">
        <f>AJ35/AJ$35*100</f>
        <v>100</v>
      </c>
      <c r="AK72" s="26">
        <f>AK35/AK$35*100</f>
        <v>100</v>
      </c>
      <c r="AL72" s="26">
        <f>AL35/AL$35*100</f>
        <v>100</v>
      </c>
      <c r="AM72" s="26">
        <f>AM35/AM$35*100</f>
        <v>100</v>
      </c>
      <c r="AO72" s="70">
        <f t="shared" ref="AO72" si="182">IF(AK35&gt;0,(AO35/AK35)*100,0)</f>
        <v>17.541907678101765</v>
      </c>
      <c r="AP72" s="67">
        <f t="shared" ref="AP72" si="183">IF(AK35&gt;0,AP35/AK35*100,0)</f>
        <v>57.853834932797618</v>
      </c>
      <c r="AQ72" s="67">
        <f t="shared" ref="AQ72" si="184">IF(AK35&gt;0,(AQ35/AK35)*100,0)</f>
        <v>75.39574261089939</v>
      </c>
      <c r="AS72" s="24" t="str">
        <f>AS35</f>
        <v>All occupations</v>
      </c>
      <c r="AT72" s="26">
        <f>AT35/AT$35*100</f>
        <v>100</v>
      </c>
      <c r="AU72" s="26">
        <f>AU35/AU$35*100</f>
        <v>100</v>
      </c>
      <c r="AV72" s="26">
        <f>AV35/AV$35*100</f>
        <v>100</v>
      </c>
      <c r="AW72" s="26">
        <f>AW35/AW$35*100</f>
        <v>100</v>
      </c>
      <c r="AX72" s="26">
        <f>AX35/AX$35*100</f>
        <v>100</v>
      </c>
      <c r="AZ72" s="70">
        <f t="shared" ref="AZ72" si="185">IF(AV35&gt;0,(AZ35/AV35)*100,0)</f>
        <v>25.885407453948311</v>
      </c>
      <c r="BA72" s="67">
        <f t="shared" ref="BA72" si="186">IF(AV35&gt;0,BA35/AV35*100,0)</f>
        <v>57.900819314507814</v>
      </c>
      <c r="BB72" s="67">
        <f t="shared" ref="BB72" si="187">IF(AV35&gt;0,(BB35/AV35)*100,0)</f>
        <v>83.786226768456132</v>
      </c>
      <c r="BD72" s="24" t="str">
        <f>BD35</f>
        <v>All occupations</v>
      </c>
      <c r="BE72" s="26">
        <f>BE35/BE$35*100</f>
        <v>100</v>
      </c>
      <c r="BF72" s="26">
        <f>BF35/BF$35*100</f>
        <v>100</v>
      </c>
      <c r="BG72" s="26">
        <f>BG35/BG$35*100</f>
        <v>100</v>
      </c>
      <c r="BH72" s="26">
        <f>BH35/BH$35*100</f>
        <v>100</v>
      </c>
      <c r="BI72" s="26">
        <f>BI35/BI$35*100</f>
        <v>100</v>
      </c>
      <c r="BK72" s="70">
        <f t="shared" ref="BK72" si="188">IF(BG35&gt;0,(BK35/BG35)*100,0)</f>
        <v>6.5787131655352384</v>
      </c>
      <c r="BL72" s="67">
        <f t="shared" ref="BL72" si="189">IF(BG35&gt;0,BL35/BG35*100,0)</f>
        <v>46.341586700016556</v>
      </c>
      <c r="BM72" s="67">
        <f t="shared" ref="BM72" si="190">IF(BG35&gt;0,(BM35/BG35)*100,0)</f>
        <v>52.92029986555179</v>
      </c>
      <c r="BO72" s="24" t="str">
        <f>BO35</f>
        <v>All occupations</v>
      </c>
      <c r="BP72" s="26">
        <f>BP35/BP$35*100</f>
        <v>100</v>
      </c>
      <c r="BQ72" s="26">
        <f>BQ35/BQ$35*100</f>
        <v>100</v>
      </c>
      <c r="BR72" s="26">
        <f>BR35/BR$35*100</f>
        <v>100</v>
      </c>
      <c r="BS72" s="26">
        <f>BS35/BS$35*100</f>
        <v>100</v>
      </c>
      <c r="BT72" s="26">
        <f>BT35/BT$35*100</f>
        <v>100</v>
      </c>
      <c r="BV72" s="70">
        <f t="shared" ref="BV72" si="191">IF(BR35&gt;0,(BV35/BR35)*100,0)</f>
        <v>-22.456177896028919</v>
      </c>
      <c r="BW72" s="67">
        <f t="shared" ref="BW72" si="192">IF(BR35&gt;0,BW35/BR35*100,0)</f>
        <v>40.841892717814275</v>
      </c>
      <c r="BX72" s="67">
        <f t="shared" ref="BX72" si="193">IF(BR35&gt;0,(BX35/BR35)*100,0)</f>
        <v>18.385714821785356</v>
      </c>
      <c r="BZ72" s="24" t="str">
        <f>BZ35</f>
        <v>All occupations</v>
      </c>
      <c r="CA72" s="26">
        <f>CA35/CA$35*100</f>
        <v>100</v>
      </c>
      <c r="CB72" s="26">
        <f>CB35/CB$35*100</f>
        <v>100</v>
      </c>
      <c r="CC72" s="26">
        <f>CC35/CC$35*100</f>
        <v>100</v>
      </c>
      <c r="CD72" s="26">
        <f>CD35/CD$35*100</f>
        <v>100</v>
      </c>
      <c r="CE72" s="26">
        <f>CE35/CE$35*100</f>
        <v>100</v>
      </c>
      <c r="CG72" s="70">
        <f t="shared" ref="CG72" si="194">IF(CC35&gt;0,(CG35/CC35)*100,0)</f>
        <v>-44.769291086521712</v>
      </c>
      <c r="CH72" s="67">
        <f t="shared" ref="CH72" si="195">IF(CC35&gt;0,CH35/CC35*100,0)</f>
        <v>31.324727725819844</v>
      </c>
      <c r="CI72" s="67">
        <f t="shared" ref="CI72" si="196">IF(CC35&gt;0,(CI35/CC35)*100,0)</f>
        <v>-13.444563360701869</v>
      </c>
      <c r="CK72" s="24" t="str">
        <f>CK35</f>
        <v>All occupations</v>
      </c>
      <c r="CL72" s="26">
        <f>CL35/CL$35*100</f>
        <v>100</v>
      </c>
      <c r="CM72" s="26">
        <f>CM35/CM$35*100</f>
        <v>100</v>
      </c>
      <c r="CN72" s="26">
        <f>CN35/CN$35*100</f>
        <v>100</v>
      </c>
      <c r="CO72" s="26">
        <f>CO35/CO$35*100</f>
        <v>100</v>
      </c>
      <c r="CP72" s="26">
        <f>CP35/CP$35*100</f>
        <v>100</v>
      </c>
      <c r="CR72" s="70">
        <f t="shared" ref="CR72" si="197">IF(CN35&gt;0,(CR35/CN35)*100,0)</f>
        <v>-32.313705061764828</v>
      </c>
      <c r="CS72" s="67">
        <f t="shared" ref="CS72" si="198">IF(CN35&gt;0,CS35/CN35*100,0)</f>
        <v>28.313760644640034</v>
      </c>
      <c r="CT72" s="67">
        <f t="shared" ref="CT72" si="199">IF(CN35&gt;0,(CT35/CN35)*100,0)</f>
        <v>-3.9999444171247953</v>
      </c>
    </row>
    <row r="75" spans="1:98" ht="51" customHeight="1" x14ac:dyDescent="0.2">
      <c r="A75" s="381" t="str">
        <f>CONCATENATE(A$1," (Continued)")</f>
        <v>Basic Table 2  Employment Change by Occupation and Replacement Demand, RQF8 Doctorate, 2015-2035, Greater Lincolnshire (Continued)</v>
      </c>
      <c r="B75" s="381"/>
      <c r="C75" s="381"/>
      <c r="D75" s="381"/>
      <c r="E75" s="381"/>
      <c r="F75" s="381"/>
      <c r="G75" s="381"/>
      <c r="H75" s="381"/>
      <c r="I75" s="381"/>
      <c r="J75" s="381"/>
      <c r="L75" s="381" t="str">
        <f>CONCATENATE(L$1," (Continued)")</f>
        <v>Basic Table 2.1  Employment Change by Occupation and Replacement Demand, RQF7 Other higher degree, 2015-2035, Greater Lincolnshire (Continued)</v>
      </c>
      <c r="M75" s="381"/>
      <c r="N75" s="381"/>
      <c r="O75" s="381"/>
      <c r="P75" s="381"/>
      <c r="Q75" s="381"/>
      <c r="R75" s="381"/>
      <c r="S75" s="381"/>
      <c r="T75" s="381"/>
      <c r="U75" s="381"/>
      <c r="W75" s="381" t="str">
        <f>CONCATENATE(W$1," (Continued)")</f>
        <v>Basic Table 2.2  Employment Change by Occupation and Replacement Demand, RQF6 First degree, 2015-2035, Greater Lincolnshire (Continued)</v>
      </c>
      <c r="X75" s="381"/>
      <c r="Y75" s="381"/>
      <c r="Z75" s="381"/>
      <c r="AA75" s="381"/>
      <c r="AB75" s="381"/>
      <c r="AC75" s="381"/>
      <c r="AD75" s="381"/>
      <c r="AE75" s="381"/>
      <c r="AF75" s="381"/>
      <c r="AH75" s="381" t="str">
        <f>CONCATENATE(AH$1," (Continued)")</f>
        <v>Basic Table 2.3  Employment Change by Occupation and Replacement Demand, RQF5 Foundation degree;Nursing;Teaching, 2015-2035, Greater Lincolnshire (Continued)</v>
      </c>
      <c r="AI75" s="381"/>
      <c r="AJ75" s="381"/>
      <c r="AK75" s="381"/>
      <c r="AL75" s="381"/>
      <c r="AM75" s="381"/>
      <c r="AN75" s="381"/>
      <c r="AO75" s="381"/>
      <c r="AP75" s="381"/>
      <c r="AQ75" s="381"/>
      <c r="AS75" s="381" t="str">
        <f>CONCATENATE(AS$1," (Continued)")</f>
        <v>Basic Table 2.4  Employment Change by Occupation and Replacement Demand, RQF4 HE below degree level, 2015-2035, Greater Lincolnshire (Continued)</v>
      </c>
      <c r="AT75" s="381"/>
      <c r="AU75" s="381"/>
      <c r="AV75" s="381"/>
      <c r="AW75" s="381"/>
      <c r="AX75" s="381"/>
      <c r="AY75" s="381"/>
      <c r="AZ75" s="381"/>
      <c r="BA75" s="381"/>
      <c r="BB75" s="381"/>
      <c r="BD75" s="381" t="str">
        <f>CONCATENATE(BD$1," (Continued)")</f>
        <v>Basic Table 2.5  Employment Change by Occupation and Replacement Demand, RQF3 A level &amp; equivalent, 2015-2035, Greater Lincolnshire (Continued)</v>
      </c>
      <c r="BE75" s="381"/>
      <c r="BF75" s="381"/>
      <c r="BG75" s="381"/>
      <c r="BH75" s="381"/>
      <c r="BI75" s="381"/>
      <c r="BJ75" s="381"/>
      <c r="BK75" s="381"/>
      <c r="BL75" s="381"/>
      <c r="BM75" s="381"/>
      <c r="BO75" s="381" t="str">
        <f>CONCATENATE(BO$1," (Continued)")</f>
        <v>Basic Table 2.6  Employment Change by Occupation and Replacement Demand, RQF2 GCSE(A-C) &amp; equivalent, 2015-2035, Greater Lincolnshire (Continued)</v>
      </c>
      <c r="BP75" s="381"/>
      <c r="BQ75" s="381"/>
      <c r="BR75" s="381"/>
      <c r="BS75" s="381"/>
      <c r="BT75" s="381"/>
      <c r="BU75" s="381"/>
      <c r="BV75" s="381"/>
      <c r="BW75" s="381"/>
      <c r="BX75" s="381"/>
      <c r="BZ75" s="381" t="str">
        <f>CONCATENATE(BZ$1," (Continued)")</f>
        <v>Basic Table 2.7  Employment Change by Occupation and Replacement Demand, RQF1 GCSE(below grade C) &amp; equivalent, 2015-2035, Greater Lincolnshire (Continued)</v>
      </c>
      <c r="CA75" s="381"/>
      <c r="CB75" s="381"/>
      <c r="CC75" s="381"/>
      <c r="CD75" s="381"/>
      <c r="CE75" s="381"/>
      <c r="CF75" s="381"/>
      <c r="CG75" s="381"/>
      <c r="CH75" s="381"/>
      <c r="CI75" s="381"/>
      <c r="CK75" s="381" t="str">
        <f>CONCATENATE(CK$1," (Continued)")</f>
        <v>Basic Table 2.8  Employment Change by Occupation and Replacement Demand, No Qualification, 2015-2035, Greater Lincolnshire (Continued)</v>
      </c>
      <c r="CL75" s="381"/>
      <c r="CM75" s="381"/>
      <c r="CN75" s="381"/>
      <c r="CO75" s="381"/>
      <c r="CP75" s="381"/>
      <c r="CQ75" s="381"/>
      <c r="CR75" s="381"/>
      <c r="CS75" s="381"/>
      <c r="CT75" s="381"/>
    </row>
    <row r="77" spans="1:98" x14ac:dyDescent="0.2">
      <c r="F77" s="16" t="s">
        <v>38</v>
      </c>
      <c r="J77" s="16" t="s">
        <v>38</v>
      </c>
      <c r="Q77" s="16" t="s">
        <v>38</v>
      </c>
      <c r="U77" s="16" t="s">
        <v>38</v>
      </c>
      <c r="AB77" s="16" t="s">
        <v>38</v>
      </c>
      <c r="AF77" s="16" t="s">
        <v>38</v>
      </c>
      <c r="AM77" s="16" t="s">
        <v>38</v>
      </c>
      <c r="AQ77" s="16" t="s">
        <v>38</v>
      </c>
      <c r="AX77" s="16" t="s">
        <v>38</v>
      </c>
      <c r="BB77" s="16" t="s">
        <v>38</v>
      </c>
      <c r="BI77" s="16" t="s">
        <v>38</v>
      </c>
      <c r="BM77" s="16" t="s">
        <v>38</v>
      </c>
      <c r="BT77" s="16" t="s">
        <v>38</v>
      </c>
      <c r="BX77" s="16" t="s">
        <v>38</v>
      </c>
      <c r="CE77" s="16" t="s">
        <v>38</v>
      </c>
      <c r="CI77" s="16" t="s">
        <v>38</v>
      </c>
      <c r="CP77" s="16" t="s">
        <v>38</v>
      </c>
      <c r="CT77" s="16" t="s">
        <v>38</v>
      </c>
    </row>
    <row r="78" spans="1:98" x14ac:dyDescent="0.2">
      <c r="A78" s="36"/>
      <c r="B78" s="36"/>
      <c r="C78" s="36"/>
      <c r="D78" s="36"/>
      <c r="E78" s="36"/>
      <c r="F78" s="36"/>
      <c r="H78" s="28" t="str">
        <f>$H$4</f>
        <v>2020-2035</v>
      </c>
      <c r="I78" s="36"/>
      <c r="J78" s="36"/>
      <c r="L78" s="36"/>
      <c r="M78" s="36"/>
      <c r="N78" s="36"/>
      <c r="O78" s="36"/>
      <c r="P78" s="36"/>
      <c r="Q78" s="36"/>
      <c r="S78" s="28" t="str">
        <f>$H$4</f>
        <v>2020-2035</v>
      </c>
      <c r="T78" s="36"/>
      <c r="U78" s="36"/>
      <c r="W78" s="36"/>
      <c r="X78" s="36"/>
      <c r="Y78" s="36"/>
      <c r="Z78" s="36"/>
      <c r="AA78" s="36"/>
      <c r="AB78" s="36"/>
      <c r="AD78" s="28" t="str">
        <f>$H$4</f>
        <v>2020-2035</v>
      </c>
      <c r="AE78" s="36"/>
      <c r="AF78" s="36"/>
      <c r="AH78" s="36"/>
      <c r="AI78" s="36"/>
      <c r="AJ78" s="36"/>
      <c r="AK78" s="36"/>
      <c r="AL78" s="36"/>
      <c r="AM78" s="36"/>
      <c r="AO78" s="28" t="str">
        <f>$H$4</f>
        <v>2020-2035</v>
      </c>
      <c r="AP78" s="36"/>
      <c r="AQ78" s="36"/>
      <c r="AS78" s="36"/>
      <c r="AT78" s="36"/>
      <c r="AU78" s="36"/>
      <c r="AV78" s="36"/>
      <c r="AW78" s="36"/>
      <c r="AX78" s="36"/>
      <c r="AZ78" s="28" t="str">
        <f>$H$4</f>
        <v>2020-2035</v>
      </c>
      <c r="BA78" s="36"/>
      <c r="BB78" s="36"/>
      <c r="BD78" s="36"/>
      <c r="BE78" s="36"/>
      <c r="BF78" s="36"/>
      <c r="BG78" s="36"/>
      <c r="BH78" s="36"/>
      <c r="BI78" s="36"/>
      <c r="BK78" s="28" t="str">
        <f>$H$4</f>
        <v>2020-2035</v>
      </c>
      <c r="BL78" s="36"/>
      <c r="BM78" s="36"/>
      <c r="BO78" s="36"/>
      <c r="BP78" s="36"/>
      <c r="BQ78" s="36"/>
      <c r="BR78" s="36"/>
      <c r="BS78" s="36"/>
      <c r="BT78" s="36"/>
      <c r="BV78" s="28" t="str">
        <f>$H$4</f>
        <v>2020-2035</v>
      </c>
      <c r="BW78" s="36"/>
      <c r="BX78" s="36"/>
      <c r="BZ78" s="36"/>
      <c r="CA78" s="36"/>
      <c r="CB78" s="36"/>
      <c r="CC78" s="36"/>
      <c r="CD78" s="36"/>
      <c r="CE78" s="36"/>
      <c r="CG78" s="28" t="str">
        <f>$H$4</f>
        <v>2020-2035</v>
      </c>
      <c r="CH78" s="36"/>
      <c r="CI78" s="36"/>
      <c r="CK78" s="36"/>
      <c r="CL78" s="36"/>
      <c r="CM78" s="36"/>
      <c r="CN78" s="36"/>
      <c r="CO78" s="36"/>
      <c r="CP78" s="36"/>
      <c r="CR78" s="28" t="str">
        <f>$H$4</f>
        <v>2020-2035</v>
      </c>
      <c r="CS78" s="36"/>
      <c r="CT78" s="36"/>
    </row>
    <row r="79" spans="1:98" x14ac:dyDescent="0.2">
      <c r="H79" s="16" t="str">
        <f t="shared" ref="H79:J80" si="200">H42</f>
        <v>Net</v>
      </c>
      <c r="I79" s="16" t="str">
        <f t="shared" si="200"/>
        <v>Replacement</v>
      </c>
      <c r="J79" s="16" t="str">
        <f t="shared" si="200"/>
        <v>Total</v>
      </c>
      <c r="S79" s="16" t="str">
        <f t="shared" ref="S79:U80" si="201">S42</f>
        <v>Net</v>
      </c>
      <c r="T79" s="16" t="str">
        <f t="shared" si="201"/>
        <v>Replacement</v>
      </c>
      <c r="U79" s="16" t="str">
        <f t="shared" si="201"/>
        <v>Total</v>
      </c>
      <c r="AD79" s="16" t="str">
        <f t="shared" ref="AD79:AF80" si="202">AD42</f>
        <v>Net</v>
      </c>
      <c r="AE79" s="16" t="str">
        <f t="shared" si="202"/>
        <v>Replacement</v>
      </c>
      <c r="AF79" s="16" t="str">
        <f t="shared" si="202"/>
        <v>Total</v>
      </c>
      <c r="AO79" s="16" t="str">
        <f t="shared" ref="AO79:AQ80" si="203">AO42</f>
        <v>Net</v>
      </c>
      <c r="AP79" s="16" t="str">
        <f t="shared" si="203"/>
        <v>Replacement</v>
      </c>
      <c r="AQ79" s="16" t="str">
        <f t="shared" si="203"/>
        <v>Total</v>
      </c>
      <c r="AZ79" s="16" t="str">
        <f t="shared" ref="AZ79:BB80" si="204">AZ42</f>
        <v>Net</v>
      </c>
      <c r="BA79" s="16" t="str">
        <f t="shared" si="204"/>
        <v>Replacement</v>
      </c>
      <c r="BB79" s="16" t="str">
        <f t="shared" si="204"/>
        <v>Total</v>
      </c>
      <c r="BK79" s="16" t="str">
        <f t="shared" ref="BK79:BM80" si="205">BK42</f>
        <v>Net</v>
      </c>
      <c r="BL79" s="16" t="str">
        <f t="shared" si="205"/>
        <v>Replacement</v>
      </c>
      <c r="BM79" s="16" t="str">
        <f t="shared" si="205"/>
        <v>Total</v>
      </c>
      <c r="BV79" s="16" t="str">
        <f t="shared" ref="BV79:BX80" si="206">BV42</f>
        <v>Net</v>
      </c>
      <c r="BW79" s="16" t="str">
        <f t="shared" si="206"/>
        <v>Replacement</v>
      </c>
      <c r="BX79" s="16" t="str">
        <f t="shared" si="206"/>
        <v>Total</v>
      </c>
      <c r="CG79" s="16" t="str">
        <f t="shared" ref="CG79:CI80" si="207">CG42</f>
        <v>Net</v>
      </c>
      <c r="CH79" s="16" t="str">
        <f t="shared" si="207"/>
        <v>Replacement</v>
      </c>
      <c r="CI79" s="16" t="str">
        <f t="shared" si="207"/>
        <v>Total</v>
      </c>
      <c r="CR79" s="16" t="str">
        <f t="shared" ref="CR79:CT80" si="208">CR42</f>
        <v>Net</v>
      </c>
      <c r="CS79" s="16" t="str">
        <f t="shared" si="208"/>
        <v>Replacement</v>
      </c>
      <c r="CT79" s="16" t="str">
        <f t="shared" si="208"/>
        <v>Total</v>
      </c>
    </row>
    <row r="80" spans="1:98" x14ac:dyDescent="0.2">
      <c r="A80" s="41" t="s">
        <v>39</v>
      </c>
      <c r="B80" s="64" t="str">
        <f>CONCATENATE(B$6,"-",C$6)</f>
        <v>2015-2019</v>
      </c>
      <c r="C80" s="64" t="str">
        <f>CONCATENATE(C$6,"-",D$6)</f>
        <v>2019-2020</v>
      </c>
      <c r="D80" s="64" t="str">
        <f>CONCATENATE(D$6,"-",E$6)</f>
        <v>2020-2025</v>
      </c>
      <c r="E80" s="64" t="str">
        <f>CONCATENATE(E$6,"-",F$6)</f>
        <v>2025-2035</v>
      </c>
      <c r="F80" s="64" t="str">
        <f>CONCATENATE(C$6,"-",F$6)</f>
        <v>2019-2035</v>
      </c>
      <c r="H80" s="63" t="str">
        <f t="shared" si="200"/>
        <v>Change</v>
      </c>
      <c r="I80" s="63" t="str">
        <f t="shared" si="200"/>
        <v>Demand</v>
      </c>
      <c r="J80" s="63" t="str">
        <f t="shared" si="200"/>
        <v>Requirement</v>
      </c>
      <c r="L80" s="41" t="s">
        <v>39</v>
      </c>
      <c r="M80" s="64" t="str">
        <f>CONCATENATE(M$6,"-",N$6)</f>
        <v>2015-2019</v>
      </c>
      <c r="N80" s="64" t="str">
        <f>CONCATENATE(N$6,"-",O$6)</f>
        <v>2019-2020</v>
      </c>
      <c r="O80" s="64" t="str">
        <f>CONCATENATE(O$6,"-",P$6)</f>
        <v>2020-2025</v>
      </c>
      <c r="P80" s="64" t="str">
        <f>CONCATENATE(P$6,"-",Q$6)</f>
        <v>2025-2035</v>
      </c>
      <c r="Q80" s="64" t="str">
        <f>CONCATENATE(N$6,"-",Q$6)</f>
        <v>2019-2035</v>
      </c>
      <c r="S80" s="63" t="str">
        <f t="shared" si="201"/>
        <v>Change</v>
      </c>
      <c r="T80" s="63" t="str">
        <f t="shared" si="201"/>
        <v>Demand</v>
      </c>
      <c r="U80" s="63" t="str">
        <f t="shared" si="201"/>
        <v>Requirement</v>
      </c>
      <c r="W80" s="41" t="s">
        <v>39</v>
      </c>
      <c r="X80" s="64" t="str">
        <f>CONCATENATE(X$6,"-",Y$6)</f>
        <v>2015-2019</v>
      </c>
      <c r="Y80" s="64" t="str">
        <f>CONCATENATE(Y$6,"-",Z$6)</f>
        <v>2019-2020</v>
      </c>
      <c r="Z80" s="64" t="str">
        <f>CONCATENATE(Z$6,"-",AA$6)</f>
        <v>2020-2025</v>
      </c>
      <c r="AA80" s="64" t="str">
        <f>CONCATENATE(AA$6,"-",AB$6)</f>
        <v>2025-2035</v>
      </c>
      <c r="AB80" s="64" t="str">
        <f>CONCATENATE(Y$6,"-",AB$6)</f>
        <v>2019-2035</v>
      </c>
      <c r="AD80" s="63" t="str">
        <f t="shared" si="202"/>
        <v>Change</v>
      </c>
      <c r="AE80" s="63" t="str">
        <f t="shared" si="202"/>
        <v>Demand</v>
      </c>
      <c r="AF80" s="63" t="str">
        <f t="shared" si="202"/>
        <v>Requirement</v>
      </c>
      <c r="AH80" s="41" t="s">
        <v>39</v>
      </c>
      <c r="AI80" s="64" t="str">
        <f>CONCATENATE(AI$6,"-",AJ$6)</f>
        <v>2015-2019</v>
      </c>
      <c r="AJ80" s="64" t="str">
        <f>CONCATENATE(AJ$6,"-",AK$6)</f>
        <v>2019-2020</v>
      </c>
      <c r="AK80" s="64" t="str">
        <f>CONCATENATE(AK$6,"-",AL$6)</f>
        <v>2020-2025</v>
      </c>
      <c r="AL80" s="64" t="str">
        <f>CONCATENATE(AL$6,"-",AM$6)</f>
        <v>2025-2035</v>
      </c>
      <c r="AM80" s="64" t="str">
        <f>CONCATENATE(AJ$6,"-",AM$6)</f>
        <v>2019-2035</v>
      </c>
      <c r="AO80" s="63" t="str">
        <f t="shared" si="203"/>
        <v>Change</v>
      </c>
      <c r="AP80" s="63" t="str">
        <f t="shared" si="203"/>
        <v>Demand</v>
      </c>
      <c r="AQ80" s="63" t="str">
        <f t="shared" si="203"/>
        <v>Requirement</v>
      </c>
      <c r="AS80" s="41" t="s">
        <v>39</v>
      </c>
      <c r="AT80" s="64" t="str">
        <f>CONCATENATE(AT$6,"-",AU$6)</f>
        <v>2015-2019</v>
      </c>
      <c r="AU80" s="64" t="str">
        <f>CONCATENATE(AU$6,"-",AV$6)</f>
        <v>2019-2020</v>
      </c>
      <c r="AV80" s="64" t="str">
        <f>CONCATENATE(AV$6,"-",AW$6)</f>
        <v>2020-2025</v>
      </c>
      <c r="AW80" s="64" t="str">
        <f>CONCATENATE(AW$6,"-",AX$6)</f>
        <v>2025-2035</v>
      </c>
      <c r="AX80" s="64" t="str">
        <f>CONCATENATE(AU$6,"-",AX$6)</f>
        <v>2019-2035</v>
      </c>
      <c r="AZ80" s="63" t="str">
        <f t="shared" si="204"/>
        <v>Change</v>
      </c>
      <c r="BA80" s="63" t="str">
        <f t="shared" si="204"/>
        <v>Demand</v>
      </c>
      <c r="BB80" s="63" t="str">
        <f t="shared" si="204"/>
        <v>Requirement</v>
      </c>
      <c r="BD80" s="41" t="s">
        <v>39</v>
      </c>
      <c r="BE80" s="64" t="str">
        <f>CONCATENATE(BE$6,"-",BF$6)</f>
        <v>2015-2019</v>
      </c>
      <c r="BF80" s="64" t="str">
        <f>CONCATENATE(BF$6,"-",BG$6)</f>
        <v>2019-2020</v>
      </c>
      <c r="BG80" s="64" t="str">
        <f>CONCATENATE(BG$6,"-",BH$6)</f>
        <v>2020-2025</v>
      </c>
      <c r="BH80" s="64" t="str">
        <f>CONCATENATE(BH$6,"-",BI$6)</f>
        <v>2025-2035</v>
      </c>
      <c r="BI80" s="64" t="str">
        <f>CONCATENATE(BF$6,"-",BI$6)</f>
        <v>2019-2035</v>
      </c>
      <c r="BK80" s="63" t="str">
        <f t="shared" si="205"/>
        <v>Change</v>
      </c>
      <c r="BL80" s="63" t="str">
        <f t="shared" si="205"/>
        <v>Demand</v>
      </c>
      <c r="BM80" s="63" t="str">
        <f t="shared" si="205"/>
        <v>Requirement</v>
      </c>
      <c r="BO80" s="41" t="s">
        <v>39</v>
      </c>
      <c r="BP80" s="64" t="str">
        <f>CONCATENATE(BP$6,"-",BQ$6)</f>
        <v>2015-2019</v>
      </c>
      <c r="BQ80" s="64" t="str">
        <f>CONCATENATE(BQ$6,"-",BR$6)</f>
        <v>2019-2020</v>
      </c>
      <c r="BR80" s="64" t="str">
        <f>CONCATENATE(BR$6,"-",BS$6)</f>
        <v>2020-2025</v>
      </c>
      <c r="BS80" s="64" t="str">
        <f>CONCATENATE(BS$6,"-",BT$6)</f>
        <v>2025-2035</v>
      </c>
      <c r="BT80" s="64" t="str">
        <f>CONCATENATE(BQ$6,"-",BT$6)</f>
        <v>2019-2035</v>
      </c>
      <c r="BV80" s="63" t="str">
        <f t="shared" si="206"/>
        <v>Change</v>
      </c>
      <c r="BW80" s="63" t="str">
        <f t="shared" si="206"/>
        <v>Demand</v>
      </c>
      <c r="BX80" s="63" t="str">
        <f t="shared" si="206"/>
        <v>Requirement</v>
      </c>
      <c r="BZ80" s="41" t="s">
        <v>39</v>
      </c>
      <c r="CA80" s="64" t="str">
        <f>CONCATENATE(CA$6,"-",CB$6)</f>
        <v>2015-2019</v>
      </c>
      <c r="CB80" s="64" t="str">
        <f>CONCATENATE(CB$6,"-",CC$6)</f>
        <v>2019-2020</v>
      </c>
      <c r="CC80" s="64" t="str">
        <f>CONCATENATE(CC$6,"-",CD$6)</f>
        <v>2020-2025</v>
      </c>
      <c r="CD80" s="64" t="str">
        <f>CONCATENATE(CD$6,"-",CE$6)</f>
        <v>2025-2035</v>
      </c>
      <c r="CE80" s="64" t="str">
        <f>CONCATENATE(CB$6,"-",CE$6)</f>
        <v>2019-2035</v>
      </c>
      <c r="CG80" s="63" t="str">
        <f t="shared" si="207"/>
        <v>Change</v>
      </c>
      <c r="CH80" s="63" t="str">
        <f t="shared" si="207"/>
        <v>Demand</v>
      </c>
      <c r="CI80" s="63" t="str">
        <f t="shared" si="207"/>
        <v>Requirement</v>
      </c>
      <c r="CK80" s="41" t="s">
        <v>39</v>
      </c>
      <c r="CL80" s="64" t="str">
        <f>CONCATENATE(CL$6,"-",CM$6)</f>
        <v>2015-2019</v>
      </c>
      <c r="CM80" s="64" t="str">
        <f>CONCATENATE(CM$6,"-",CN$6)</f>
        <v>2019-2020</v>
      </c>
      <c r="CN80" s="64" t="str">
        <f>CONCATENATE(CN$6,"-",CO$6)</f>
        <v>2020-2025</v>
      </c>
      <c r="CO80" s="64" t="str">
        <f>CONCATENATE(CO$6,"-",CP$6)</f>
        <v>2025-2035</v>
      </c>
      <c r="CP80" s="64" t="str">
        <f>CONCATENATE(CM$6,"-",CP$6)</f>
        <v>2019-2035</v>
      </c>
      <c r="CR80" s="63" t="str">
        <f t="shared" si="208"/>
        <v>Change</v>
      </c>
      <c r="CS80" s="63" t="str">
        <f t="shared" si="208"/>
        <v>Demand</v>
      </c>
      <c r="CT80" s="63" t="str">
        <f t="shared" si="208"/>
        <v>Requirement</v>
      </c>
    </row>
    <row r="82" spans="1:98" x14ac:dyDescent="0.2">
      <c r="A82" t="str">
        <f t="shared" ref="A82:A107" si="209">A8</f>
        <v>11 Corporate managers and directors</v>
      </c>
      <c r="B82" s="18">
        <f t="shared" ref="B82:E107" si="210">IF(AND(C$6-B$6 &lt;&gt; 0,B8&lt;&gt;0,C8&lt;&gt;0),(EXP(LN(C8/B8)/(C$6-B$6))-1)*100,0)</f>
        <v>6.7423275894311185</v>
      </c>
      <c r="C82" s="18">
        <f t="shared" si="210"/>
        <v>1.7521342280123475</v>
      </c>
      <c r="D82" s="18">
        <f t="shared" si="210"/>
        <v>1.7004275959778381</v>
      </c>
      <c r="E82" s="18">
        <f t="shared" si="210"/>
        <v>2.8608713627187976</v>
      </c>
      <c r="F82" s="18">
        <f t="shared" ref="F82:F107" si="211">IF(AND(F$6-C$6 &lt;&gt; 0,C8&lt;&gt;0,F8&lt;&gt;0),(EXP(LN(F8/C8)/(F$6-C$6))-1)*100,0)</f>
        <v>2.4274152010860028</v>
      </c>
      <c r="H82" s="18">
        <f t="shared" ref="H82:H107" si="212">IF($F$6-$D$6 &lt;&gt; 0,(EXP(LN(1+(H45/100))/($F$6-$D$6))-1)*100,0)</f>
        <v>2.4725929476723696</v>
      </c>
      <c r="I82" s="18">
        <f t="shared" ref="I82:I107" si="213">IF(D8&gt;0,((1+(I8/D8))^(1/($F$6-$D$6))-1)*100,0)</f>
        <v>3.1956732037902835</v>
      </c>
      <c r="J82" s="18">
        <f t="shared" ref="J82:J107" si="214">IF($F$6-$D$6 &lt;&gt; 0,(EXP(LN(1+(J45/100))/($F$6-$D$6))-1)*100,0)</f>
        <v>4.8864493323779845</v>
      </c>
      <c r="L82" t="str">
        <f>A82</f>
        <v>11 Corporate managers and directors</v>
      </c>
      <c r="M82" s="18">
        <f t="shared" ref="M82:P107" si="215">IF(AND(N$6-M$6 &lt;&gt; 0,M8&lt;&gt;0,N8&lt;&gt;0),(EXP(LN(N8/M8)/(N$6-M$6))-1)*100,0)</f>
        <v>9.4970179429532564</v>
      </c>
      <c r="N82" s="18">
        <f t="shared" si="215"/>
        <v>-6.7569980244223338</v>
      </c>
      <c r="O82" s="18">
        <f t="shared" si="215"/>
        <v>1.1759398196165227</v>
      </c>
      <c r="P82" s="18">
        <f t="shared" si="215"/>
        <v>2.6143915475244972</v>
      </c>
      <c r="Q82" s="18">
        <f t="shared" ref="Q82:Q107" si="216">IF(AND(Q$6-N$6 &lt;&gt; 0,N8&lt;&gt;0,Q8&lt;&gt;0),(EXP(LN(Q8/N8)/(Q$6-N$6))-1)*100,0)</f>
        <v>1.5530161701317935</v>
      </c>
      <c r="S82" s="18">
        <f t="shared" ref="S82:S107" si="217">IF($F$6-$D$6 &lt;&gt; 0,(EXP(LN(1+(S45/100))/($F$6-$D$6))-1)*100,0)</f>
        <v>2.1326495516737154</v>
      </c>
      <c r="T82" s="18">
        <f t="shared" ref="T82:T107" si="218">IF(O8&gt;0,((1+(T8/O8))^(1/($F$6-$D$6))-1)*100,0)</f>
        <v>3.0991274534631241</v>
      </c>
      <c r="U82" s="18">
        <f t="shared" ref="U82:U107" si="219">IF($F$6-$D$6 &lt;&gt; 0,(EXP(LN(1+(U45/100))/($F$6-$D$6))-1)*100,0)</f>
        <v>4.5634140746260154</v>
      </c>
      <c r="W82" t="str">
        <f>A82</f>
        <v>11 Corporate managers and directors</v>
      </c>
      <c r="X82" s="18">
        <f t="shared" ref="X82:AA107" si="220">IF(AND(Y$6-X$6 &lt;&gt; 0,X8&lt;&gt;0,Y8&lt;&gt;0),(EXP(LN(Y8/X8)/(Y$6-X$6))-1)*100,0)</f>
        <v>2.9353378584363599</v>
      </c>
      <c r="Y82" s="18">
        <f t="shared" si="220"/>
        <v>13.820323875559758</v>
      </c>
      <c r="Z82" s="18">
        <f t="shared" si="220"/>
        <v>-1.0646136375292659</v>
      </c>
      <c r="AA82" s="18">
        <f t="shared" si="220"/>
        <v>1.8299678478072234</v>
      </c>
      <c r="AB82" s="18">
        <f t="shared" ref="AB82:AB107" si="221">IF(AND(AB$6-Y$6 &lt;&gt; 0,Y8&lt;&gt;0,AB8&lt;&gt;0),(EXP(LN(AB8/Y8)/(AB$6-Y$6))-1)*100,0)</f>
        <v>1.6209813661340222</v>
      </c>
      <c r="AD82" s="18">
        <f t="shared" ref="AD82:AD107" si="222">IF($F$6-$D$6 &lt;&gt; 0,(EXP(LN(1+(AD45/100))/($F$6-$D$6))-1)*100,0)</f>
        <v>0.85581792632489773</v>
      </c>
      <c r="AE82" s="18">
        <f t="shared" ref="AE82:AE107" si="223">IF(Z8&gt;0,((1+(AE8/Z8))^(1/($F$6-$D$6))-1)*100,0)</f>
        <v>3.1161662343566654</v>
      </c>
      <c r="AF82" s="18">
        <f t="shared" ref="AF82:AF107" si="224">IF($F$6-$D$6 &lt;&gt; 0,(EXP(LN(1+(AF45/100))/($F$6-$D$6))-1)*100,0)</f>
        <v>3.6852213220278207</v>
      </c>
      <c r="AH82" t="str">
        <f>L82</f>
        <v>11 Corporate managers and directors</v>
      </c>
      <c r="AI82" s="18">
        <f t="shared" ref="AI82:AL107" si="225">IF(AND(AJ$6-AI$6 &lt;&gt; 0,AI8&lt;&gt;0,AJ8&lt;&gt;0),(EXP(LN(AJ8/AI8)/(AJ$6-AI$6))-1)*100,0)</f>
        <v>1.8705847095601413</v>
      </c>
      <c r="AJ82" s="18">
        <f t="shared" si="225"/>
        <v>12.178205762118033</v>
      </c>
      <c r="AK82" s="18">
        <f t="shared" si="225"/>
        <v>-2.0375554831239095</v>
      </c>
      <c r="AL82" s="18">
        <f t="shared" si="225"/>
        <v>1.1346172379302244</v>
      </c>
      <c r="AM82" s="18">
        <f t="shared" ref="AM82:AM107" si="226">IF(AND(AM$6-AJ$6 &lt;&gt; 0,AJ8&lt;&gt;0,AM8&lt;&gt;0),(EXP(LN(AM8/AJ8)/(AM$6-AJ$6))-1)*100,0)</f>
        <v>0.78312184117139694</v>
      </c>
      <c r="AO82" s="18">
        <f t="shared" ref="AO82:AO107" si="227">IF($F$6-$D$6 &lt;&gt; 0,(EXP(LN(1+(AO45/100))/($F$6-$D$6))-1)*100,0)</f>
        <v>6.5974243763200491E-2</v>
      </c>
      <c r="AP82" s="18">
        <f t="shared" ref="AP82:AP107" si="228">IF(AK8&gt;0,((1+(AP8/AK8))^(1/($F$6-$D$6))-1)*100,0)</f>
        <v>2.7693872857264212</v>
      </c>
      <c r="AQ82" s="18">
        <f t="shared" ref="AQ82:AQ107" si="229">IF($F$6-$D$6 &lt;&gt; 0,(EXP(LN(1+(AQ45/100))/($F$6-$D$6))-1)*100,0)</f>
        <v>2.8144642346259907</v>
      </c>
      <c r="AS82" t="str">
        <f>W82</f>
        <v>11 Corporate managers and directors</v>
      </c>
      <c r="AT82" s="18">
        <f t="shared" ref="AT82:AW107" si="230">IF(AND(AU$6-AT$6 &lt;&gt; 0,AT8&lt;&gt;0,AU8&lt;&gt;0),(EXP(LN(AU8/AT8)/(AU$6-AT$6))-1)*100,0)</f>
        <v>0.69207909646864518</v>
      </c>
      <c r="AU82" s="18">
        <f t="shared" si="230"/>
        <v>20.143270183738249</v>
      </c>
      <c r="AV82" s="18">
        <f t="shared" si="230"/>
        <v>-2.7040390937555836</v>
      </c>
      <c r="AW82" s="18">
        <f t="shared" si="230"/>
        <v>1.330113313776593</v>
      </c>
      <c r="AX82" s="18">
        <f t="shared" ref="AX82:AX107" si="231">IF(AND(AX$6-AU$6 &lt;&gt; 0,AU8&lt;&gt;0,AX8&lt;&gt;0),(EXP(LN(AX8/AU8)/(AX$6-AU$6))-1)*100,0)</f>
        <v>1.1224130210386374</v>
      </c>
      <c r="AZ82" s="18">
        <f t="shared" ref="AZ82:AZ107" si="232">IF($F$6-$D$6 &lt;&gt; 0,(EXP(LN(1+(AZ45/100))/($F$6-$D$6))-1)*100,0)</f>
        <v>-3.2854932917847357E-2</v>
      </c>
      <c r="BA82" s="18">
        <f t="shared" ref="BA82:BA107" si="233">IF(AV8&gt;0,((1+(BA8/AV8))^(1/($F$6-$D$6))-1)*100,0)</f>
        <v>2.6880331941009139</v>
      </c>
      <c r="BB82" s="18">
        <f t="shared" ref="BB82:BB107" si="234">IF($F$6-$D$6 &lt;&gt; 0,(EXP(LN(1+(BB45/100))/($F$6-$D$6))-1)*100,0)</f>
        <v>2.6653870295033855</v>
      </c>
      <c r="BD82" t="str">
        <f>AH82</f>
        <v>11 Corporate managers and directors</v>
      </c>
      <c r="BE82" s="18">
        <f t="shared" ref="BE82:BH107" si="235">IF(AND(BF$6-BE$6 &lt;&gt; 0,BE8&lt;&gt;0,BF8&lt;&gt;0),(EXP(LN(BF8/BE8)/(BF$6-BE$6))-1)*100,0)</f>
        <v>6.0969160673207012</v>
      </c>
      <c r="BF82" s="18">
        <f t="shared" si="235"/>
        <v>0.81714948749593841</v>
      </c>
      <c r="BG82" s="18">
        <f t="shared" si="235"/>
        <v>-2.645042456050517</v>
      </c>
      <c r="BH82" s="18">
        <f t="shared" si="235"/>
        <v>0.8831839071969716</v>
      </c>
      <c r="BI82" s="18">
        <f t="shared" ref="BI82:BI107" si="236">IF(AND(BI$6-BF$6 &lt;&gt; 0,BF8&lt;&gt;0,BI8&lt;&gt;0),(EXP(LN(BI8/BF8)/(BI$6-BF$6))-1)*100,0)</f>
        <v>-0.23699184590071365</v>
      </c>
      <c r="BK82" s="18">
        <f t="shared" ref="BK82:BK107" si="237">IF($F$6-$D$6 &lt;&gt; 0,(EXP(LN(1+(BK45/100))/($F$6-$D$6))-1)*100,0)</f>
        <v>-0.30687475756794313</v>
      </c>
      <c r="BL82" s="18">
        <f t="shared" ref="BL82:BL107" si="238">IF(BG8&gt;0,((1+(BL8/BG8))^(1/($F$6-$D$6))-1)*100,0)</f>
        <v>2.3145884969568931</v>
      </c>
      <c r="BM82" s="18">
        <f t="shared" ref="BM82:BM107" si="239">IF($F$6-$D$6 &lt;&gt; 0,(EXP(LN(1+(BM45/100))/($F$6-$D$6))-1)*100,0)</f>
        <v>2.0932304259960732</v>
      </c>
      <c r="BO82" t="str">
        <f>AS82</f>
        <v>11 Corporate managers and directors</v>
      </c>
      <c r="BP82" s="18">
        <f t="shared" ref="BP82:BS107" si="240">IF(AND(BQ$6-BP$6 &lt;&gt; 0,BP8&lt;&gt;0,BQ8&lt;&gt;0),(EXP(LN(BQ8/BP8)/(BQ$6-BP$6))-1)*100,0)</f>
        <v>3.5249857793535178</v>
      </c>
      <c r="BQ82" s="18">
        <f t="shared" si="240"/>
        <v>-0.99672700850065299</v>
      </c>
      <c r="BR82" s="18">
        <f t="shared" si="240"/>
        <v>-5.4924151169244322</v>
      </c>
      <c r="BS82" s="18">
        <f t="shared" si="240"/>
        <v>-2.571000810719426</v>
      </c>
      <c r="BT82" s="18">
        <f t="shared" ref="BT82:BT107" si="241">IF(AND(BT$6-BQ$6 &lt;&gt; 0,BQ8&lt;&gt;0,BT8&lt;&gt;0),(EXP(LN(BT8/BQ8)/(BT$6-BQ$6))-1)*100,0)</f>
        <v>-3.3967848786434884</v>
      </c>
      <c r="BV82" s="18">
        <f t="shared" ref="BV82:BV107" si="242">IF($F$6-$D$6 &lt;&gt; 0,(EXP(LN(1+(BV45/100))/($F$6-$D$6))-1)*100,0)</f>
        <v>-3.5547042306435017</v>
      </c>
      <c r="BW82" s="18">
        <f t="shared" ref="BW82:BW107" si="243">IF(BR8&gt;0,((1+(BW8/BR8))^(1/($F$6-$D$6))-1)*100,0)</f>
        <v>1.9139691217487487</v>
      </c>
      <c r="BX82" s="18">
        <f t="shared" ref="BX82:BX107" si="244">IF($F$6-$D$6 &lt;&gt; 0,(EXP(LN(1+(BX45/100))/($F$6-$D$6))-1)*100,0)</f>
        <v>-0.62680836706285881</v>
      </c>
      <c r="BZ82" t="str">
        <f>BD82</f>
        <v>11 Corporate managers and directors</v>
      </c>
      <c r="CA82" s="18">
        <f t="shared" ref="CA82:CD107" si="245">IF(AND(CB$6-CA$6 &lt;&gt; 0,CA8&lt;&gt;0,CB8&lt;&gt;0),(EXP(LN(CB8/CA8)/(CB$6-CA$6))-1)*100,0)</f>
        <v>1.3487814094981454</v>
      </c>
      <c r="CB82" s="18">
        <f t="shared" si="245"/>
        <v>7.0450482813565696</v>
      </c>
      <c r="CC82" s="18">
        <f t="shared" si="245"/>
        <v>-4.4759676513822955</v>
      </c>
      <c r="CD82" s="18">
        <f t="shared" si="245"/>
        <v>-3.2140391724932993</v>
      </c>
      <c r="CE82" s="18">
        <f t="shared" ref="CE82:CE107" si="246">IF(AND(CE$6-CB$6 &lt;&gt; 0,CB8&lt;&gt;0,CE8&lt;&gt;0),(EXP(LN(CE8/CB8)/(CE$6-CB$6))-1)*100,0)</f>
        <v>-3.0013159841361325</v>
      </c>
      <c r="CG82" s="18">
        <f t="shared" ref="CG82:CG107" si="247">IF($F$6-$D$6 &lt;&gt; 0,(EXP(LN(1+(CG45/100))/($F$6-$D$6))-1)*100,0)</f>
        <v>-3.6365235190455869</v>
      </c>
      <c r="CH82" s="18">
        <f t="shared" ref="CH82:CH107" si="248">IF(CC8&gt;0,((1+(CH8/CC8))^(1/($F$6-$D$6))-1)*100,0)</f>
        <v>1.9391801848435586</v>
      </c>
      <c r="CI82" s="18">
        <f t="shared" ref="CI82:CI107" si="249">IF($F$6-$D$6 &lt;&gt; 0,(EXP(LN(1+(CI45/100))/($F$6-$D$6))-1)*100,0)</f>
        <v>-0.6443790108474623</v>
      </c>
      <c r="CK82" t="str">
        <f>BO82</f>
        <v>11 Corporate managers and directors</v>
      </c>
      <c r="CL82" s="18">
        <f t="shared" ref="CL82:CO107" si="250">IF(AND(CM$6-CL$6 &lt;&gt; 0,CL8&lt;&gt;0,CM8&lt;&gt;0),(EXP(LN(CM8/CL8)/(CM$6-CL$6))-1)*100,0)</f>
        <v>6.1509589017340716</v>
      </c>
      <c r="CM82" s="18">
        <f t="shared" si="250"/>
        <v>-14.461153648018655</v>
      </c>
      <c r="CN82" s="18">
        <f t="shared" si="250"/>
        <v>-0.64882518059269367</v>
      </c>
      <c r="CO82" s="18">
        <f t="shared" si="250"/>
        <v>-0.93776147899476969</v>
      </c>
      <c r="CP82" s="18">
        <f t="shared" ref="CP82:CP107" si="251">IF(AND(CP$6-CM$6 &lt;&gt; 0,CM8&lt;&gt;0,CP8&lt;&gt;0),(EXP(LN(CP8/CM8)/(CP$6-CM$6))-1)*100,0)</f>
        <v>-1.7529854078946583</v>
      </c>
      <c r="CR82" s="18">
        <f t="shared" ref="CR82:CR107" si="252">IF($F$6-$D$6 &lt;&gt; 0,(EXP(LN(1+(CR45/100))/($F$6-$D$6))-1)*100,0)</f>
        <v>-0.84154286639960274</v>
      </c>
      <c r="CS82" s="18">
        <f t="shared" ref="CS82:CS107" si="253">IF(CN8&gt;0,((1+(CS8/CN8))^(1/($F$6-$D$6))-1)*100,0)</f>
        <v>1.9446198859013553</v>
      </c>
      <c r="CT82" s="18">
        <f t="shared" ref="CT82:CT107" si="254">IF($F$6-$D$6 &lt;&gt; 0,(EXP(LN(1+(CT45/100))/($F$6-$D$6))-1)*100,0)</f>
        <v>1.3116989590163941</v>
      </c>
    </row>
    <row r="83" spans="1:98" x14ac:dyDescent="0.2">
      <c r="A83" t="str">
        <f t="shared" si="209"/>
        <v>12 Other managers and proprietors</v>
      </c>
      <c r="B83" s="18">
        <f t="shared" si="210"/>
        <v>7.1225772001592746</v>
      </c>
      <c r="C83" s="18">
        <f t="shared" si="210"/>
        <v>-11.513388456406393</v>
      </c>
      <c r="D83" s="18">
        <f t="shared" si="210"/>
        <v>4.7103519660805837</v>
      </c>
      <c r="E83" s="18">
        <f t="shared" si="210"/>
        <v>3.6065671605995275</v>
      </c>
      <c r="F83" s="18">
        <f t="shared" si="211"/>
        <v>2.930399061102551</v>
      </c>
      <c r="H83" s="18">
        <f t="shared" si="212"/>
        <v>3.9731965187779883</v>
      </c>
      <c r="I83" s="18">
        <f t="shared" si="213"/>
        <v>3.9664364153948695</v>
      </c>
      <c r="J83" s="18">
        <f t="shared" si="214"/>
        <v>6.539644040132897</v>
      </c>
      <c r="L83" t="str">
        <f t="shared" ref="L83:L106" si="255">A83</f>
        <v>12 Other managers and proprietors</v>
      </c>
      <c r="M83" s="18">
        <f t="shared" si="215"/>
        <v>8.2276048524488452</v>
      </c>
      <c r="N83" s="18">
        <f t="shared" si="215"/>
        <v>-7.5046507990626736</v>
      </c>
      <c r="O83" s="18">
        <f t="shared" si="215"/>
        <v>4.0383382407550794</v>
      </c>
      <c r="P83" s="18">
        <f t="shared" si="215"/>
        <v>3.710662303548129</v>
      </c>
      <c r="Q83" s="18">
        <f t="shared" si="216"/>
        <v>3.0730347295038429</v>
      </c>
      <c r="S83" s="18">
        <f t="shared" si="217"/>
        <v>3.8197727842473439</v>
      </c>
      <c r="T83" s="18">
        <f t="shared" si="218"/>
        <v>3.8050083757943165</v>
      </c>
      <c r="U83" s="18">
        <f t="shared" si="219"/>
        <v>6.3150265643099335</v>
      </c>
      <c r="W83" t="str">
        <f t="shared" ref="W83:W106" si="256">A83</f>
        <v>12 Other managers and proprietors</v>
      </c>
      <c r="X83" s="18">
        <f t="shared" si="220"/>
        <v>1.3688845138054795</v>
      </c>
      <c r="Y83" s="18">
        <f t="shared" si="220"/>
        <v>12.709490661533597</v>
      </c>
      <c r="Z83" s="18">
        <f t="shared" si="220"/>
        <v>1.8908162421814589</v>
      </c>
      <c r="AA83" s="18">
        <f t="shared" si="220"/>
        <v>2.4852293302269013</v>
      </c>
      <c r="AB83" s="18">
        <f t="shared" si="221"/>
        <v>2.9089220715590614</v>
      </c>
      <c r="AD83" s="18">
        <f t="shared" si="222"/>
        <v>2.2867073296875207</v>
      </c>
      <c r="AE83" s="18">
        <f t="shared" si="223"/>
        <v>3.6887284979837176</v>
      </c>
      <c r="AF83" s="18">
        <f t="shared" si="224"/>
        <v>5.1552188273768618</v>
      </c>
      <c r="AH83" t="str">
        <f t="shared" ref="AH83:AH106" si="257">L83</f>
        <v>12 Other managers and proprietors</v>
      </c>
      <c r="AI83" s="18">
        <f t="shared" si="225"/>
        <v>1.2335951672815204</v>
      </c>
      <c r="AJ83" s="18">
        <f t="shared" si="225"/>
        <v>15.337326849241538</v>
      </c>
      <c r="AK83" s="18">
        <f t="shared" si="225"/>
        <v>4.513332784390478E-2</v>
      </c>
      <c r="AL83" s="18">
        <f t="shared" si="225"/>
        <v>2.1521636285584567</v>
      </c>
      <c r="AM83" s="18">
        <f t="shared" si="226"/>
        <v>2.2619543594433855</v>
      </c>
      <c r="AO83" s="18">
        <f t="shared" si="227"/>
        <v>1.4449351507136887</v>
      </c>
      <c r="AP83" s="18">
        <f t="shared" si="228"/>
        <v>3.4224437024650944</v>
      </c>
      <c r="AQ83" s="18">
        <f t="shared" si="229"/>
        <v>4.3598486186901875</v>
      </c>
      <c r="AS83" t="str">
        <f t="shared" ref="AS83:AS106" si="258">W83</f>
        <v>12 Other managers and proprietors</v>
      </c>
      <c r="AT83" s="18">
        <f t="shared" si="230"/>
        <v>0.22796974339835963</v>
      </c>
      <c r="AU83" s="18">
        <f t="shared" si="230"/>
        <v>16.590268142668265</v>
      </c>
      <c r="AV83" s="18">
        <f t="shared" si="230"/>
        <v>1.4937979364106235</v>
      </c>
      <c r="AW83" s="18">
        <f t="shared" si="230"/>
        <v>2.0071772097005391</v>
      </c>
      <c r="AX83" s="18">
        <f t="shared" si="231"/>
        <v>2.7005915194647789</v>
      </c>
      <c r="AZ83" s="18">
        <f t="shared" si="232"/>
        <v>1.8357628995741004</v>
      </c>
      <c r="BA83" s="18">
        <f t="shared" si="233"/>
        <v>3.462859429125742</v>
      </c>
      <c r="BB83" s="18">
        <f t="shared" si="234"/>
        <v>4.6595453466640402</v>
      </c>
      <c r="BD83" t="str">
        <f t="shared" ref="BD83:BD106" si="259">AH83</f>
        <v>12 Other managers and proprietors</v>
      </c>
      <c r="BE83" s="18">
        <f t="shared" si="235"/>
        <v>2.0472444344670437</v>
      </c>
      <c r="BF83" s="18">
        <f t="shared" si="235"/>
        <v>8.2822324384274495</v>
      </c>
      <c r="BG83" s="18">
        <f t="shared" si="235"/>
        <v>0.1458338715457419</v>
      </c>
      <c r="BH83" s="18">
        <f t="shared" si="235"/>
        <v>1.1097178891867676</v>
      </c>
      <c r="BI83" s="18">
        <f t="shared" si="236"/>
        <v>1.2402395113232378</v>
      </c>
      <c r="BK83" s="18">
        <f t="shared" si="237"/>
        <v>0.78739680207045026</v>
      </c>
      <c r="BL83" s="18">
        <f t="shared" si="238"/>
        <v>2.5879689520813765</v>
      </c>
      <c r="BM83" s="18">
        <f t="shared" si="239"/>
        <v>3.1480665787047002</v>
      </c>
      <c r="BO83" t="str">
        <f t="shared" ref="BO83:BO106" si="260">AS83</f>
        <v>12 Other managers and proprietors</v>
      </c>
      <c r="BP83" s="18">
        <f t="shared" si="240"/>
        <v>2.8329152502063915</v>
      </c>
      <c r="BQ83" s="18">
        <f t="shared" si="240"/>
        <v>-1.9206981405560763</v>
      </c>
      <c r="BR83" s="18">
        <f t="shared" si="240"/>
        <v>-1.4348730757690276</v>
      </c>
      <c r="BS83" s="18">
        <f t="shared" si="240"/>
        <v>-1.2687720040925998</v>
      </c>
      <c r="BT83" s="18">
        <f t="shared" si="241"/>
        <v>-1.3615591732007548</v>
      </c>
      <c r="BV83" s="18">
        <f t="shared" si="242"/>
        <v>-1.3241701060516031</v>
      </c>
      <c r="BW83" s="18">
        <f t="shared" si="243"/>
        <v>2.6032931214904576</v>
      </c>
      <c r="BX83" s="18">
        <f t="shared" si="244"/>
        <v>1.7074561157442547</v>
      </c>
      <c r="BZ83" t="str">
        <f t="shared" ref="BZ83:BZ106" si="261">BD83</f>
        <v>12 Other managers and proprietors</v>
      </c>
      <c r="CA83" s="18">
        <f t="shared" si="245"/>
        <v>-1.4921847932124255</v>
      </c>
      <c r="CB83" s="18">
        <f t="shared" si="245"/>
        <v>6.2593059877877222</v>
      </c>
      <c r="CC83" s="18">
        <f t="shared" si="245"/>
        <v>-2.1501294556666606</v>
      </c>
      <c r="CD83" s="18">
        <f t="shared" si="245"/>
        <v>-3.6605456943389014</v>
      </c>
      <c r="CE83" s="18">
        <f t="shared" si="246"/>
        <v>-2.5962607247545177</v>
      </c>
      <c r="CG83" s="18">
        <f t="shared" si="247"/>
        <v>-3.1596820901481304</v>
      </c>
      <c r="CH83" s="18">
        <f t="shared" si="248"/>
        <v>2.1555408073383076</v>
      </c>
      <c r="CI83" s="18">
        <f t="shared" si="249"/>
        <v>-3.4903747062930979E-2</v>
      </c>
      <c r="CK83" t="str">
        <f t="shared" ref="CK83:CK106" si="262">BO83</f>
        <v>12 Other managers and proprietors</v>
      </c>
      <c r="CL83" s="18">
        <f t="shared" si="250"/>
        <v>3.4429180590806352</v>
      </c>
      <c r="CM83" s="18">
        <f t="shared" si="250"/>
        <v>-11.58534311547359</v>
      </c>
      <c r="CN83" s="18">
        <f t="shared" si="250"/>
        <v>3.5242863755033937</v>
      </c>
      <c r="CO83" s="18">
        <f t="shared" si="250"/>
        <v>0.967169617693453</v>
      </c>
      <c r="CP83" s="18">
        <f t="shared" si="251"/>
        <v>0.91856861918293564</v>
      </c>
      <c r="CR83" s="18">
        <f t="shared" si="252"/>
        <v>1.8124456485344886</v>
      </c>
      <c r="CS83" s="18">
        <f t="shared" si="253"/>
        <v>2.5544866714992231</v>
      </c>
      <c r="CT83" s="18">
        <f t="shared" si="254"/>
        <v>3.8764265502195139</v>
      </c>
    </row>
    <row r="84" spans="1:98" x14ac:dyDescent="0.2">
      <c r="A84" t="str">
        <f t="shared" si="209"/>
        <v>21 Science, research, engineering and technology professionals</v>
      </c>
      <c r="B84" s="18">
        <f t="shared" si="210"/>
        <v>8.2336552889009198</v>
      </c>
      <c r="C84" s="18">
        <f t="shared" si="210"/>
        <v>-2.4559016859175498</v>
      </c>
      <c r="D84" s="18">
        <f t="shared" si="210"/>
        <v>6.6239005566252285</v>
      </c>
      <c r="E84" s="18">
        <f t="shared" si="210"/>
        <v>2.9953599973423284</v>
      </c>
      <c r="F84" s="18">
        <f t="shared" si="211"/>
        <v>3.7625537253434649</v>
      </c>
      <c r="H84" s="18">
        <f t="shared" si="212"/>
        <v>4.1909413771481718</v>
      </c>
      <c r="I84" s="18">
        <f t="shared" si="213"/>
        <v>2.9867169921911296</v>
      </c>
      <c r="J84" s="18">
        <f t="shared" si="214"/>
        <v>6.0282001484745384</v>
      </c>
      <c r="L84" t="str">
        <f t="shared" si="255"/>
        <v>21 Science, research, engineering and technology professionals</v>
      </c>
      <c r="M84" s="18">
        <f t="shared" si="215"/>
        <v>8.2420021101920593</v>
      </c>
      <c r="N84" s="18">
        <f t="shared" si="215"/>
        <v>-1.4028669384311354</v>
      </c>
      <c r="O84" s="18">
        <f t="shared" si="215"/>
        <v>8.1028803114143741</v>
      </c>
      <c r="P84" s="18">
        <f t="shared" si="215"/>
        <v>3.2738160146166484</v>
      </c>
      <c r="Q84" s="18">
        <f t="shared" si="216"/>
        <v>4.4562796624287859</v>
      </c>
      <c r="S84" s="18">
        <f t="shared" si="217"/>
        <v>4.8590466654633957</v>
      </c>
      <c r="T84" s="18">
        <f t="shared" si="218"/>
        <v>3.3085538320734909</v>
      </c>
      <c r="U84" s="18">
        <f t="shared" si="219"/>
        <v>6.7580570118309646</v>
      </c>
      <c r="W84" t="str">
        <f t="shared" si="256"/>
        <v>21 Science, research, engineering and technology professionals</v>
      </c>
      <c r="X84" s="18">
        <f t="shared" si="220"/>
        <v>0.36852303201775349</v>
      </c>
      <c r="Y84" s="18">
        <f t="shared" si="220"/>
        <v>14.656790439670409</v>
      </c>
      <c r="Z84" s="18">
        <f t="shared" si="220"/>
        <v>3.7808451382256081</v>
      </c>
      <c r="AA84" s="18">
        <f t="shared" si="220"/>
        <v>1.3777055521989823</v>
      </c>
      <c r="AB84" s="18">
        <f t="shared" si="221"/>
        <v>2.9113199011921997</v>
      </c>
      <c r="AD84" s="18">
        <f t="shared" si="222"/>
        <v>2.1725045892937667</v>
      </c>
      <c r="AE84" s="18">
        <f t="shared" si="223"/>
        <v>2.68952494053043</v>
      </c>
      <c r="AF84" s="18">
        <f t="shared" si="224"/>
        <v>4.2590170610550704</v>
      </c>
      <c r="AH84" t="str">
        <f t="shared" si="257"/>
        <v>21 Science, research, engineering and technology professionals</v>
      </c>
      <c r="AI84" s="18">
        <f t="shared" si="225"/>
        <v>-0.36776633234236744</v>
      </c>
      <c r="AJ84" s="18">
        <f t="shared" si="225"/>
        <v>20.988162116381993</v>
      </c>
      <c r="AK84" s="18">
        <f t="shared" si="225"/>
        <v>3.622766595917426</v>
      </c>
      <c r="AL84" s="18">
        <f t="shared" si="225"/>
        <v>1.9146258006991212</v>
      </c>
      <c r="AM84" s="18">
        <f t="shared" si="226"/>
        <v>3.549736028288053</v>
      </c>
      <c r="AO84" s="18">
        <f t="shared" si="227"/>
        <v>2.4808543247160308</v>
      </c>
      <c r="AP84" s="18">
        <f t="shared" si="228"/>
        <v>2.7295278490743646</v>
      </c>
      <c r="AQ84" s="18">
        <f t="shared" si="229"/>
        <v>4.5240040878975485</v>
      </c>
      <c r="AS84" t="str">
        <f t="shared" si="258"/>
        <v>21 Science, research, engineering and technology professionals</v>
      </c>
      <c r="AT84" s="18">
        <f t="shared" si="230"/>
        <v>-2.0431437749920289</v>
      </c>
      <c r="AU84" s="18">
        <f t="shared" si="230"/>
        <v>23.073736846967876</v>
      </c>
      <c r="AV84" s="18">
        <f t="shared" si="230"/>
        <v>2.2537194083809275</v>
      </c>
      <c r="AW84" s="18">
        <f t="shared" si="230"/>
        <v>1.039320668140431</v>
      </c>
      <c r="AX84" s="18">
        <f t="shared" si="231"/>
        <v>2.6754395817595533</v>
      </c>
      <c r="AZ84" s="18">
        <f t="shared" si="232"/>
        <v>1.4425092196087341</v>
      </c>
      <c r="BA84" s="18">
        <f t="shared" si="233"/>
        <v>2.3028248412797714</v>
      </c>
      <c r="BB84" s="18">
        <f t="shared" si="234"/>
        <v>3.3811301741536015</v>
      </c>
      <c r="BD84" t="str">
        <f t="shared" si="259"/>
        <v>21 Science, research, engineering and technology professionals</v>
      </c>
      <c r="BE84" s="18">
        <f t="shared" si="235"/>
        <v>5.9301267591281848</v>
      </c>
      <c r="BF84" s="18">
        <f t="shared" si="235"/>
        <v>1.0908295341369945</v>
      </c>
      <c r="BG84" s="18">
        <f t="shared" si="235"/>
        <v>4.0674119024300515</v>
      </c>
      <c r="BH84" s="18">
        <f t="shared" si="235"/>
        <v>1.2285533968186213</v>
      </c>
      <c r="BI84" s="18">
        <f t="shared" si="236"/>
        <v>2.0985889073287023</v>
      </c>
      <c r="BK84" s="18">
        <f t="shared" si="237"/>
        <v>2.1661289613407853</v>
      </c>
      <c r="BL84" s="18">
        <f t="shared" si="238"/>
        <v>2.245986531210642</v>
      </c>
      <c r="BM84" s="18">
        <f t="shared" si="239"/>
        <v>3.89753713512202</v>
      </c>
      <c r="BO84" t="str">
        <f t="shared" si="260"/>
        <v>21 Science, research, engineering and technology professionals</v>
      </c>
      <c r="BP84" s="18">
        <f t="shared" si="240"/>
        <v>2.5270484013192096</v>
      </c>
      <c r="BQ84" s="18">
        <f t="shared" si="240"/>
        <v>2.1623048336226969</v>
      </c>
      <c r="BR84" s="18">
        <f t="shared" si="240"/>
        <v>1.5276099422628642</v>
      </c>
      <c r="BS84" s="18">
        <f t="shared" si="240"/>
        <v>-0.85130124079623171</v>
      </c>
      <c r="BT84" s="18">
        <f t="shared" si="241"/>
        <v>7.315805367049677E-2</v>
      </c>
      <c r="BV84" s="18">
        <f t="shared" si="242"/>
        <v>-6.4589648608115446E-2</v>
      </c>
      <c r="BW84" s="18">
        <f t="shared" si="243"/>
        <v>2.0201796317008691</v>
      </c>
      <c r="BX84" s="18">
        <f t="shared" si="244"/>
        <v>1.9714214402297481</v>
      </c>
      <c r="BZ84" t="str">
        <f t="shared" si="261"/>
        <v>21 Science, research, engineering and technology professionals</v>
      </c>
      <c r="CA84" s="18">
        <f t="shared" si="245"/>
        <v>1.2700858161793782</v>
      </c>
      <c r="CB84" s="18">
        <f t="shared" si="245"/>
        <v>6.7339167612735951</v>
      </c>
      <c r="CC84" s="18">
        <f t="shared" si="245"/>
        <v>0.51669841556463147</v>
      </c>
      <c r="CD84" s="18">
        <f t="shared" si="245"/>
        <v>-3.5718859707859263</v>
      </c>
      <c r="CE84" s="18">
        <f t="shared" si="246"/>
        <v>-1.6904652784979102</v>
      </c>
      <c r="CG84" s="18">
        <f t="shared" si="247"/>
        <v>-2.2278451468460636</v>
      </c>
      <c r="CH84" s="18">
        <f t="shared" si="248"/>
        <v>1.7620159132847979</v>
      </c>
      <c r="CI84" s="18">
        <f t="shared" si="249"/>
        <v>8.4529362069796221E-2</v>
      </c>
      <c r="CK84" t="str">
        <f t="shared" si="262"/>
        <v>21 Science, research, engineering and technology professionals</v>
      </c>
      <c r="CL84" s="18">
        <f t="shared" si="250"/>
        <v>5.9692820310751404</v>
      </c>
      <c r="CM84" s="18">
        <f t="shared" si="250"/>
        <v>-4.759952838770265</v>
      </c>
      <c r="CN84" s="18">
        <f t="shared" si="250"/>
        <v>9.0758690811870721</v>
      </c>
      <c r="CO84" s="18">
        <f t="shared" si="250"/>
        <v>-0.45396731838655002</v>
      </c>
      <c r="CP84" s="18">
        <f t="shared" si="251"/>
        <v>2.1483629452747177</v>
      </c>
      <c r="CR84" s="18">
        <f t="shared" si="252"/>
        <v>2.6263456891034043</v>
      </c>
      <c r="CS84" s="18">
        <f t="shared" si="253"/>
        <v>2.364529972110474</v>
      </c>
      <c r="CT84" s="18">
        <f t="shared" si="254"/>
        <v>4.3541460094698614</v>
      </c>
    </row>
    <row r="85" spans="1:98" x14ac:dyDescent="0.2">
      <c r="A85" t="str">
        <f t="shared" si="209"/>
        <v>22 Health professionals</v>
      </c>
      <c r="B85" s="18">
        <f t="shared" si="210"/>
        <v>9.5227065369367878</v>
      </c>
      <c r="C85" s="18">
        <f t="shared" si="210"/>
        <v>-9.0429593263186447</v>
      </c>
      <c r="D85" s="18">
        <f t="shared" si="210"/>
        <v>4.1109355499861167</v>
      </c>
      <c r="E85" s="18">
        <f t="shared" si="210"/>
        <v>2.4938057302060335</v>
      </c>
      <c r="F85" s="18">
        <f t="shared" si="211"/>
        <v>2.2305956693188245</v>
      </c>
      <c r="H85" s="18">
        <f t="shared" si="212"/>
        <v>3.0300386172861238</v>
      </c>
      <c r="I85" s="18">
        <f t="shared" si="213"/>
        <v>3.1866204161076217</v>
      </c>
      <c r="J85" s="18">
        <f t="shared" si="214"/>
        <v>5.2864584255950753</v>
      </c>
      <c r="L85" t="str">
        <f t="shared" si="255"/>
        <v>22 Health professionals</v>
      </c>
      <c r="M85" s="18">
        <f t="shared" si="215"/>
        <v>10.288966827060065</v>
      </c>
      <c r="N85" s="18">
        <f t="shared" si="215"/>
        <v>-12.647303625941831</v>
      </c>
      <c r="O85" s="18">
        <f t="shared" si="215"/>
        <v>2.1670724273291864</v>
      </c>
      <c r="P85" s="18">
        <f t="shared" si="215"/>
        <v>2.00511604515623</v>
      </c>
      <c r="Q85" s="18">
        <f t="shared" si="216"/>
        <v>1.071372362672518</v>
      </c>
      <c r="S85" s="18">
        <f t="shared" si="217"/>
        <v>2.0590729596461577</v>
      </c>
      <c r="T85" s="18">
        <f t="shared" si="218"/>
        <v>2.9619346480475706</v>
      </c>
      <c r="U85" s="18">
        <f t="shared" si="219"/>
        <v>4.3973443636565746</v>
      </c>
      <c r="W85" t="str">
        <f t="shared" si="256"/>
        <v>22 Health professionals</v>
      </c>
      <c r="X85" s="18">
        <f t="shared" si="220"/>
        <v>3.5997531219154499</v>
      </c>
      <c r="Y85" s="18">
        <f t="shared" si="220"/>
        <v>6.9978815600366007</v>
      </c>
      <c r="Z85" s="18">
        <f t="shared" si="220"/>
        <v>0.5292769127905439</v>
      </c>
      <c r="AA85" s="18">
        <f t="shared" si="220"/>
        <v>1.4642994706857371</v>
      </c>
      <c r="AB85" s="18">
        <f t="shared" si="221"/>
        <v>1.5075069691356635</v>
      </c>
      <c r="AD85" s="18">
        <f t="shared" si="222"/>
        <v>1.1516629640110354</v>
      </c>
      <c r="AE85" s="18">
        <f t="shared" si="223"/>
        <v>3.3283686090540776</v>
      </c>
      <c r="AF85" s="18">
        <f t="shared" si="224"/>
        <v>4.0789179685022825</v>
      </c>
      <c r="AH85" t="str">
        <f t="shared" si="257"/>
        <v>22 Health professionals</v>
      </c>
      <c r="AI85" s="18">
        <f t="shared" si="225"/>
        <v>-5.9769399603630031</v>
      </c>
      <c r="AJ85" s="18">
        <f t="shared" si="225"/>
        <v>-2.515129595185539</v>
      </c>
      <c r="AK85" s="18">
        <f t="shared" si="225"/>
        <v>-11.265127537675179</v>
      </c>
      <c r="AL85" s="18">
        <f t="shared" si="225"/>
        <v>-7.7916675171426313</v>
      </c>
      <c r="AM85" s="18">
        <f t="shared" si="226"/>
        <v>-8.5740652640268316</v>
      </c>
      <c r="AO85" s="18">
        <f t="shared" si="227"/>
        <v>-8.9643378760665406</v>
      </c>
      <c r="AP85" s="18">
        <f t="shared" si="228"/>
        <v>1.1832635833705751</v>
      </c>
      <c r="AQ85" s="18">
        <f t="shared" si="229"/>
        <v>-5.3633370065292008</v>
      </c>
      <c r="AS85" t="str">
        <f t="shared" si="258"/>
        <v>22 Health professionals</v>
      </c>
      <c r="AT85" s="18">
        <f t="shared" si="230"/>
        <v>4.2719199229354077</v>
      </c>
      <c r="AU85" s="18">
        <f t="shared" si="230"/>
        <v>15.928445602956675</v>
      </c>
      <c r="AV85" s="18">
        <f t="shared" si="230"/>
        <v>0.56853559444747237</v>
      </c>
      <c r="AW85" s="18">
        <f t="shared" si="230"/>
        <v>1.4821851495175675</v>
      </c>
      <c r="AX85" s="18">
        <f t="shared" si="231"/>
        <v>2.0410506328578215</v>
      </c>
      <c r="AZ85" s="18">
        <f t="shared" si="232"/>
        <v>1.176716739310546</v>
      </c>
      <c r="BA85" s="18">
        <f t="shared" si="233"/>
        <v>3.0387482640939822</v>
      </c>
      <c r="BB85" s="18">
        <f t="shared" si="234"/>
        <v>3.8351558181185741</v>
      </c>
      <c r="BD85" t="str">
        <f t="shared" si="259"/>
        <v>22 Health professionals</v>
      </c>
      <c r="BE85" s="18">
        <f t="shared" si="235"/>
        <v>5.7520136149319834</v>
      </c>
      <c r="BF85" s="18">
        <f t="shared" si="235"/>
        <v>9.4683847156594503</v>
      </c>
      <c r="BG85" s="18">
        <f t="shared" si="235"/>
        <v>-0.36479301712712964</v>
      </c>
      <c r="BH85" s="18">
        <f t="shared" si="235"/>
        <v>0.45284960623219739</v>
      </c>
      <c r="BI85" s="18">
        <f t="shared" si="236"/>
        <v>0.73629321730270814</v>
      </c>
      <c r="BK85" s="18">
        <f t="shared" si="237"/>
        <v>0.1795592300540827</v>
      </c>
      <c r="BL85" s="18">
        <f t="shared" si="238"/>
        <v>2.901372790544543</v>
      </c>
      <c r="BM85" s="18">
        <f t="shared" si="239"/>
        <v>3.0222111344244018</v>
      </c>
      <c r="BO85" t="str">
        <f t="shared" si="260"/>
        <v>22 Health professionals</v>
      </c>
      <c r="BP85" s="18">
        <f t="shared" si="240"/>
        <v>3.8753850176730609</v>
      </c>
      <c r="BQ85" s="18">
        <f t="shared" si="240"/>
        <v>6.5551831779066427</v>
      </c>
      <c r="BR85" s="18">
        <f t="shared" si="240"/>
        <v>-2.7222024161185465</v>
      </c>
      <c r="BS85" s="18">
        <f t="shared" si="240"/>
        <v>-2.3641024784568754</v>
      </c>
      <c r="BT85" s="18">
        <f t="shared" si="241"/>
        <v>-1.9418594698280667</v>
      </c>
      <c r="BV85" s="18">
        <f t="shared" si="242"/>
        <v>-2.4836153564210761</v>
      </c>
      <c r="BW85" s="18">
        <f t="shared" si="243"/>
        <v>2.3280125517409322</v>
      </c>
      <c r="BX85" s="18">
        <f t="shared" si="244"/>
        <v>0.6253258261327499</v>
      </c>
      <c r="BZ85" t="str">
        <f t="shared" si="261"/>
        <v>22 Health professionals</v>
      </c>
      <c r="CA85" s="18">
        <f t="shared" si="245"/>
        <v>-1.1201761928400722</v>
      </c>
      <c r="CB85" s="18">
        <f t="shared" si="245"/>
        <v>0.99055497933107084</v>
      </c>
      <c r="CC85" s="18">
        <f t="shared" si="245"/>
        <v>0.87533847660927755</v>
      </c>
      <c r="CD85" s="18">
        <f t="shared" si="245"/>
        <v>-3.9414417610117658</v>
      </c>
      <c r="CE85" s="18">
        <f t="shared" si="246"/>
        <v>-2.1557290873735591</v>
      </c>
      <c r="CG85" s="18">
        <f t="shared" si="247"/>
        <v>-2.3619619018819371</v>
      </c>
      <c r="CH85" s="18">
        <f t="shared" si="248"/>
        <v>2.2075468500004414</v>
      </c>
      <c r="CI85" s="18">
        <f t="shared" si="249"/>
        <v>0.55293375438809633</v>
      </c>
      <c r="CK85" t="str">
        <f t="shared" si="262"/>
        <v>22 Health professionals</v>
      </c>
      <c r="CL85" s="18">
        <f t="shared" si="250"/>
        <v>7.4200383708505679</v>
      </c>
      <c r="CM85" s="18">
        <f t="shared" si="250"/>
        <v>-5.8791261225636493</v>
      </c>
      <c r="CN85" s="18">
        <f t="shared" si="250"/>
        <v>2.8882296937328134</v>
      </c>
      <c r="CO85" s="18">
        <f t="shared" si="250"/>
        <v>-0.269503347413802</v>
      </c>
      <c r="CP85" s="18">
        <f t="shared" si="251"/>
        <v>0.34301362853765838</v>
      </c>
      <c r="CR85" s="18">
        <f t="shared" si="252"/>
        <v>0.77215657814702077</v>
      </c>
      <c r="CS85" s="18">
        <f t="shared" si="253"/>
        <v>2.5122956145023023</v>
      </c>
      <c r="CT85" s="18">
        <f t="shared" si="254"/>
        <v>3.0668526899657822</v>
      </c>
    </row>
    <row r="86" spans="1:98" x14ac:dyDescent="0.2">
      <c r="A86" t="str">
        <f t="shared" si="209"/>
        <v>23 Teaching and other educational professionals</v>
      </c>
      <c r="B86" s="18">
        <f t="shared" si="210"/>
        <v>3.1904214944640907</v>
      </c>
      <c r="C86" s="18">
        <f t="shared" si="210"/>
        <v>-2.255572569402664</v>
      </c>
      <c r="D86" s="18">
        <f t="shared" si="210"/>
        <v>1.1136218930691832</v>
      </c>
      <c r="E86" s="18">
        <f t="shared" si="210"/>
        <v>1.2365327741081789</v>
      </c>
      <c r="F86" s="18">
        <f t="shared" si="211"/>
        <v>0.97632498725606087</v>
      </c>
      <c r="H86" s="18">
        <f t="shared" si="212"/>
        <v>1.1955458886110604</v>
      </c>
      <c r="I86" s="18">
        <f t="shared" si="213"/>
        <v>2.7666288314359466</v>
      </c>
      <c r="J86" s="18">
        <f t="shared" si="214"/>
        <v>3.6048809117787739</v>
      </c>
      <c r="L86" t="str">
        <f t="shared" si="255"/>
        <v>23 Teaching and other educational professionals</v>
      </c>
      <c r="M86" s="18">
        <f t="shared" si="215"/>
        <v>4.6211498754640257</v>
      </c>
      <c r="N86" s="18">
        <f t="shared" si="215"/>
        <v>-3.4959490334957932</v>
      </c>
      <c r="O86" s="18">
        <f t="shared" si="215"/>
        <v>0.79877919012965037</v>
      </c>
      <c r="P86" s="18">
        <f t="shared" si="215"/>
        <v>1.2133249920138756</v>
      </c>
      <c r="Q86" s="18">
        <f t="shared" si="216"/>
        <v>0.78303362946814392</v>
      </c>
      <c r="S86" s="18">
        <f t="shared" si="217"/>
        <v>1.0749539741213621</v>
      </c>
      <c r="T86" s="18">
        <f t="shared" si="218"/>
        <v>2.7889743481444462</v>
      </c>
      <c r="U86" s="18">
        <f t="shared" si="219"/>
        <v>3.5385308150763795</v>
      </c>
      <c r="W86" t="str">
        <f t="shared" si="256"/>
        <v>23 Teaching and other educational professionals</v>
      </c>
      <c r="X86" s="18">
        <f t="shared" si="220"/>
        <v>-4.883537359611978</v>
      </c>
      <c r="Y86" s="18">
        <f t="shared" si="220"/>
        <v>17.346470882268616</v>
      </c>
      <c r="Z86" s="18">
        <f t="shared" si="220"/>
        <v>-5.1475132018750642</v>
      </c>
      <c r="AA86" s="18">
        <f t="shared" si="220"/>
        <v>-2.0368494816195959</v>
      </c>
      <c r="AB86" s="18">
        <f t="shared" si="221"/>
        <v>-1.9192411454065139</v>
      </c>
      <c r="AD86" s="18">
        <f t="shared" si="222"/>
        <v>-3.0849100982652589</v>
      </c>
      <c r="AE86" s="18">
        <f t="shared" si="223"/>
        <v>2.2975809092412591</v>
      </c>
      <c r="AF86" s="18">
        <f t="shared" si="224"/>
        <v>0.20354960488331297</v>
      </c>
      <c r="AH86" t="str">
        <f t="shared" si="257"/>
        <v>23 Teaching and other educational professionals</v>
      </c>
      <c r="AI86" s="18">
        <f t="shared" si="225"/>
        <v>-14.207266728259626</v>
      </c>
      <c r="AJ86" s="18">
        <f t="shared" si="225"/>
        <v>1.2743321621470516</v>
      </c>
      <c r="AK86" s="18">
        <f t="shared" si="225"/>
        <v>-12.365941012786397</v>
      </c>
      <c r="AL86" s="18">
        <f t="shared" si="225"/>
        <v>0.29904783078389396</v>
      </c>
      <c r="AM86" s="18">
        <f t="shared" si="226"/>
        <v>-3.7857258244501368</v>
      </c>
      <c r="AO86" s="18">
        <f t="shared" si="227"/>
        <v>-4.1139306574517693</v>
      </c>
      <c r="AP86" s="18">
        <f t="shared" si="228"/>
        <v>1.0310837725908462</v>
      </c>
      <c r="AQ86" s="18">
        <f t="shared" si="229"/>
        <v>-2.3604315628464767</v>
      </c>
      <c r="AS86" t="str">
        <f t="shared" si="258"/>
        <v>23 Teaching and other educational professionals</v>
      </c>
      <c r="AT86" s="18">
        <f t="shared" si="230"/>
        <v>-3.5210152729148625</v>
      </c>
      <c r="AU86" s="18">
        <f t="shared" si="230"/>
        <v>25.413086258089713</v>
      </c>
      <c r="AV86" s="18">
        <f t="shared" si="230"/>
        <v>-4.0704328604051483</v>
      </c>
      <c r="AW86" s="18">
        <f t="shared" si="230"/>
        <v>-0.67572202901441392</v>
      </c>
      <c r="AX86" s="18">
        <f t="shared" si="231"/>
        <v>-0.30664413936345447</v>
      </c>
      <c r="AZ86" s="18">
        <f t="shared" si="232"/>
        <v>-1.8204344354238455</v>
      </c>
      <c r="BA86" s="18">
        <f t="shared" si="233"/>
        <v>2.2802459553908916</v>
      </c>
      <c r="BB86" s="18">
        <f t="shared" si="234"/>
        <v>1.0033428306783332</v>
      </c>
      <c r="BD86" t="str">
        <f t="shared" si="259"/>
        <v>23 Teaching and other educational professionals</v>
      </c>
      <c r="BE86" s="18">
        <f t="shared" si="235"/>
        <v>2.210581115458532</v>
      </c>
      <c r="BF86" s="18">
        <f t="shared" si="235"/>
        <v>14.720507463591769</v>
      </c>
      <c r="BG86" s="18">
        <f t="shared" si="235"/>
        <v>-2.101483422127437</v>
      </c>
      <c r="BH86" s="18">
        <f t="shared" si="235"/>
        <v>1.3902507132480091</v>
      </c>
      <c r="BI86" s="18">
        <f t="shared" si="236"/>
        <v>1.063125232445139</v>
      </c>
      <c r="BK86" s="18">
        <f t="shared" si="237"/>
        <v>0.21271653731218532</v>
      </c>
      <c r="BL86" s="18">
        <f t="shared" si="238"/>
        <v>2.3256389034941982</v>
      </c>
      <c r="BM86" s="18">
        <f t="shared" si="239"/>
        <v>2.480481617530006</v>
      </c>
      <c r="BO86" t="str">
        <f t="shared" si="260"/>
        <v>23 Teaching and other educational professionals</v>
      </c>
      <c r="BP86" s="18">
        <f t="shared" si="240"/>
        <v>-0.73464369378559713</v>
      </c>
      <c r="BQ86" s="18">
        <f t="shared" si="240"/>
        <v>15.034785513237402</v>
      </c>
      <c r="BR86" s="18">
        <f t="shared" si="240"/>
        <v>-4.8366994303077782</v>
      </c>
      <c r="BS86" s="18">
        <f t="shared" si="240"/>
        <v>-2.2483443455678431</v>
      </c>
      <c r="BT86" s="18">
        <f t="shared" si="241"/>
        <v>-2.0733003595830746</v>
      </c>
      <c r="BV86" s="18">
        <f t="shared" si="242"/>
        <v>-3.1188586096839943</v>
      </c>
      <c r="BW86" s="18">
        <f t="shared" si="243"/>
        <v>2.0926575513914303</v>
      </c>
      <c r="BX86" s="18">
        <f t="shared" si="244"/>
        <v>-9.3708344142484634E-2</v>
      </c>
      <c r="BZ86" t="str">
        <f t="shared" si="261"/>
        <v>23 Teaching and other educational professionals</v>
      </c>
      <c r="CA86" s="18">
        <f t="shared" si="245"/>
        <v>-3.969906333838924</v>
      </c>
      <c r="CB86" s="18">
        <f t="shared" si="245"/>
        <v>20.104544118340151</v>
      </c>
      <c r="CC86" s="18">
        <f t="shared" si="245"/>
        <v>-2.6297240732847449</v>
      </c>
      <c r="CD86" s="18">
        <f t="shared" si="245"/>
        <v>-3.7342288652415845</v>
      </c>
      <c r="CE86" s="18">
        <f t="shared" si="246"/>
        <v>-2.0452165251782284</v>
      </c>
      <c r="CG86" s="18">
        <f t="shared" si="247"/>
        <v>-3.367459752983204</v>
      </c>
      <c r="CH86" s="18">
        <f t="shared" si="248"/>
        <v>2.0425604609955128</v>
      </c>
      <c r="CI86" s="18">
        <f t="shared" si="249"/>
        <v>-0.32374915474006061</v>
      </c>
      <c r="CK86" t="str">
        <f t="shared" si="262"/>
        <v>23 Teaching and other educational professionals</v>
      </c>
      <c r="CL86" s="18">
        <f t="shared" si="250"/>
        <v>6.9855878657178128</v>
      </c>
      <c r="CM86" s="18">
        <f t="shared" si="250"/>
        <v>16.54936189420091</v>
      </c>
      <c r="CN86" s="18">
        <f t="shared" si="250"/>
        <v>2.7969374895922883</v>
      </c>
      <c r="CO86" s="18">
        <f t="shared" si="250"/>
        <v>-0.18405415522151358</v>
      </c>
      <c r="CP86" s="18">
        <f t="shared" si="251"/>
        <v>1.7186594367046837</v>
      </c>
      <c r="CR86" s="18">
        <f t="shared" si="252"/>
        <v>0.79987876537130909</v>
      </c>
      <c r="CS86" s="18">
        <f t="shared" si="253"/>
        <v>2.8535738350858653</v>
      </c>
      <c r="CT86" s="18">
        <f t="shared" si="254"/>
        <v>3.4032553697977974</v>
      </c>
    </row>
    <row r="87" spans="1:98" x14ac:dyDescent="0.2">
      <c r="A87" t="str">
        <f t="shared" si="209"/>
        <v>24 Business, media and public service professionals</v>
      </c>
      <c r="B87" s="18">
        <f t="shared" si="210"/>
        <v>8.3534656578083677</v>
      </c>
      <c r="C87" s="18">
        <f t="shared" si="210"/>
        <v>2.0234428519002146</v>
      </c>
      <c r="D87" s="18">
        <f t="shared" si="210"/>
        <v>4.2169581025073732</v>
      </c>
      <c r="E87" s="18">
        <f t="shared" si="210"/>
        <v>3.1056277909247809</v>
      </c>
      <c r="F87" s="18">
        <f t="shared" si="211"/>
        <v>3.3834397955982753</v>
      </c>
      <c r="H87" s="18">
        <f t="shared" si="212"/>
        <v>3.47474819206397</v>
      </c>
      <c r="I87" s="18">
        <f t="shared" si="213"/>
        <v>3.3717994864816747</v>
      </c>
      <c r="J87" s="18">
        <f t="shared" si="214"/>
        <v>5.7517001143168045</v>
      </c>
      <c r="L87" t="str">
        <f t="shared" si="255"/>
        <v>24 Business, media and public service professionals</v>
      </c>
      <c r="M87" s="18">
        <f t="shared" si="215"/>
        <v>9.7375646066934163</v>
      </c>
      <c r="N87" s="18">
        <f t="shared" si="215"/>
        <v>0.86128229638751108</v>
      </c>
      <c r="O87" s="18">
        <f t="shared" si="215"/>
        <v>3.2690040479697924</v>
      </c>
      <c r="P87" s="18">
        <f t="shared" si="215"/>
        <v>2.5450290709767343</v>
      </c>
      <c r="Q87" s="18">
        <f t="shared" si="216"/>
        <v>2.6644381178017484</v>
      </c>
      <c r="S87" s="18">
        <f t="shared" si="217"/>
        <v>2.78578835672596</v>
      </c>
      <c r="T87" s="18">
        <f t="shared" si="218"/>
        <v>3.1570748823247952</v>
      </c>
      <c r="U87" s="18">
        <f t="shared" si="219"/>
        <v>5.0841326424646782</v>
      </c>
      <c r="W87" t="str">
        <f t="shared" si="256"/>
        <v>24 Business, media and public service professionals</v>
      </c>
      <c r="X87" s="18">
        <f t="shared" si="220"/>
        <v>1.697838111839256</v>
      </c>
      <c r="Y87" s="18">
        <f t="shared" si="220"/>
        <v>23.698002120968241</v>
      </c>
      <c r="Z87" s="18">
        <f t="shared" si="220"/>
        <v>0.5993757502551933</v>
      </c>
      <c r="AA87" s="18">
        <f t="shared" si="220"/>
        <v>1.3660629879117092</v>
      </c>
      <c r="AB87" s="18">
        <f t="shared" si="221"/>
        <v>2.392125067525086</v>
      </c>
      <c r="AD87" s="18">
        <f t="shared" si="222"/>
        <v>1.1098535345637206</v>
      </c>
      <c r="AE87" s="18">
        <f t="shared" si="223"/>
        <v>3.0762211420444219</v>
      </c>
      <c r="AF87" s="18">
        <f t="shared" si="224"/>
        <v>3.822584787330463</v>
      </c>
      <c r="AH87" t="str">
        <f t="shared" si="257"/>
        <v>24 Business, media and public service professionals</v>
      </c>
      <c r="AI87" s="18">
        <f t="shared" si="225"/>
        <v>-2.5619840639681701</v>
      </c>
      <c r="AJ87" s="18">
        <f t="shared" si="225"/>
        <v>20.050954202447045</v>
      </c>
      <c r="AK87" s="18">
        <f t="shared" si="225"/>
        <v>-1.6878032526880693</v>
      </c>
      <c r="AL87" s="18">
        <f t="shared" si="225"/>
        <v>1.2450431662582195</v>
      </c>
      <c r="AM87" s="18">
        <f t="shared" si="226"/>
        <v>1.3931860077998959</v>
      </c>
      <c r="AO87" s="18">
        <f t="shared" si="227"/>
        <v>0.25783298839707758</v>
      </c>
      <c r="AP87" s="18">
        <f t="shared" si="228"/>
        <v>2.1636389615096174</v>
      </c>
      <c r="AQ87" s="18">
        <f t="shared" si="229"/>
        <v>2.355648187099546</v>
      </c>
      <c r="AS87" t="str">
        <f t="shared" si="258"/>
        <v>24 Business, media and public service professionals</v>
      </c>
      <c r="AT87" s="18">
        <f t="shared" si="230"/>
        <v>-0.72546767657677425</v>
      </c>
      <c r="AU87" s="18">
        <f t="shared" si="230"/>
        <v>29.935285838579983</v>
      </c>
      <c r="AV87" s="18">
        <f t="shared" si="230"/>
        <v>0.3010750440276766</v>
      </c>
      <c r="AW87" s="18">
        <f t="shared" si="230"/>
        <v>1.5432386425883626</v>
      </c>
      <c r="AX87" s="18">
        <f t="shared" si="231"/>
        <v>2.7242128562387391</v>
      </c>
      <c r="AZ87" s="18">
        <f t="shared" si="232"/>
        <v>1.1274841849974182</v>
      </c>
      <c r="BA87" s="18">
        <f t="shared" si="233"/>
        <v>2.8340628987170602</v>
      </c>
      <c r="BB87" s="18">
        <f t="shared" si="234"/>
        <v>3.6166035902644555</v>
      </c>
      <c r="BD87" t="str">
        <f t="shared" si="259"/>
        <v>24 Business, media and public service professionals</v>
      </c>
      <c r="BE87" s="18">
        <f t="shared" si="235"/>
        <v>5.7128298989309823</v>
      </c>
      <c r="BF87" s="18">
        <f t="shared" si="235"/>
        <v>9.2313733713803803</v>
      </c>
      <c r="BG87" s="18">
        <f t="shared" si="235"/>
        <v>0.57047122831062058</v>
      </c>
      <c r="BH87" s="18">
        <f t="shared" si="235"/>
        <v>1.0846469255976654</v>
      </c>
      <c r="BI87" s="18">
        <f t="shared" si="236"/>
        <v>1.413784034153287</v>
      </c>
      <c r="BK87" s="18">
        <f t="shared" si="237"/>
        <v>0.91296360265784582</v>
      </c>
      <c r="BL87" s="18">
        <f t="shared" si="238"/>
        <v>2.5026873904151925</v>
      </c>
      <c r="BM87" s="18">
        <f t="shared" si="239"/>
        <v>3.1610914681063473</v>
      </c>
      <c r="BO87" t="str">
        <f t="shared" si="260"/>
        <v>24 Business, media and public service professionals</v>
      </c>
      <c r="BP87" s="18">
        <f t="shared" si="240"/>
        <v>2.3518923025389382</v>
      </c>
      <c r="BQ87" s="18">
        <f t="shared" si="240"/>
        <v>11.07334011757759</v>
      </c>
      <c r="BR87" s="18">
        <f t="shared" si="240"/>
        <v>-2.4389215183451385</v>
      </c>
      <c r="BS87" s="18">
        <f t="shared" si="240"/>
        <v>-1.8287029697252155</v>
      </c>
      <c r="BT87" s="18">
        <f t="shared" si="241"/>
        <v>-1.26073724068404</v>
      </c>
      <c r="BV87" s="18">
        <f t="shared" si="242"/>
        <v>-2.0325320618031495</v>
      </c>
      <c r="BW87" s="18">
        <f t="shared" si="243"/>
        <v>2.0455143422308364</v>
      </c>
      <c r="BX87" s="18">
        <f t="shared" si="244"/>
        <v>0.5749707476931265</v>
      </c>
      <c r="BZ87" t="str">
        <f t="shared" si="261"/>
        <v>24 Business, media and public service professionals</v>
      </c>
      <c r="CA87" s="18">
        <f t="shared" si="245"/>
        <v>0.81437813963656236</v>
      </c>
      <c r="CB87" s="18">
        <f t="shared" si="245"/>
        <v>18.769697077445514</v>
      </c>
      <c r="CC87" s="18">
        <f t="shared" si="245"/>
        <v>-1.4203763932098212</v>
      </c>
      <c r="CD87" s="18">
        <f t="shared" si="245"/>
        <v>-3.9120416191860574</v>
      </c>
      <c r="CE87" s="18">
        <f t="shared" si="246"/>
        <v>-1.8487821074550048</v>
      </c>
      <c r="CG87" s="18">
        <f t="shared" si="247"/>
        <v>-3.0885639410380805</v>
      </c>
      <c r="CH87" s="18">
        <f t="shared" si="248"/>
        <v>1.9807008516982805</v>
      </c>
      <c r="CI87" s="18">
        <f t="shared" si="249"/>
        <v>-0.22561242104263135</v>
      </c>
      <c r="CK87" t="str">
        <f t="shared" si="262"/>
        <v>24 Business, media and public service professionals</v>
      </c>
      <c r="CL87" s="18">
        <f t="shared" si="250"/>
        <v>6.8815959481166145</v>
      </c>
      <c r="CM87" s="18">
        <f t="shared" si="250"/>
        <v>-0.98427275039845163</v>
      </c>
      <c r="CN87" s="18">
        <f t="shared" si="250"/>
        <v>3.3990265776262296</v>
      </c>
      <c r="CO87" s="18">
        <f t="shared" si="250"/>
        <v>-1.0844354127037881</v>
      </c>
      <c r="CP87" s="18">
        <f t="shared" si="251"/>
        <v>0.30170104749691617</v>
      </c>
      <c r="CR87" s="18">
        <f t="shared" si="252"/>
        <v>0.38802408689926349</v>
      </c>
      <c r="CS87" s="18">
        <f t="shared" si="253"/>
        <v>2.4163941981363513</v>
      </c>
      <c r="CT87" s="18">
        <f t="shared" si="254"/>
        <v>2.6964143388636952</v>
      </c>
    </row>
    <row r="88" spans="1:98" x14ac:dyDescent="0.2">
      <c r="A88" t="str">
        <f t="shared" si="209"/>
        <v>31 Science, engineering and technology associate professionals</v>
      </c>
      <c r="B88" s="18">
        <f t="shared" si="210"/>
        <v>10.125007156853471</v>
      </c>
      <c r="C88" s="18">
        <f t="shared" si="210"/>
        <v>0.9552199325180144</v>
      </c>
      <c r="D88" s="18">
        <f t="shared" si="210"/>
        <v>3.2386740424177329</v>
      </c>
      <c r="E88" s="18">
        <f t="shared" si="210"/>
        <v>3.864456031357455</v>
      </c>
      <c r="F88" s="18">
        <f t="shared" si="211"/>
        <v>3.4845817308320592</v>
      </c>
      <c r="H88" s="18">
        <f t="shared" si="212"/>
        <v>3.6554417017872654</v>
      </c>
      <c r="I88" s="18">
        <f t="shared" si="213"/>
        <v>3.1168592201256784</v>
      </c>
      <c r="J88" s="18">
        <f t="shared" si="214"/>
        <v>5.7042158619375671</v>
      </c>
      <c r="L88" t="str">
        <f t="shared" si="255"/>
        <v>31 Science, engineering and technology associate professionals</v>
      </c>
      <c r="M88" s="18">
        <f t="shared" si="215"/>
        <v>8.774494427610513</v>
      </c>
      <c r="N88" s="18">
        <f t="shared" si="215"/>
        <v>2.1193250090918658</v>
      </c>
      <c r="O88" s="18">
        <f t="shared" si="215"/>
        <v>2.6485559042545681</v>
      </c>
      <c r="P88" s="18">
        <f t="shared" si="215"/>
        <v>3.3379519654261447</v>
      </c>
      <c r="Q88" s="18">
        <f t="shared" si="216"/>
        <v>3.0455913820091718</v>
      </c>
      <c r="S88" s="18">
        <f t="shared" si="217"/>
        <v>3.1076403590721391</v>
      </c>
      <c r="T88" s="18">
        <f t="shared" si="218"/>
        <v>2.8749313003441301</v>
      </c>
      <c r="U88" s="18">
        <f t="shared" si="219"/>
        <v>5.1118653223726884</v>
      </c>
      <c r="W88" t="str">
        <f t="shared" si="256"/>
        <v>31 Science, engineering and technology associate professionals</v>
      </c>
      <c r="X88" s="18">
        <f t="shared" si="220"/>
        <v>2.4253366271988375</v>
      </c>
      <c r="Y88" s="18">
        <f t="shared" si="220"/>
        <v>18.136326528560719</v>
      </c>
      <c r="Z88" s="18">
        <f t="shared" si="220"/>
        <v>-0.45057601141145209</v>
      </c>
      <c r="AA88" s="18">
        <f t="shared" si="220"/>
        <v>1.5018270909516129</v>
      </c>
      <c r="AB88" s="18">
        <f t="shared" si="221"/>
        <v>1.849110078535654</v>
      </c>
      <c r="AD88" s="18">
        <f t="shared" si="222"/>
        <v>0.8468081336511224</v>
      </c>
      <c r="AE88" s="18">
        <f t="shared" si="223"/>
        <v>2.5432072365529246</v>
      </c>
      <c r="AF88" s="18">
        <f t="shared" si="224"/>
        <v>3.1498577486132273</v>
      </c>
      <c r="AH88" t="str">
        <f t="shared" si="257"/>
        <v>31 Science, engineering and technology associate professionals</v>
      </c>
      <c r="AI88" s="18">
        <f t="shared" si="225"/>
        <v>0.5954680291687664</v>
      </c>
      <c r="AJ88" s="18">
        <f t="shared" si="225"/>
        <v>25.002627651747055</v>
      </c>
      <c r="AK88" s="18">
        <f t="shared" si="225"/>
        <v>0.87229587842312384</v>
      </c>
      <c r="AL88" s="18">
        <f t="shared" si="225"/>
        <v>2.9586738542134006</v>
      </c>
      <c r="AM88" s="18">
        <f t="shared" si="226"/>
        <v>3.5500956589335386</v>
      </c>
      <c r="AO88" s="18">
        <f t="shared" si="227"/>
        <v>2.2584632693975148</v>
      </c>
      <c r="AP88" s="18">
        <f t="shared" si="228"/>
        <v>2.9066344056350557</v>
      </c>
      <c r="AQ88" s="18">
        <f t="shared" si="229"/>
        <v>4.4984755481123129</v>
      </c>
      <c r="AS88" t="str">
        <f t="shared" si="258"/>
        <v>31 Science, engineering and technology associate professionals</v>
      </c>
      <c r="AT88" s="18">
        <f t="shared" si="230"/>
        <v>-2.159109214148891</v>
      </c>
      <c r="AU88" s="18">
        <f t="shared" si="230"/>
        <v>24.879120240117846</v>
      </c>
      <c r="AV88" s="18">
        <f t="shared" si="230"/>
        <v>-3.4294915732966391</v>
      </c>
      <c r="AW88" s="18">
        <f t="shared" si="230"/>
        <v>0.67398123939994559</v>
      </c>
      <c r="AX88" s="18">
        <f t="shared" si="231"/>
        <v>0.72048385689964523</v>
      </c>
      <c r="AZ88" s="18">
        <f t="shared" si="232"/>
        <v>-0.71285982685082017</v>
      </c>
      <c r="BA88" s="18">
        <f t="shared" si="233"/>
        <v>1.9198429861873478</v>
      </c>
      <c r="BB88" s="18">
        <f t="shared" si="234"/>
        <v>1.3805113109926603</v>
      </c>
      <c r="BD88" t="str">
        <f t="shared" si="259"/>
        <v>31 Science, engineering and technology associate professionals</v>
      </c>
      <c r="BE88" s="18">
        <f t="shared" si="235"/>
        <v>4.9927033221860428</v>
      </c>
      <c r="BF88" s="18">
        <f t="shared" si="235"/>
        <v>7.1144122997649939</v>
      </c>
      <c r="BG88" s="18">
        <f t="shared" si="235"/>
        <v>-2.385037109228294</v>
      </c>
      <c r="BH88" s="18">
        <f t="shared" si="235"/>
        <v>-0.21673048920981541</v>
      </c>
      <c r="BI88" s="18">
        <f t="shared" si="236"/>
        <v>-0.45935545815464218</v>
      </c>
      <c r="BK88" s="18">
        <f t="shared" si="237"/>
        <v>-0.94479879002365985</v>
      </c>
      <c r="BL88" s="18">
        <f t="shared" si="238"/>
        <v>1.8608379406620079</v>
      </c>
      <c r="BM88" s="18">
        <f t="shared" si="239"/>
        <v>1.1429741473438559</v>
      </c>
      <c r="BO88" t="str">
        <f t="shared" si="260"/>
        <v>31 Science, engineering and technology associate professionals</v>
      </c>
      <c r="BP88" s="18">
        <f t="shared" si="240"/>
        <v>4.0269816260307678</v>
      </c>
      <c r="BQ88" s="18">
        <f t="shared" si="240"/>
        <v>7.8988098206278501</v>
      </c>
      <c r="BR88" s="18">
        <f t="shared" si="240"/>
        <v>-3.062950349089788</v>
      </c>
      <c r="BS88" s="18">
        <f t="shared" si="240"/>
        <v>-0.50705739335262789</v>
      </c>
      <c r="BT88" s="18">
        <f t="shared" si="241"/>
        <v>-0.81139668330318937</v>
      </c>
      <c r="BV88" s="18">
        <f t="shared" si="242"/>
        <v>-1.3664230719693471</v>
      </c>
      <c r="BW88" s="18">
        <f t="shared" si="243"/>
        <v>1.8822705836864628</v>
      </c>
      <c r="BX88" s="18">
        <f t="shared" si="244"/>
        <v>0.85537537382833762</v>
      </c>
      <c r="BZ88" t="str">
        <f t="shared" si="261"/>
        <v>31 Science, engineering and technology associate professionals</v>
      </c>
      <c r="CA88" s="18">
        <f t="shared" si="245"/>
        <v>2.6187068922846057</v>
      </c>
      <c r="CB88" s="18">
        <f t="shared" si="245"/>
        <v>18.812351816775319</v>
      </c>
      <c r="CC88" s="18">
        <f t="shared" si="245"/>
        <v>-4.0458102988200189</v>
      </c>
      <c r="CD88" s="18">
        <f t="shared" si="245"/>
        <v>-2.1630688303259649</v>
      </c>
      <c r="CE88" s="18">
        <f t="shared" si="246"/>
        <v>-1.5675952738746335</v>
      </c>
      <c r="CG88" s="18">
        <f t="shared" si="247"/>
        <v>-2.794718568100607</v>
      </c>
      <c r="CH88" s="18">
        <f t="shared" si="248"/>
        <v>1.7127242907591267</v>
      </c>
      <c r="CI88" s="18">
        <f t="shared" si="249"/>
        <v>-0.38506391866967027</v>
      </c>
      <c r="CK88" t="str">
        <f t="shared" si="262"/>
        <v>31 Science, engineering and technology associate professionals</v>
      </c>
      <c r="CL88" s="18">
        <f t="shared" si="250"/>
        <v>8.1100706623435279</v>
      </c>
      <c r="CM88" s="18">
        <f t="shared" si="250"/>
        <v>12.41345957173381</v>
      </c>
      <c r="CN88" s="18">
        <f t="shared" si="250"/>
        <v>3.2445275511883143</v>
      </c>
      <c r="CO88" s="18">
        <f t="shared" si="250"/>
        <v>0.49784801591417072</v>
      </c>
      <c r="CP88" s="18">
        <f t="shared" si="251"/>
        <v>2.0604717395086514</v>
      </c>
      <c r="CR88" s="18">
        <f t="shared" si="252"/>
        <v>1.4051912729437177</v>
      </c>
      <c r="CS88" s="18">
        <f t="shared" si="253"/>
        <v>2.4629997908774515</v>
      </c>
      <c r="CT88" s="18">
        <f t="shared" si="254"/>
        <v>3.4915770346252817</v>
      </c>
    </row>
    <row r="89" spans="1:98" x14ac:dyDescent="0.2">
      <c r="A89" t="str">
        <f t="shared" si="209"/>
        <v>32 Health and social care associate professionals</v>
      </c>
      <c r="B89" s="18">
        <f t="shared" si="210"/>
        <v>12.951509168633812</v>
      </c>
      <c r="C89" s="18">
        <f t="shared" si="210"/>
        <v>-27.175442223840729</v>
      </c>
      <c r="D89" s="18">
        <f t="shared" si="210"/>
        <v>13.137197186332838</v>
      </c>
      <c r="E89" s="18">
        <f t="shared" si="210"/>
        <v>4.6890164697143577</v>
      </c>
      <c r="F89" s="18">
        <f t="shared" si="211"/>
        <v>4.8533373761437293</v>
      </c>
      <c r="H89" s="18">
        <f t="shared" si="212"/>
        <v>7.4325501962616114</v>
      </c>
      <c r="I89" s="18">
        <f t="shared" si="213"/>
        <v>5.2762413597636781</v>
      </c>
      <c r="J89" s="18">
        <f t="shared" si="214"/>
        <v>9.8518492448669512</v>
      </c>
      <c r="L89" t="str">
        <f t="shared" si="255"/>
        <v>32 Health and social care associate professionals</v>
      </c>
      <c r="M89" s="18">
        <f t="shared" si="215"/>
        <v>12.414968817075266</v>
      </c>
      <c r="N89" s="18">
        <f t="shared" si="215"/>
        <v>-13.524037392923848</v>
      </c>
      <c r="O89" s="18">
        <f t="shared" si="215"/>
        <v>13.682898662422915</v>
      </c>
      <c r="P89" s="18">
        <f t="shared" si="215"/>
        <v>4.114687032224662</v>
      </c>
      <c r="Q89" s="18">
        <f t="shared" si="216"/>
        <v>5.7805187227393917</v>
      </c>
      <c r="S89" s="18">
        <f t="shared" si="217"/>
        <v>7.2110900183415927</v>
      </c>
      <c r="T89" s="18">
        <f t="shared" si="218"/>
        <v>5.0023427557520428</v>
      </c>
      <c r="U89" s="18">
        <f t="shared" si="219"/>
        <v>9.53755054980987</v>
      </c>
      <c r="W89" t="str">
        <f t="shared" si="256"/>
        <v>32 Health and social care associate professionals</v>
      </c>
      <c r="X89" s="18">
        <f t="shared" si="220"/>
        <v>4.6500470470713484</v>
      </c>
      <c r="Y89" s="18">
        <f t="shared" si="220"/>
        <v>4.0595731094759113</v>
      </c>
      <c r="Z89" s="18">
        <f t="shared" si="220"/>
        <v>12.378979884710017</v>
      </c>
      <c r="AA89" s="18">
        <f t="shared" si="220"/>
        <v>3.4277967593724146</v>
      </c>
      <c r="AB89" s="18">
        <f t="shared" si="221"/>
        <v>6.1860614213255616</v>
      </c>
      <c r="AD89" s="18">
        <f t="shared" si="222"/>
        <v>6.3293626632017652</v>
      </c>
      <c r="AE89" s="18">
        <f t="shared" si="223"/>
        <v>5.6135510153630719</v>
      </c>
      <c r="AF89" s="18">
        <f t="shared" si="224"/>
        <v>9.2686832482718806</v>
      </c>
      <c r="AH89" t="str">
        <f t="shared" si="257"/>
        <v>32 Health and social care associate professionals</v>
      </c>
      <c r="AI89" s="18">
        <f t="shared" si="225"/>
        <v>-3.3365167579158417</v>
      </c>
      <c r="AJ89" s="18">
        <f t="shared" si="225"/>
        <v>-0.18918360598976225</v>
      </c>
      <c r="AK89" s="18">
        <f t="shared" si="225"/>
        <v>3.2053007373906262</v>
      </c>
      <c r="AL89" s="18">
        <f t="shared" si="225"/>
        <v>-4.3533385758260934</v>
      </c>
      <c r="AM89" s="18">
        <f t="shared" si="226"/>
        <v>-1.7914924328973125</v>
      </c>
      <c r="AO89" s="18">
        <f t="shared" si="227"/>
        <v>-1.8973938364974074</v>
      </c>
      <c r="AP89" s="18">
        <f t="shared" si="228"/>
        <v>2.541073439911834</v>
      </c>
      <c r="AQ89" s="18">
        <f t="shared" si="229"/>
        <v>1.2637272394325549</v>
      </c>
      <c r="AS89" t="str">
        <f t="shared" si="258"/>
        <v>32 Health and social care associate professionals</v>
      </c>
      <c r="AT89" s="18">
        <f t="shared" si="230"/>
        <v>4.0097564687993748</v>
      </c>
      <c r="AU89" s="18">
        <f t="shared" si="230"/>
        <v>10.90408463890007</v>
      </c>
      <c r="AV89" s="18">
        <f t="shared" si="230"/>
        <v>8.2409953214169782</v>
      </c>
      <c r="AW89" s="18">
        <f t="shared" si="230"/>
        <v>2.1840555241554371</v>
      </c>
      <c r="AX89" s="18">
        <f t="shared" si="231"/>
        <v>4.5733717533010809</v>
      </c>
      <c r="AZ89" s="18">
        <f t="shared" si="232"/>
        <v>4.1644078032763154</v>
      </c>
      <c r="BA89" s="18">
        <f t="shared" si="233"/>
        <v>4.4574990157874028</v>
      </c>
      <c r="BB89" s="18">
        <f t="shared" si="234"/>
        <v>7.0222091018870447</v>
      </c>
      <c r="BD89" t="str">
        <f t="shared" si="259"/>
        <v>32 Health and social care associate professionals</v>
      </c>
      <c r="BE89" s="18">
        <f t="shared" si="235"/>
        <v>5.547089504899172</v>
      </c>
      <c r="BF89" s="18">
        <f t="shared" si="235"/>
        <v>9.320925063554597</v>
      </c>
      <c r="BG89" s="18">
        <f t="shared" si="235"/>
        <v>9.7038593255975201</v>
      </c>
      <c r="BH89" s="18">
        <f t="shared" si="235"/>
        <v>1.8736729295955934</v>
      </c>
      <c r="BI89" s="18">
        <f t="shared" si="236"/>
        <v>4.7193721040273529</v>
      </c>
      <c r="BK89" s="18">
        <f t="shared" si="237"/>
        <v>4.4195807015375621</v>
      </c>
      <c r="BL89" s="18">
        <f t="shared" si="238"/>
        <v>4.5275211077625777</v>
      </c>
      <c r="BM89" s="18">
        <f t="shared" si="239"/>
        <v>7.2466964528983491</v>
      </c>
      <c r="BO89" t="str">
        <f t="shared" si="260"/>
        <v>32 Health and social care associate professionals</v>
      </c>
      <c r="BP89" s="18">
        <f t="shared" si="240"/>
        <v>3.0610197907574355</v>
      </c>
      <c r="BQ89" s="18">
        <f t="shared" si="240"/>
        <v>2.7420897971309532</v>
      </c>
      <c r="BR89" s="18">
        <f t="shared" si="240"/>
        <v>6.4601298569284316</v>
      </c>
      <c r="BS89" s="18">
        <f t="shared" si="240"/>
        <v>-1.8618607379476293</v>
      </c>
      <c r="BT89" s="18">
        <f t="shared" si="241"/>
        <v>0.95523560066665958</v>
      </c>
      <c r="BV89" s="18">
        <f t="shared" si="242"/>
        <v>0.837222953326755</v>
      </c>
      <c r="BW89" s="18">
        <f t="shared" si="243"/>
        <v>3.6397046853703818</v>
      </c>
      <c r="BX89" s="18">
        <f t="shared" si="244"/>
        <v>4.1594535402744492</v>
      </c>
      <c r="BZ89" t="str">
        <f t="shared" si="261"/>
        <v>32 Health and social care associate professionals</v>
      </c>
      <c r="CA89" s="18">
        <f t="shared" si="245"/>
        <v>-6.6854891833744601</v>
      </c>
      <c r="CB89" s="18">
        <f t="shared" si="245"/>
        <v>0.94363115630184957</v>
      </c>
      <c r="CC89" s="18">
        <f t="shared" si="245"/>
        <v>7.8220347196516604</v>
      </c>
      <c r="CD89" s="18">
        <f t="shared" si="245"/>
        <v>-3.5496272410878715</v>
      </c>
      <c r="CE89" s="18">
        <f t="shared" si="246"/>
        <v>0.15346467216368342</v>
      </c>
      <c r="CG89" s="18">
        <f t="shared" si="247"/>
        <v>0.10100736468658944</v>
      </c>
      <c r="CH89" s="18">
        <f t="shared" si="248"/>
        <v>2.9875115822896925</v>
      </c>
      <c r="CI89" s="18">
        <f t="shared" si="249"/>
        <v>3.0545713137483776</v>
      </c>
      <c r="CK89" t="str">
        <f t="shared" si="262"/>
        <v>32 Health and social care associate professionals</v>
      </c>
      <c r="CL89" s="18">
        <f t="shared" si="250"/>
        <v>2.6224817292538338</v>
      </c>
      <c r="CM89" s="18">
        <f t="shared" si="250"/>
        <v>-2.6815516681445328</v>
      </c>
      <c r="CN89" s="18">
        <f t="shared" si="250"/>
        <v>11.515135244768238</v>
      </c>
      <c r="CO89" s="18">
        <f t="shared" si="250"/>
        <v>1.203914727333899</v>
      </c>
      <c r="CP89" s="18">
        <f t="shared" si="251"/>
        <v>4.0644362425849234</v>
      </c>
      <c r="CR89" s="18">
        <f t="shared" si="252"/>
        <v>4.5304483483537883</v>
      </c>
      <c r="CS89" s="18">
        <f t="shared" si="253"/>
        <v>3.9179630716338787</v>
      </c>
      <c r="CT89" s="18">
        <f t="shared" si="254"/>
        <v>6.9076033655136593</v>
      </c>
    </row>
    <row r="90" spans="1:98" x14ac:dyDescent="0.2">
      <c r="A90" t="str">
        <f t="shared" si="209"/>
        <v>33 Protective service occupations</v>
      </c>
      <c r="B90" s="18">
        <f t="shared" si="210"/>
        <v>8.2351687363636508</v>
      </c>
      <c r="C90" s="18">
        <f t="shared" si="210"/>
        <v>-6.4617910462323351</v>
      </c>
      <c r="D90" s="18">
        <f t="shared" si="210"/>
        <v>3.2025341299559695</v>
      </c>
      <c r="E90" s="18">
        <f t="shared" si="210"/>
        <v>4.7634973242602463</v>
      </c>
      <c r="F90" s="18">
        <f t="shared" si="211"/>
        <v>3.5371714221634099</v>
      </c>
      <c r="H90" s="18">
        <f t="shared" si="212"/>
        <v>4.2405704131628363</v>
      </c>
      <c r="I90" s="18">
        <f t="shared" si="213"/>
        <v>2.8914911783597619</v>
      </c>
      <c r="J90" s="18">
        <f t="shared" si="214"/>
        <v>6.0041995630500722</v>
      </c>
      <c r="L90" t="str">
        <f t="shared" si="255"/>
        <v>33 Protective service occupations</v>
      </c>
      <c r="M90" s="18">
        <f t="shared" si="215"/>
        <v>5.6738002959534128</v>
      </c>
      <c r="N90" s="18">
        <f t="shared" si="215"/>
        <v>1.1382088388582234</v>
      </c>
      <c r="O90" s="18">
        <f t="shared" si="215"/>
        <v>1.1583991886705336</v>
      </c>
      <c r="P90" s="18">
        <f t="shared" si="215"/>
        <v>4.0727352269877892</v>
      </c>
      <c r="Q90" s="18">
        <f t="shared" si="216"/>
        <v>2.9688631624698925</v>
      </c>
      <c r="S90" s="18">
        <f t="shared" si="217"/>
        <v>3.0920783686318787</v>
      </c>
      <c r="T90" s="18">
        <f t="shared" si="218"/>
        <v>2.2738368132954268</v>
      </c>
      <c r="U90" s="18">
        <f t="shared" si="219"/>
        <v>4.6595722678256069</v>
      </c>
      <c r="W90" t="str">
        <f t="shared" si="256"/>
        <v>33 Protective service occupations</v>
      </c>
      <c r="X90" s="18">
        <f t="shared" si="220"/>
        <v>0.54813827602728793</v>
      </c>
      <c r="Y90" s="18">
        <f t="shared" si="220"/>
        <v>20.320579320056666</v>
      </c>
      <c r="Z90" s="18">
        <f t="shared" si="220"/>
        <v>-1.6199467100297404</v>
      </c>
      <c r="AA90" s="18">
        <f t="shared" si="220"/>
        <v>3.1621404410594467</v>
      </c>
      <c r="AB90" s="18">
        <f t="shared" si="221"/>
        <v>2.6254121129719366</v>
      </c>
      <c r="AD90" s="18">
        <f t="shared" si="222"/>
        <v>1.5428263571762191</v>
      </c>
      <c r="AE90" s="18">
        <f t="shared" si="223"/>
        <v>2.3394014760259374</v>
      </c>
      <c r="AF90" s="18">
        <f t="shared" si="224"/>
        <v>3.4894907758066473</v>
      </c>
      <c r="AH90" t="str">
        <f t="shared" si="257"/>
        <v>33 Protective service occupations</v>
      </c>
      <c r="AI90" s="18">
        <f t="shared" si="225"/>
        <v>-0.37445222085871199</v>
      </c>
      <c r="AJ90" s="18">
        <f t="shared" si="225"/>
        <v>25.083507612383471</v>
      </c>
      <c r="AK90" s="18">
        <f t="shared" si="225"/>
        <v>-1.7573932902288592</v>
      </c>
      <c r="AL90" s="18">
        <f t="shared" si="225"/>
        <v>2.5401898271514067</v>
      </c>
      <c r="AM90" s="18">
        <f t="shared" si="226"/>
        <v>2.4418795390233061</v>
      </c>
      <c r="AO90" s="18">
        <f t="shared" si="227"/>
        <v>1.0871697168805206</v>
      </c>
      <c r="AP90" s="18">
        <f t="shared" si="228"/>
        <v>2.0570914616089064</v>
      </c>
      <c r="AQ90" s="18">
        <f t="shared" si="229"/>
        <v>2.8904785156917079</v>
      </c>
      <c r="AS90" t="str">
        <f t="shared" si="258"/>
        <v>33 Protective service occupations</v>
      </c>
      <c r="AT90" s="18">
        <f t="shared" si="230"/>
        <v>-4.6915060894169418</v>
      </c>
      <c r="AU90" s="18">
        <f t="shared" si="230"/>
        <v>17.448179514636042</v>
      </c>
      <c r="AV90" s="18">
        <f t="shared" si="230"/>
        <v>-5.301920267231008</v>
      </c>
      <c r="AW90" s="18">
        <f t="shared" si="230"/>
        <v>1.0149974188043753</v>
      </c>
      <c r="AX90" s="18">
        <f t="shared" si="231"/>
        <v>-6.6023199568943092E-2</v>
      </c>
      <c r="AZ90" s="18">
        <f t="shared" si="232"/>
        <v>-1.1361249678626506</v>
      </c>
      <c r="BA90" s="18">
        <f t="shared" si="233"/>
        <v>1.6562177493270713</v>
      </c>
      <c r="BB90" s="18">
        <f t="shared" si="234"/>
        <v>0.7697590038107105</v>
      </c>
      <c r="BD90" t="str">
        <f t="shared" si="259"/>
        <v>33 Protective service occupations</v>
      </c>
      <c r="BE90" s="18">
        <f t="shared" si="235"/>
        <v>0.972182256886156</v>
      </c>
      <c r="BF90" s="18">
        <f t="shared" si="235"/>
        <v>-3.4310914871295561</v>
      </c>
      <c r="BG90" s="18">
        <f t="shared" si="235"/>
        <v>-1.7745205457739943</v>
      </c>
      <c r="BH90" s="18">
        <f t="shared" si="235"/>
        <v>-0.12301377693678672</v>
      </c>
      <c r="BI90" s="18">
        <f t="shared" si="236"/>
        <v>-0.85101445562892897</v>
      </c>
      <c r="BK90" s="18">
        <f t="shared" si="237"/>
        <v>-0.67657847789605041</v>
      </c>
      <c r="BL90" s="18">
        <f t="shared" si="238"/>
        <v>1.417617377513869</v>
      </c>
      <c r="BM90" s="18">
        <f t="shared" si="239"/>
        <v>0.86718561576317743</v>
      </c>
      <c r="BO90" t="str">
        <f t="shared" si="260"/>
        <v>33 Protective service occupations</v>
      </c>
      <c r="BP90" s="18">
        <f t="shared" si="240"/>
        <v>0.38529523004104949</v>
      </c>
      <c r="BQ90" s="18">
        <f t="shared" si="240"/>
        <v>-3.1336721921774724</v>
      </c>
      <c r="BR90" s="18">
        <f t="shared" si="240"/>
        <v>-5.072774284971926</v>
      </c>
      <c r="BS90" s="18">
        <f t="shared" si="240"/>
        <v>-2.4821231836233304</v>
      </c>
      <c r="BT90" s="18">
        <f t="shared" si="241"/>
        <v>-3.3397148655381792</v>
      </c>
      <c r="BV90" s="18">
        <f t="shared" si="242"/>
        <v>-3.3534354505143082</v>
      </c>
      <c r="BW90" s="18">
        <f t="shared" si="243"/>
        <v>1.2654855468809734</v>
      </c>
      <c r="BX90" s="18">
        <f t="shared" si="244"/>
        <v>-1.4185110303200243</v>
      </c>
      <c r="BZ90" t="str">
        <f t="shared" si="261"/>
        <v>33 Protective service occupations</v>
      </c>
      <c r="CA90" s="18">
        <f t="shared" si="245"/>
        <v>-3.411334626211715</v>
      </c>
      <c r="CB90" s="18">
        <f t="shared" si="245"/>
        <v>6.2986264390243907</v>
      </c>
      <c r="CC90" s="18">
        <f t="shared" si="245"/>
        <v>-5.3375875981459764</v>
      </c>
      <c r="CD90" s="18">
        <f t="shared" si="245"/>
        <v>-3.4512898075416687</v>
      </c>
      <c r="CE90" s="18">
        <f t="shared" si="246"/>
        <v>-3.4660635860187305</v>
      </c>
      <c r="CG90" s="18">
        <f t="shared" si="247"/>
        <v>-4.084195559027604</v>
      </c>
      <c r="CH90" s="18">
        <f t="shared" si="248"/>
        <v>1.3797522373935278</v>
      </c>
      <c r="CI90" s="18">
        <f t="shared" si="249"/>
        <v>-1.7854662032103397</v>
      </c>
      <c r="CK90" t="str">
        <f t="shared" si="262"/>
        <v>33 Protective service occupations</v>
      </c>
      <c r="CL90" s="18">
        <f t="shared" si="250"/>
        <v>-3.6821207688959134</v>
      </c>
      <c r="CM90" s="18">
        <f t="shared" si="250"/>
        <v>-12.325355845407838</v>
      </c>
      <c r="CN90" s="18">
        <f t="shared" si="250"/>
        <v>-3.0375081752663013</v>
      </c>
      <c r="CO90" s="18">
        <f t="shared" si="250"/>
        <v>-9.0673183271739237</v>
      </c>
      <c r="CP90" s="18">
        <f t="shared" si="251"/>
        <v>-7.4357466089310043</v>
      </c>
      <c r="CR90" s="18">
        <f t="shared" si="252"/>
        <v>-7.1002407380895693</v>
      </c>
      <c r="CS90" s="18">
        <f t="shared" si="253"/>
        <v>0.97252595770267458</v>
      </c>
      <c r="CT90" s="18">
        <f t="shared" si="254"/>
        <v>-4.6763603019856603</v>
      </c>
    </row>
    <row r="91" spans="1:98" x14ac:dyDescent="0.2">
      <c r="A91" t="str">
        <f t="shared" si="209"/>
        <v>34 Culture, media and sports occupations</v>
      </c>
      <c r="B91" s="18">
        <f t="shared" si="210"/>
        <v>11.707198186134438</v>
      </c>
      <c r="C91" s="18">
        <f t="shared" si="210"/>
        <v>5.5079148003801981</v>
      </c>
      <c r="D91" s="18">
        <f t="shared" si="210"/>
        <v>1.1162727358919655</v>
      </c>
      <c r="E91" s="18">
        <f t="shared" si="210"/>
        <v>2.421693614657805</v>
      </c>
      <c r="F91" s="18">
        <f t="shared" si="211"/>
        <v>2.2014045945186966</v>
      </c>
      <c r="H91" s="18">
        <f t="shared" si="212"/>
        <v>1.9846914181873343</v>
      </c>
      <c r="I91" s="18">
        <f t="shared" si="213"/>
        <v>2.8836630284649223</v>
      </c>
      <c r="J91" s="18">
        <f t="shared" si="214"/>
        <v>4.2783702029352888</v>
      </c>
      <c r="L91" t="str">
        <f t="shared" si="255"/>
        <v>34 Culture, media and sports occupations</v>
      </c>
      <c r="M91" s="18">
        <f t="shared" si="215"/>
        <v>8.8266583902281361</v>
      </c>
      <c r="N91" s="18">
        <f t="shared" si="215"/>
        <v>-8.2379858897228768</v>
      </c>
      <c r="O91" s="18">
        <f t="shared" si="215"/>
        <v>-0.4266132129465805</v>
      </c>
      <c r="P91" s="18">
        <f t="shared" si="215"/>
        <v>2.3194616579837568</v>
      </c>
      <c r="Q91" s="18">
        <f t="shared" si="216"/>
        <v>0.76509353009726055</v>
      </c>
      <c r="S91" s="18">
        <f t="shared" si="217"/>
        <v>1.3957901717134957</v>
      </c>
      <c r="T91" s="18">
        <f t="shared" si="218"/>
        <v>2.6895248737030641</v>
      </c>
      <c r="U91" s="18">
        <f t="shared" si="219"/>
        <v>3.6820791236312989</v>
      </c>
      <c r="W91" t="str">
        <f t="shared" si="256"/>
        <v>34 Culture, media and sports occupations</v>
      </c>
      <c r="X91" s="18">
        <f t="shared" si="220"/>
        <v>-1.9245646472063616</v>
      </c>
      <c r="Y91" s="18">
        <f t="shared" si="220"/>
        <v>12.627316264741761</v>
      </c>
      <c r="Z91" s="18">
        <f t="shared" si="220"/>
        <v>-2.8994337116598712</v>
      </c>
      <c r="AA91" s="18">
        <f t="shared" si="220"/>
        <v>0.70843982648771675</v>
      </c>
      <c r="AB91" s="18">
        <f t="shared" si="221"/>
        <v>0.26531020437816633</v>
      </c>
      <c r="AD91" s="18">
        <f t="shared" si="222"/>
        <v>-0.50883884275330082</v>
      </c>
      <c r="AE91" s="18">
        <f t="shared" si="223"/>
        <v>2.4699526218893819</v>
      </c>
      <c r="AF91" s="18">
        <f t="shared" si="224"/>
        <v>2.11234716754376</v>
      </c>
      <c r="AH91" t="str">
        <f t="shared" si="257"/>
        <v>34 Culture, media and sports occupations</v>
      </c>
      <c r="AI91" s="18">
        <f t="shared" si="225"/>
        <v>0.36185195991491614</v>
      </c>
      <c r="AJ91" s="18">
        <f t="shared" si="225"/>
        <v>22.632426873586709</v>
      </c>
      <c r="AK91" s="18">
        <f t="shared" si="225"/>
        <v>-2.7285459369570275</v>
      </c>
      <c r="AL91" s="18">
        <f t="shared" si="225"/>
        <v>2.542654882796902</v>
      </c>
      <c r="AM91" s="18">
        <f t="shared" si="226"/>
        <v>1.9996357896562733</v>
      </c>
      <c r="AO91" s="18">
        <f t="shared" si="227"/>
        <v>0.75459018872903183</v>
      </c>
      <c r="AP91" s="18">
        <f t="shared" si="228"/>
        <v>2.5420709700416433</v>
      </c>
      <c r="AQ91" s="18">
        <f t="shared" si="229"/>
        <v>3.0817018303298305</v>
      </c>
      <c r="AS91" t="str">
        <f t="shared" si="258"/>
        <v>34 Culture, media and sports occupations</v>
      </c>
      <c r="AT91" s="18">
        <f t="shared" si="230"/>
        <v>-2.3331774538197902</v>
      </c>
      <c r="AU91" s="18">
        <f t="shared" si="230"/>
        <v>10.827441722736308</v>
      </c>
      <c r="AV91" s="18">
        <f t="shared" si="230"/>
        <v>-3.9621847584900616</v>
      </c>
      <c r="AW91" s="18">
        <f t="shared" si="230"/>
        <v>0.30970419342963851</v>
      </c>
      <c r="AX91" s="18">
        <f t="shared" si="231"/>
        <v>-0.42667483385383509</v>
      </c>
      <c r="AZ91" s="18">
        <f t="shared" si="232"/>
        <v>-1.1349651636750058</v>
      </c>
      <c r="BA91" s="18">
        <f t="shared" si="233"/>
        <v>2.2799284593767677</v>
      </c>
      <c r="BB91" s="18">
        <f t="shared" si="234"/>
        <v>1.4715564885347421</v>
      </c>
      <c r="BD91" t="str">
        <f t="shared" si="259"/>
        <v>34 Culture, media and sports occupations</v>
      </c>
      <c r="BE91" s="18">
        <f t="shared" si="235"/>
        <v>0.75150848278626725</v>
      </c>
      <c r="BF91" s="18">
        <f t="shared" si="235"/>
        <v>-2.9906313204745016</v>
      </c>
      <c r="BG91" s="18">
        <f t="shared" si="235"/>
        <v>-4.8458948816249574</v>
      </c>
      <c r="BH91" s="18">
        <f t="shared" si="235"/>
        <v>0.31892321163524695</v>
      </c>
      <c r="BI91" s="18">
        <f t="shared" si="236"/>
        <v>-1.5311770711736949</v>
      </c>
      <c r="BK91" s="18">
        <f t="shared" si="237"/>
        <v>-1.4331030658003341</v>
      </c>
      <c r="BL91" s="18">
        <f t="shared" si="238"/>
        <v>1.8143016543365365</v>
      </c>
      <c r="BM91" s="18">
        <f t="shared" si="239"/>
        <v>0.72770429805899539</v>
      </c>
      <c r="BO91" t="str">
        <f t="shared" si="260"/>
        <v>34 Culture, media and sports occupations</v>
      </c>
      <c r="BP91" s="18">
        <f t="shared" si="240"/>
        <v>-4.59703556588269</v>
      </c>
      <c r="BQ91" s="18">
        <f t="shared" si="240"/>
        <v>-5.9631328282616414</v>
      </c>
      <c r="BR91" s="18">
        <f t="shared" si="240"/>
        <v>-8.7603778146210018</v>
      </c>
      <c r="BS91" s="18">
        <f t="shared" si="240"/>
        <v>-5.114104787233142</v>
      </c>
      <c r="BT91" s="18">
        <f t="shared" si="241"/>
        <v>-6.3215904969767251</v>
      </c>
      <c r="BV91" s="18">
        <f t="shared" si="242"/>
        <v>-6.3454390340863087</v>
      </c>
      <c r="BW91" s="18">
        <f t="shared" si="243"/>
        <v>1.3868334214527822</v>
      </c>
      <c r="BX91" s="18">
        <f t="shared" si="244"/>
        <v>-3.3102664583626096</v>
      </c>
      <c r="BZ91" t="str">
        <f t="shared" si="261"/>
        <v>34 Culture, media and sports occupations</v>
      </c>
      <c r="CA91" s="18">
        <f t="shared" si="245"/>
        <v>-3.907941914130808</v>
      </c>
      <c r="CB91" s="18">
        <f t="shared" si="245"/>
        <v>1.5861178813510124</v>
      </c>
      <c r="CC91" s="18">
        <f t="shared" si="245"/>
        <v>-5.7927610822754101</v>
      </c>
      <c r="CD91" s="18">
        <f t="shared" si="245"/>
        <v>-4.8652009947157122</v>
      </c>
      <c r="CE91" s="18">
        <f t="shared" si="246"/>
        <v>-4.7663100545354053</v>
      </c>
      <c r="CG91" s="18">
        <f t="shared" si="247"/>
        <v>-5.175398021336064</v>
      </c>
      <c r="CH91" s="18">
        <f t="shared" si="248"/>
        <v>1.495472235246309</v>
      </c>
      <c r="CI91" s="18">
        <f t="shared" si="249"/>
        <v>-2.3495907726503451</v>
      </c>
      <c r="CK91" t="str">
        <f t="shared" si="262"/>
        <v>34 Culture, media and sports occupations</v>
      </c>
      <c r="CL91" s="18">
        <f t="shared" si="250"/>
        <v>6.2903797010986029</v>
      </c>
      <c r="CM91" s="18">
        <f t="shared" si="250"/>
        <v>-7.4060736992373251</v>
      </c>
      <c r="CN91" s="18">
        <f t="shared" si="250"/>
        <v>0.45363017828308205</v>
      </c>
      <c r="CO91" s="18">
        <f t="shared" si="250"/>
        <v>-1.3937869122008006</v>
      </c>
      <c r="CP91" s="18">
        <f t="shared" si="251"/>
        <v>-1.2093500611742525</v>
      </c>
      <c r="CR91" s="18">
        <f t="shared" si="252"/>
        <v>-0.78178744826489233</v>
      </c>
      <c r="CS91" s="18">
        <f t="shared" si="253"/>
        <v>2.0424151857807438</v>
      </c>
      <c r="CT91" s="18">
        <f t="shared" si="254"/>
        <v>1.4619743103102767</v>
      </c>
    </row>
    <row r="92" spans="1:98" x14ac:dyDescent="0.2">
      <c r="A92" t="str">
        <f t="shared" si="209"/>
        <v>35 Business and public service associate professionals</v>
      </c>
      <c r="B92" s="18">
        <f t="shared" si="210"/>
        <v>5.7551195309392567</v>
      </c>
      <c r="C92" s="18">
        <f t="shared" si="210"/>
        <v>-3.2769286600542014</v>
      </c>
      <c r="D92" s="18">
        <f t="shared" si="210"/>
        <v>4.1177851460108883</v>
      </c>
      <c r="E92" s="18">
        <f t="shared" si="210"/>
        <v>3.2140620647576723</v>
      </c>
      <c r="F92" s="18">
        <f t="shared" si="211"/>
        <v>3.0763334316595836</v>
      </c>
      <c r="H92" s="18">
        <f t="shared" si="212"/>
        <v>3.5144281403617805</v>
      </c>
      <c r="I92" s="18">
        <f t="shared" si="213"/>
        <v>3.2152478119784611</v>
      </c>
      <c r="J92" s="18">
        <f t="shared" si="214"/>
        <v>5.6679399712905143</v>
      </c>
      <c r="L92" t="str">
        <f t="shared" si="255"/>
        <v>35 Business and public service associate professionals</v>
      </c>
      <c r="M92" s="18">
        <f t="shared" si="215"/>
        <v>8.3362002010858305</v>
      </c>
      <c r="N92" s="18">
        <f t="shared" si="215"/>
        <v>-5.3809163736040722</v>
      </c>
      <c r="O92" s="18">
        <f t="shared" si="215"/>
        <v>3.6465378512201552</v>
      </c>
      <c r="P92" s="18">
        <f t="shared" si="215"/>
        <v>2.6421720806111937</v>
      </c>
      <c r="Q92" s="18">
        <f t="shared" si="216"/>
        <v>2.4325990175278367</v>
      </c>
      <c r="S92" s="18">
        <f t="shared" si="217"/>
        <v>2.975874586613636</v>
      </c>
      <c r="T92" s="18">
        <f t="shared" si="218"/>
        <v>3.1208903237297525</v>
      </c>
      <c r="U92" s="18">
        <f t="shared" si="219"/>
        <v>5.1967222110501643</v>
      </c>
      <c r="W92" t="str">
        <f t="shared" si="256"/>
        <v>35 Business and public service associate professionals</v>
      </c>
      <c r="X92" s="18">
        <f t="shared" si="220"/>
        <v>0.25401625918191062</v>
      </c>
      <c r="Y92" s="18">
        <f t="shared" si="220"/>
        <v>12.425256947199426</v>
      </c>
      <c r="Z92" s="18">
        <f t="shared" si="220"/>
        <v>0.87785324416786992</v>
      </c>
      <c r="AA92" s="18">
        <f t="shared" si="220"/>
        <v>1.2147272270880194</v>
      </c>
      <c r="AB92" s="18">
        <f t="shared" si="221"/>
        <v>1.7753274989232626</v>
      </c>
      <c r="AD92" s="18">
        <f t="shared" si="222"/>
        <v>1.1023110884652798</v>
      </c>
      <c r="AE92" s="18">
        <f t="shared" si="223"/>
        <v>2.9903973225246627</v>
      </c>
      <c r="AF92" s="18">
        <f t="shared" si="224"/>
        <v>3.7397926777649859</v>
      </c>
      <c r="AH92" t="str">
        <f t="shared" si="257"/>
        <v>35 Business and public service associate professionals</v>
      </c>
      <c r="AI92" s="18">
        <f t="shared" si="225"/>
        <v>0.16885026598725261</v>
      </c>
      <c r="AJ92" s="18">
        <f t="shared" si="225"/>
        <v>17.963265561494858</v>
      </c>
      <c r="AK92" s="18">
        <f t="shared" si="225"/>
        <v>1.2350500453059521</v>
      </c>
      <c r="AL92" s="18">
        <f t="shared" si="225"/>
        <v>1.9274347474849574</v>
      </c>
      <c r="AM92" s="18">
        <f t="shared" si="226"/>
        <v>2.6436329359786015</v>
      </c>
      <c r="AO92" s="18">
        <f t="shared" si="227"/>
        <v>1.6961152753334208</v>
      </c>
      <c r="AP92" s="18">
        <f t="shared" si="228"/>
        <v>2.9693869466335343</v>
      </c>
      <c r="AQ92" s="18">
        <f t="shared" si="229"/>
        <v>4.1412991630324969</v>
      </c>
      <c r="AS92" t="str">
        <f t="shared" si="258"/>
        <v>35 Business and public service associate professionals</v>
      </c>
      <c r="AT92" s="18">
        <f t="shared" si="230"/>
        <v>-1.0550668038763256</v>
      </c>
      <c r="AU92" s="18">
        <f t="shared" si="230"/>
        <v>18.835580930690554</v>
      </c>
      <c r="AV92" s="18">
        <f t="shared" si="230"/>
        <v>0.52948726175987559</v>
      </c>
      <c r="AW92" s="18">
        <f t="shared" si="230"/>
        <v>1.6535296816725831</v>
      </c>
      <c r="AX92" s="18">
        <f t="shared" si="231"/>
        <v>2.2945282552765622</v>
      </c>
      <c r="AZ92" s="18">
        <f t="shared" si="232"/>
        <v>1.2774593067589768</v>
      </c>
      <c r="BA92" s="18">
        <f t="shared" si="233"/>
        <v>2.7798614783433706</v>
      </c>
      <c r="BB92" s="18">
        <f t="shared" si="234"/>
        <v>3.6756215065833597</v>
      </c>
      <c r="BD92" t="str">
        <f t="shared" si="259"/>
        <v>35 Business and public service associate professionals</v>
      </c>
      <c r="BE92" s="18">
        <f t="shared" si="235"/>
        <v>2.5555969780932442</v>
      </c>
      <c r="BF92" s="18">
        <f t="shared" si="235"/>
        <v>5.6446741504563525</v>
      </c>
      <c r="BG92" s="18">
        <f t="shared" si="235"/>
        <v>-0.81061453258238769</v>
      </c>
      <c r="BH92" s="18">
        <f t="shared" si="235"/>
        <v>2.2393878469695316E-2</v>
      </c>
      <c r="BI92" s="18">
        <f t="shared" si="236"/>
        <v>0.10289283488162937</v>
      </c>
      <c r="BK92" s="18">
        <f t="shared" si="237"/>
        <v>-0.25605000900370545</v>
      </c>
      <c r="BL92" s="18">
        <f t="shared" si="238"/>
        <v>2.2978670832789261</v>
      </c>
      <c r="BM92" s="18">
        <f t="shared" si="239"/>
        <v>2.1125462432679321</v>
      </c>
      <c r="BO92" t="str">
        <f t="shared" si="260"/>
        <v>35 Business and public service associate professionals</v>
      </c>
      <c r="BP92" s="18">
        <f t="shared" si="240"/>
        <v>0.54171261036066731</v>
      </c>
      <c r="BQ92" s="18">
        <f t="shared" si="240"/>
        <v>3.8008694870530935</v>
      </c>
      <c r="BR92" s="18">
        <f t="shared" si="240"/>
        <v>-2.756396589040111</v>
      </c>
      <c r="BS92" s="18">
        <f t="shared" si="240"/>
        <v>-2.0699075255388277</v>
      </c>
      <c r="BT92" s="18">
        <f t="shared" si="241"/>
        <v>-1.9287431928322496</v>
      </c>
      <c r="BV92" s="18">
        <f t="shared" si="242"/>
        <v>-2.2992740035182035</v>
      </c>
      <c r="BW92" s="18">
        <f t="shared" si="243"/>
        <v>1.9389700519507169</v>
      </c>
      <c r="BX92" s="18">
        <f t="shared" si="244"/>
        <v>0.25725312896982544</v>
      </c>
      <c r="BZ92" t="str">
        <f t="shared" si="261"/>
        <v>35 Business and public service associate professionals</v>
      </c>
      <c r="CA92" s="18">
        <f t="shared" si="245"/>
        <v>-1.9338992956436818</v>
      </c>
      <c r="CB92" s="18">
        <f t="shared" si="245"/>
        <v>3.6317101348072756</v>
      </c>
      <c r="CC92" s="18">
        <f t="shared" si="245"/>
        <v>-3.0394693088073632</v>
      </c>
      <c r="CD92" s="18">
        <f t="shared" si="245"/>
        <v>-4.3519380228233873</v>
      </c>
      <c r="CE92" s="18">
        <f t="shared" si="246"/>
        <v>-3.4612139803575914</v>
      </c>
      <c r="CG92" s="18">
        <f t="shared" si="247"/>
        <v>-3.9164343910542132</v>
      </c>
      <c r="CH92" s="18">
        <f t="shared" si="248"/>
        <v>1.6865966073282168</v>
      </c>
      <c r="CI92" s="18">
        <f t="shared" si="249"/>
        <v>-1.1999847467323965</v>
      </c>
      <c r="CK92" t="str">
        <f t="shared" si="262"/>
        <v>35 Business and public service associate professionals</v>
      </c>
      <c r="CL92" s="18">
        <f t="shared" si="250"/>
        <v>3.3140579739033837</v>
      </c>
      <c r="CM92" s="18">
        <f t="shared" si="250"/>
        <v>-10.716331722462424</v>
      </c>
      <c r="CN92" s="18">
        <f t="shared" si="250"/>
        <v>-2.1033152883097483</v>
      </c>
      <c r="CO92" s="18">
        <f t="shared" si="250"/>
        <v>-1.374610809922483</v>
      </c>
      <c r="CP92" s="18">
        <f t="shared" si="251"/>
        <v>-2.2129819028730457</v>
      </c>
      <c r="CR92" s="18">
        <f t="shared" si="252"/>
        <v>-1.6181130052553394</v>
      </c>
      <c r="CS92" s="18">
        <f t="shared" si="253"/>
        <v>1.7479680733637926</v>
      </c>
      <c r="CT92" s="18">
        <f t="shared" si="254"/>
        <v>0.5130087524296556</v>
      </c>
    </row>
    <row r="93" spans="1:98" x14ac:dyDescent="0.2">
      <c r="A93" t="str">
        <f t="shared" si="209"/>
        <v>41 Administrative occupations</v>
      </c>
      <c r="B93" s="18">
        <f t="shared" si="210"/>
        <v>7.5899042178678044</v>
      </c>
      <c r="C93" s="18">
        <f t="shared" si="210"/>
        <v>-10.49279389039739</v>
      </c>
      <c r="D93" s="18">
        <f t="shared" si="210"/>
        <v>5.253492902823953</v>
      </c>
      <c r="E93" s="18">
        <f t="shared" si="210"/>
        <v>3.516933848952486</v>
      </c>
      <c r="F93" s="18">
        <f t="shared" si="211"/>
        <v>3.1150748919074323</v>
      </c>
      <c r="H93" s="18">
        <f t="shared" si="212"/>
        <v>4.0925798309385364</v>
      </c>
      <c r="I93" s="18">
        <f t="shared" si="213"/>
        <v>3.565734147216526</v>
      </c>
      <c r="J93" s="18">
        <f t="shared" si="214"/>
        <v>6.3457285763352633</v>
      </c>
      <c r="L93" t="str">
        <f t="shared" si="255"/>
        <v>41 Administrative occupations</v>
      </c>
      <c r="M93" s="18">
        <f t="shared" si="215"/>
        <v>9.0180835631640477</v>
      </c>
      <c r="N93" s="18">
        <f t="shared" si="215"/>
        <v>-10.305718646847362</v>
      </c>
      <c r="O93" s="18">
        <f t="shared" si="215"/>
        <v>5.7759440035426879</v>
      </c>
      <c r="P93" s="18">
        <f t="shared" si="215"/>
        <v>3.3034839990329079</v>
      </c>
      <c r="Q93" s="18">
        <f t="shared" si="216"/>
        <v>3.1550661645719957</v>
      </c>
      <c r="S93" s="18">
        <f t="shared" si="217"/>
        <v>4.121148308926581</v>
      </c>
      <c r="T93" s="18">
        <f t="shared" si="218"/>
        <v>3.6340410041177718</v>
      </c>
      <c r="U93" s="18">
        <f t="shared" si="219"/>
        <v>6.4139902496271439</v>
      </c>
      <c r="W93" t="str">
        <f t="shared" si="256"/>
        <v>41 Administrative occupations</v>
      </c>
      <c r="X93" s="18">
        <f t="shared" si="220"/>
        <v>1.2706603208347822</v>
      </c>
      <c r="Y93" s="18">
        <f t="shared" si="220"/>
        <v>7.4166273936536076</v>
      </c>
      <c r="Z93" s="18">
        <f t="shared" si="220"/>
        <v>3.598890370200758</v>
      </c>
      <c r="AA93" s="18">
        <f t="shared" si="220"/>
        <v>2.1886039723506778</v>
      </c>
      <c r="AB93" s="18">
        <f t="shared" si="221"/>
        <v>2.9477788233965407</v>
      </c>
      <c r="AD93" s="18">
        <f t="shared" si="222"/>
        <v>2.6565533005100228</v>
      </c>
      <c r="AE93" s="18">
        <f t="shared" si="223"/>
        <v>3.7175666099444005</v>
      </c>
      <c r="AF93" s="18">
        <f t="shared" si="224"/>
        <v>5.4313832975874998</v>
      </c>
      <c r="AH93" t="str">
        <f t="shared" si="257"/>
        <v>41 Administrative occupations</v>
      </c>
      <c r="AI93" s="18">
        <f t="shared" si="225"/>
        <v>1.7674138991055743</v>
      </c>
      <c r="AJ93" s="18">
        <f t="shared" si="225"/>
        <v>4.5547908742670451</v>
      </c>
      <c r="AK93" s="18">
        <f t="shared" si="225"/>
        <v>2.9893720468966434</v>
      </c>
      <c r="AL93" s="18">
        <f t="shared" si="225"/>
        <v>2.1114408931712125</v>
      </c>
      <c r="AM93" s="18">
        <f t="shared" si="226"/>
        <v>2.5364145459211507</v>
      </c>
      <c r="AO93" s="18">
        <f t="shared" si="227"/>
        <v>2.4032498994133178</v>
      </c>
      <c r="AP93" s="18">
        <f t="shared" si="228"/>
        <v>3.7766941421198741</v>
      </c>
      <c r="AQ93" s="18">
        <f t="shared" si="229"/>
        <v>5.3061485255546215</v>
      </c>
      <c r="AS93" t="str">
        <f t="shared" si="258"/>
        <v>41 Administrative occupations</v>
      </c>
      <c r="AT93" s="18">
        <f t="shared" si="230"/>
        <v>1.1759766900071966</v>
      </c>
      <c r="AU93" s="18">
        <f t="shared" si="230"/>
        <v>5.4451958290016478</v>
      </c>
      <c r="AV93" s="18">
        <f t="shared" si="230"/>
        <v>1.9053111359854435</v>
      </c>
      <c r="AW93" s="18">
        <f t="shared" si="230"/>
        <v>1.8848945449556842</v>
      </c>
      <c r="AX93" s="18">
        <f t="shared" si="231"/>
        <v>2.1102421402720006</v>
      </c>
      <c r="AZ93" s="18">
        <f t="shared" si="232"/>
        <v>1.8916996207655412</v>
      </c>
      <c r="BA93" s="18">
        <f t="shared" si="233"/>
        <v>3.4610820298943246</v>
      </c>
      <c r="BB93" s="18">
        <f t="shared" si="234"/>
        <v>4.6962307878789744</v>
      </c>
      <c r="BD93" t="str">
        <f t="shared" si="259"/>
        <v>41 Administrative occupations</v>
      </c>
      <c r="BE93" s="18">
        <f t="shared" si="235"/>
        <v>0.45357528908722688</v>
      </c>
      <c r="BF93" s="18">
        <f t="shared" si="235"/>
        <v>9.0056557679356164</v>
      </c>
      <c r="BG93" s="18">
        <f t="shared" si="235"/>
        <v>-0.19600883688798421</v>
      </c>
      <c r="BH93" s="18">
        <f t="shared" si="235"/>
        <v>-0.61003840604275661</v>
      </c>
      <c r="BI93" s="18">
        <f t="shared" si="236"/>
        <v>9.5225617929139972E-2</v>
      </c>
      <c r="BK93" s="18">
        <f t="shared" si="237"/>
        <v>-0.47221974364471953</v>
      </c>
      <c r="BL93" s="18">
        <f t="shared" si="238"/>
        <v>2.5688938048754828</v>
      </c>
      <c r="BM93" s="18">
        <f t="shared" si="239"/>
        <v>2.2413202286174494</v>
      </c>
      <c r="BO93" t="str">
        <f t="shared" si="260"/>
        <v>41 Administrative occupations</v>
      </c>
      <c r="BP93" s="18">
        <f t="shared" si="240"/>
        <v>-1.7818397089180094</v>
      </c>
      <c r="BQ93" s="18">
        <f t="shared" si="240"/>
        <v>5.2314618372932831</v>
      </c>
      <c r="BR93" s="18">
        <f t="shared" si="240"/>
        <v>-2.4377524434182063</v>
      </c>
      <c r="BS93" s="18">
        <f t="shared" si="240"/>
        <v>-3.3131115002662748</v>
      </c>
      <c r="BT93" s="18">
        <f t="shared" si="241"/>
        <v>-2.5258623054752682</v>
      </c>
      <c r="BV93" s="18">
        <f t="shared" si="242"/>
        <v>-3.0222013124284075</v>
      </c>
      <c r="BW93" s="18">
        <f t="shared" si="243"/>
        <v>2.1542657990744729</v>
      </c>
      <c r="BX93" s="18">
        <f t="shared" si="244"/>
        <v>5.185715574043126E-2</v>
      </c>
      <c r="BZ93" t="str">
        <f t="shared" si="261"/>
        <v>41 Administrative occupations</v>
      </c>
      <c r="CA93" s="18">
        <f t="shared" si="245"/>
        <v>-8.1740963266168087</v>
      </c>
      <c r="CB93" s="18">
        <f t="shared" si="245"/>
        <v>2.1532872924129753</v>
      </c>
      <c r="CC93" s="18">
        <f t="shared" si="245"/>
        <v>-4.9200448876215326</v>
      </c>
      <c r="CD93" s="18">
        <f t="shared" si="245"/>
        <v>-8.3376430616638579</v>
      </c>
      <c r="CE93" s="18">
        <f t="shared" si="246"/>
        <v>-6.6529792138262822</v>
      </c>
      <c r="CG93" s="18">
        <f t="shared" si="247"/>
        <v>-7.2123157112448988</v>
      </c>
      <c r="CH93" s="18">
        <f t="shared" si="248"/>
        <v>1.3866599744987163</v>
      </c>
      <c r="CI93" s="18">
        <f t="shared" si="249"/>
        <v>-3.8514369447690378</v>
      </c>
      <c r="CK93" t="str">
        <f t="shared" si="262"/>
        <v>41 Administrative occupations</v>
      </c>
      <c r="CL93" s="18">
        <f t="shared" si="250"/>
        <v>-1.8183366215716257</v>
      </c>
      <c r="CM93" s="18">
        <f t="shared" si="250"/>
        <v>-14.354914478616966</v>
      </c>
      <c r="CN93" s="18">
        <f t="shared" si="250"/>
        <v>-1.9051284812854008</v>
      </c>
      <c r="CO93" s="18">
        <f t="shared" si="250"/>
        <v>-4.32765426409214</v>
      </c>
      <c r="CP93" s="18">
        <f t="shared" si="251"/>
        <v>-4.2420397603712967</v>
      </c>
      <c r="CR93" s="18">
        <f t="shared" si="252"/>
        <v>-3.5268670406624736</v>
      </c>
      <c r="CS93" s="18">
        <f t="shared" si="253"/>
        <v>1.6763563190839603</v>
      </c>
      <c r="CT93" s="18">
        <f t="shared" si="254"/>
        <v>-0.94853517688122668</v>
      </c>
    </row>
    <row r="94" spans="1:98" x14ac:dyDescent="0.2">
      <c r="A94" t="str">
        <f t="shared" si="209"/>
        <v>42 Secretarial and related occupations</v>
      </c>
      <c r="B94" s="18">
        <f t="shared" si="210"/>
        <v>11.556050549017582</v>
      </c>
      <c r="C94" s="18">
        <f t="shared" si="210"/>
        <v>-11.616258198054407</v>
      </c>
      <c r="D94" s="18">
        <f t="shared" si="210"/>
        <v>9.071268084862405</v>
      </c>
      <c r="E94" s="18">
        <f t="shared" si="210"/>
        <v>4.8667239412901075</v>
      </c>
      <c r="F94" s="18">
        <f t="shared" si="211"/>
        <v>5.0343434780477869</v>
      </c>
      <c r="H94" s="18">
        <f t="shared" si="212"/>
        <v>6.249914186982819</v>
      </c>
      <c r="I94" s="18">
        <f t="shared" si="213"/>
        <v>4.5568695989835595</v>
      </c>
      <c r="J94" s="18">
        <f t="shared" si="214"/>
        <v>8.5722646269022817</v>
      </c>
      <c r="L94" t="str">
        <f t="shared" si="255"/>
        <v>42 Secretarial and related occupations</v>
      </c>
      <c r="M94" s="18">
        <f t="shared" si="215"/>
        <v>8.4402451467699535</v>
      </c>
      <c r="N94" s="18">
        <f t="shared" si="215"/>
        <v>-17.181356561109574</v>
      </c>
      <c r="O94" s="18">
        <f t="shared" si="215"/>
        <v>7.8734220326706295</v>
      </c>
      <c r="P94" s="18">
        <f t="shared" si="215"/>
        <v>2.5478876496802583</v>
      </c>
      <c r="Q94" s="18">
        <f t="shared" si="216"/>
        <v>2.8011501995697019</v>
      </c>
      <c r="S94" s="18">
        <f t="shared" si="217"/>
        <v>4.293193174904264</v>
      </c>
      <c r="T94" s="18">
        <f t="shared" si="218"/>
        <v>3.9036313962747871</v>
      </c>
      <c r="U94" s="18">
        <f t="shared" si="219"/>
        <v>6.7253650166217094</v>
      </c>
      <c r="W94" t="str">
        <f t="shared" si="256"/>
        <v>42 Secretarial and related occupations</v>
      </c>
      <c r="X94" s="18">
        <f t="shared" si="220"/>
        <v>1.916687569307518</v>
      </c>
      <c r="Y94" s="18">
        <f t="shared" si="220"/>
        <v>5.7050155207161168E-2</v>
      </c>
      <c r="Z94" s="18">
        <f t="shared" si="220"/>
        <v>5.0177471449534883</v>
      </c>
      <c r="AA94" s="18">
        <f t="shared" si="220"/>
        <v>2.9650408241607362</v>
      </c>
      <c r="AB94" s="18">
        <f t="shared" si="221"/>
        <v>3.4168240614410816</v>
      </c>
      <c r="AD94" s="18">
        <f t="shared" si="222"/>
        <v>3.6447790026646443</v>
      </c>
      <c r="AE94" s="18">
        <f t="shared" si="223"/>
        <v>4.2704366418250927</v>
      </c>
      <c r="AF94" s="18">
        <f t="shared" si="224"/>
        <v>6.5316543416202855</v>
      </c>
      <c r="AH94" t="str">
        <f t="shared" si="257"/>
        <v>42 Secretarial and related occupations</v>
      </c>
      <c r="AI94" s="18">
        <f t="shared" si="225"/>
        <v>1.3428696406928342</v>
      </c>
      <c r="AJ94" s="18">
        <f t="shared" si="225"/>
        <v>2.2945487762162431</v>
      </c>
      <c r="AK94" s="18">
        <f t="shared" si="225"/>
        <v>2.8267496724298846</v>
      </c>
      <c r="AL94" s="18">
        <f t="shared" si="225"/>
        <v>0.46114866229611806</v>
      </c>
      <c r="AM94" s="18">
        <f t="shared" si="226"/>
        <v>1.3089412441031456</v>
      </c>
      <c r="AO94" s="18">
        <f t="shared" si="227"/>
        <v>1.2435727392367424</v>
      </c>
      <c r="AP94" s="18">
        <f t="shared" si="228"/>
        <v>3.5384326486790574</v>
      </c>
      <c r="AQ94" s="18">
        <f t="shared" si="229"/>
        <v>4.3292462939622967</v>
      </c>
      <c r="AS94" t="str">
        <f t="shared" si="258"/>
        <v>42 Secretarial and related occupations</v>
      </c>
      <c r="AT94" s="18">
        <f t="shared" si="230"/>
        <v>0.37745031291351872</v>
      </c>
      <c r="AU94" s="18">
        <f t="shared" si="230"/>
        <v>1.637211791658566</v>
      </c>
      <c r="AV94" s="18">
        <f t="shared" si="230"/>
        <v>2.5934087262461158</v>
      </c>
      <c r="AW94" s="18">
        <f t="shared" si="230"/>
        <v>-1.0133129088993109</v>
      </c>
      <c r="AX94" s="18">
        <f t="shared" si="231"/>
        <v>0.2654069818461835</v>
      </c>
      <c r="AZ94" s="18">
        <f t="shared" si="232"/>
        <v>0.17461443391144638</v>
      </c>
      <c r="BA94" s="18">
        <f t="shared" si="233"/>
        <v>3.3379784867320517</v>
      </c>
      <c r="BB94" s="18">
        <f t="shared" si="234"/>
        <v>3.4487669706903201</v>
      </c>
      <c r="BD94" t="str">
        <f t="shared" si="259"/>
        <v>42 Secretarial and related occupations</v>
      </c>
      <c r="BE94" s="18">
        <f t="shared" si="235"/>
        <v>-0.48009271082526395</v>
      </c>
      <c r="BF94" s="18">
        <f t="shared" si="235"/>
        <v>-0.18016259039046467</v>
      </c>
      <c r="BG94" s="18">
        <f t="shared" si="235"/>
        <v>-1.5505253397330665</v>
      </c>
      <c r="BH94" s="18">
        <f t="shared" si="235"/>
        <v>-8.6610632219867085</v>
      </c>
      <c r="BI94" s="18">
        <f t="shared" si="236"/>
        <v>-5.9756776560504381</v>
      </c>
      <c r="BK94" s="18">
        <f t="shared" si="237"/>
        <v>-6.3498589899073421</v>
      </c>
      <c r="BL94" s="18">
        <f t="shared" si="238"/>
        <v>2.0163044630834737</v>
      </c>
      <c r="BM94" s="18">
        <f t="shared" si="239"/>
        <v>-2.1401077132866653</v>
      </c>
      <c r="BO94" t="str">
        <f t="shared" si="260"/>
        <v>42 Secretarial and related occupations</v>
      </c>
      <c r="BP94" s="18">
        <f t="shared" si="240"/>
        <v>-3.3945918733495062</v>
      </c>
      <c r="BQ94" s="18">
        <f t="shared" si="240"/>
        <v>-0.85092097392679422</v>
      </c>
      <c r="BR94" s="18">
        <f t="shared" si="240"/>
        <v>-5.7376886088727819</v>
      </c>
      <c r="BS94" s="18">
        <f t="shared" si="240"/>
        <v>-9.6447923888936966</v>
      </c>
      <c r="BT94" s="18">
        <f t="shared" si="241"/>
        <v>-7.9085233283201166</v>
      </c>
      <c r="BV94" s="18">
        <f t="shared" si="242"/>
        <v>-8.3607582558622777</v>
      </c>
      <c r="BW94" s="18">
        <f t="shared" si="243"/>
        <v>1.7252704024449006</v>
      </c>
      <c r="BX94" s="18">
        <f t="shared" si="244"/>
        <v>-3.7640541608767064</v>
      </c>
      <c r="BZ94" t="str">
        <f t="shared" si="261"/>
        <v>42 Secretarial and related occupations</v>
      </c>
      <c r="CA94" s="18">
        <f t="shared" si="245"/>
        <v>-6.9107015769276137</v>
      </c>
      <c r="CB94" s="18">
        <f t="shared" si="245"/>
        <v>-2.6982447450830227</v>
      </c>
      <c r="CC94" s="18">
        <f t="shared" si="245"/>
        <v>-9.6274790579628071</v>
      </c>
      <c r="CD94" s="18">
        <f t="shared" si="245"/>
        <v>-9.4501546558995457</v>
      </c>
      <c r="CE94" s="18">
        <f t="shared" si="246"/>
        <v>-9.0979375696520037</v>
      </c>
      <c r="CG94" s="18">
        <f t="shared" si="247"/>
        <v>-9.5093014159117306</v>
      </c>
      <c r="CH94" s="18">
        <f t="shared" si="248"/>
        <v>1.2539523673583464</v>
      </c>
      <c r="CI94" s="18">
        <f t="shared" si="249"/>
        <v>-5.4869191544053013</v>
      </c>
      <c r="CK94" t="str">
        <f t="shared" si="262"/>
        <v>42 Secretarial and related occupations</v>
      </c>
      <c r="CL94" s="18">
        <f t="shared" si="250"/>
        <v>1.1782958359189744</v>
      </c>
      <c r="CM94" s="18">
        <f t="shared" si="250"/>
        <v>-8.4810247538778309</v>
      </c>
      <c r="CN94" s="18">
        <f t="shared" si="250"/>
        <v>1.5422768172135948</v>
      </c>
      <c r="CO94" s="18">
        <f t="shared" si="250"/>
        <v>-1.1363201860743355</v>
      </c>
      <c r="CP94" s="18">
        <f t="shared" si="251"/>
        <v>-0.7867710514378512</v>
      </c>
      <c r="CR94" s="18">
        <f t="shared" si="252"/>
        <v>-0.25139901249648933</v>
      </c>
      <c r="CS94" s="18">
        <f t="shared" si="253"/>
        <v>2.7067364086379886</v>
      </c>
      <c r="CT94" s="18">
        <f t="shared" si="254"/>
        <v>2.534773484797137</v>
      </c>
    </row>
    <row r="95" spans="1:98" x14ac:dyDescent="0.2">
      <c r="A95" t="str">
        <f t="shared" si="209"/>
        <v>51 Skilled agricultural and related trades</v>
      </c>
      <c r="B95" s="18">
        <f t="shared" si="210"/>
        <v>28.322464928889612</v>
      </c>
      <c r="C95" s="18">
        <f t="shared" si="210"/>
        <v>-61.021623329097885</v>
      </c>
      <c r="D95" s="18">
        <f t="shared" si="210"/>
        <v>3.1388215634433614</v>
      </c>
      <c r="E95" s="18">
        <f t="shared" si="210"/>
        <v>2.3312274964606639</v>
      </c>
      <c r="F95" s="18">
        <f t="shared" si="211"/>
        <v>-3.4224852089243862</v>
      </c>
      <c r="H95" s="18">
        <f t="shared" si="212"/>
        <v>2.5997204406752239</v>
      </c>
      <c r="I95" s="18">
        <f t="shared" si="213"/>
        <v>4.1165484611362713</v>
      </c>
      <c r="J95" s="18">
        <f t="shared" si="214"/>
        <v>5.7129519860542599</v>
      </c>
      <c r="L95" t="str">
        <f t="shared" si="255"/>
        <v>51 Skilled agricultural and related trades</v>
      </c>
      <c r="M95" s="18">
        <f t="shared" si="215"/>
        <v>3.0643330733251428</v>
      </c>
      <c r="N95" s="18">
        <f t="shared" si="215"/>
        <v>-16.528119913522943</v>
      </c>
      <c r="O95" s="18">
        <f t="shared" si="215"/>
        <v>-0.51418438400622213</v>
      </c>
      <c r="P95" s="18">
        <f t="shared" si="215"/>
        <v>2.9993177954565686</v>
      </c>
      <c r="Q95" s="18">
        <f t="shared" si="216"/>
        <v>0.55833962177744834</v>
      </c>
      <c r="S95" s="18">
        <f t="shared" si="217"/>
        <v>1.8145752319984831</v>
      </c>
      <c r="T95" s="18">
        <f t="shared" si="218"/>
        <v>3.0791046614279338</v>
      </c>
      <c r="U95" s="18">
        <f t="shared" si="219"/>
        <v>4.3191366140457044</v>
      </c>
      <c r="W95" t="str">
        <f t="shared" si="256"/>
        <v>51 Skilled agricultural and related trades</v>
      </c>
      <c r="X95" s="18">
        <f t="shared" si="220"/>
        <v>2.7425351445474977</v>
      </c>
      <c r="Y95" s="18">
        <f t="shared" si="220"/>
        <v>30.7722006398931</v>
      </c>
      <c r="Z95" s="18">
        <f t="shared" si="220"/>
        <v>1.594196917188051</v>
      </c>
      <c r="AA95" s="18">
        <f t="shared" si="220"/>
        <v>2.9764352330954758</v>
      </c>
      <c r="AB95" s="18">
        <f t="shared" si="221"/>
        <v>4.0854213933128269</v>
      </c>
      <c r="AD95" s="18">
        <f t="shared" si="222"/>
        <v>2.5136121056593685</v>
      </c>
      <c r="AE95" s="18">
        <f t="shared" si="223"/>
        <v>3.9104722920070945</v>
      </c>
      <c r="AF95" s="18">
        <f t="shared" si="224"/>
        <v>5.4890837871382603</v>
      </c>
      <c r="AH95" t="str">
        <f t="shared" si="257"/>
        <v>51 Skilled agricultural and related trades</v>
      </c>
      <c r="AI95" s="18">
        <f t="shared" si="225"/>
        <v>2.4470301897992375</v>
      </c>
      <c r="AJ95" s="18">
        <f t="shared" si="225"/>
        <v>7.2952237078574678</v>
      </c>
      <c r="AK95" s="18">
        <f t="shared" si="225"/>
        <v>1.5463487555034128E-2</v>
      </c>
      <c r="AL95" s="18">
        <f t="shared" si="225"/>
        <v>2.1425137681033712</v>
      </c>
      <c r="AM95" s="18">
        <f t="shared" si="226"/>
        <v>1.7856016189909063</v>
      </c>
      <c r="AO95" s="18">
        <f t="shared" si="227"/>
        <v>1.4285176651236187</v>
      </c>
      <c r="AP95" s="18">
        <f t="shared" si="228"/>
        <v>3.8928901766317914</v>
      </c>
      <c r="AQ95" s="18">
        <f t="shared" si="229"/>
        <v>4.7656686001236404</v>
      </c>
      <c r="AS95" t="str">
        <f t="shared" si="258"/>
        <v>51 Skilled agricultural and related trades</v>
      </c>
      <c r="AT95" s="18">
        <f t="shared" si="230"/>
        <v>-3.8034904079504273</v>
      </c>
      <c r="AU95" s="18">
        <f t="shared" si="230"/>
        <v>43.227541941146598</v>
      </c>
      <c r="AV95" s="18">
        <f t="shared" si="230"/>
        <v>-0.12711362644463042</v>
      </c>
      <c r="AW95" s="18">
        <f t="shared" si="230"/>
        <v>2.5117539175231851</v>
      </c>
      <c r="AX95" s="18">
        <f t="shared" si="231"/>
        <v>3.8275423496481054</v>
      </c>
      <c r="AZ95" s="18">
        <f t="shared" si="232"/>
        <v>1.6244737966337963</v>
      </c>
      <c r="BA95" s="18">
        <f t="shared" si="233"/>
        <v>3.4939058426854519</v>
      </c>
      <c r="BB95" s="18">
        <f t="shared" si="234"/>
        <v>4.5431307818579736</v>
      </c>
      <c r="BD95" t="str">
        <f t="shared" si="259"/>
        <v>51 Skilled agricultural and related trades</v>
      </c>
      <c r="BE95" s="18">
        <f t="shared" si="235"/>
        <v>7.3578202529600567E-2</v>
      </c>
      <c r="BF95" s="18">
        <f t="shared" si="235"/>
        <v>12.247112892343415</v>
      </c>
      <c r="BG95" s="18">
        <f t="shared" si="235"/>
        <v>-2.2199953229853131</v>
      </c>
      <c r="BH95" s="18">
        <f t="shared" si="235"/>
        <v>-0.37888260770239102</v>
      </c>
      <c r="BI95" s="18">
        <f t="shared" si="236"/>
        <v>-0.21650281670155813</v>
      </c>
      <c r="BK95" s="18">
        <f t="shared" si="237"/>
        <v>-0.99640680124203351</v>
      </c>
      <c r="BL95" s="18">
        <f t="shared" si="238"/>
        <v>2.6174738516395513</v>
      </c>
      <c r="BM95" s="18">
        <f t="shared" si="239"/>
        <v>1.939398532665737</v>
      </c>
      <c r="BO95" t="str">
        <f t="shared" si="260"/>
        <v>51 Skilled agricultural and related trades</v>
      </c>
      <c r="BP95" s="18">
        <f t="shared" si="240"/>
        <v>1.2593600199545696</v>
      </c>
      <c r="BQ95" s="18">
        <f t="shared" si="240"/>
        <v>8.538262464758084</v>
      </c>
      <c r="BR95" s="18">
        <f t="shared" si="240"/>
        <v>-2.1189485699930288</v>
      </c>
      <c r="BS95" s="18">
        <f t="shared" si="240"/>
        <v>-0.72779326856491355</v>
      </c>
      <c r="BT95" s="18">
        <f t="shared" si="241"/>
        <v>-0.61186365206301607</v>
      </c>
      <c r="BV95" s="18">
        <f t="shared" si="242"/>
        <v>-1.1936948380803392</v>
      </c>
      <c r="BW95" s="18">
        <f t="shared" si="243"/>
        <v>2.5905990186449568</v>
      </c>
      <c r="BX95" s="18">
        <f t="shared" si="244"/>
        <v>1.7789744700207555</v>
      </c>
      <c r="BZ95" t="str">
        <f t="shared" si="261"/>
        <v>51 Skilled agricultural and related trades</v>
      </c>
      <c r="CA95" s="18">
        <f t="shared" si="245"/>
        <v>-5.6099884446427666</v>
      </c>
      <c r="CB95" s="18">
        <f t="shared" si="245"/>
        <v>17.571530256989611</v>
      </c>
      <c r="CC95" s="18">
        <f t="shared" si="245"/>
        <v>-6.0694904455585341</v>
      </c>
      <c r="CD95" s="18">
        <f t="shared" si="245"/>
        <v>-5.0083604866428377</v>
      </c>
      <c r="CE95" s="18">
        <f t="shared" si="246"/>
        <v>-4.0711280978082298</v>
      </c>
      <c r="CG95" s="18">
        <f t="shared" si="247"/>
        <v>-5.3633957792645015</v>
      </c>
      <c r="CH95" s="18">
        <f t="shared" si="248"/>
        <v>1.8306870020374788</v>
      </c>
      <c r="CI95" s="18">
        <f t="shared" si="249"/>
        <v>-1.8982747255917198</v>
      </c>
      <c r="CK95" t="str">
        <f t="shared" si="262"/>
        <v>51 Skilled agricultural and related trades</v>
      </c>
      <c r="CL95" s="18">
        <f t="shared" si="250"/>
        <v>-5.2201833218068927</v>
      </c>
      <c r="CM95" s="18">
        <f t="shared" si="250"/>
        <v>19.539727099912984</v>
      </c>
      <c r="CN95" s="18">
        <f t="shared" si="250"/>
        <v>0.29490709776853752</v>
      </c>
      <c r="CO95" s="18">
        <f t="shared" si="250"/>
        <v>-4.7422232104616491</v>
      </c>
      <c r="CP95" s="18">
        <f t="shared" si="251"/>
        <v>-1.812332732926869</v>
      </c>
      <c r="CR95" s="18">
        <f t="shared" si="252"/>
        <v>-3.0919352002500289</v>
      </c>
      <c r="CS95" s="18">
        <f t="shared" si="253"/>
        <v>1.7580363342254435</v>
      </c>
      <c r="CT95" s="18">
        <f t="shared" si="254"/>
        <v>-0.53222185592495252</v>
      </c>
    </row>
    <row r="96" spans="1:98" x14ac:dyDescent="0.2">
      <c r="A96" t="str">
        <f t="shared" si="209"/>
        <v>52 Skilled metal, electrical and electronic trades</v>
      </c>
      <c r="B96" s="18">
        <f t="shared" si="210"/>
        <v>2.536791138363359E-2</v>
      </c>
      <c r="C96" s="18">
        <f t="shared" si="210"/>
        <v>17.066206762232273</v>
      </c>
      <c r="D96" s="18">
        <f t="shared" si="210"/>
        <v>4.5088011564072605</v>
      </c>
      <c r="E96" s="18">
        <f t="shared" si="210"/>
        <v>3.642754596153619</v>
      </c>
      <c r="F96" s="18">
        <f t="shared" si="211"/>
        <v>4.7066064132369911</v>
      </c>
      <c r="H96" s="18">
        <f t="shared" si="212"/>
        <v>3.9306364117344561</v>
      </c>
      <c r="I96" s="18">
        <f t="shared" si="213"/>
        <v>3.2936215213237308</v>
      </c>
      <c r="J96" s="18">
        <f t="shared" si="214"/>
        <v>6.0364303248603646</v>
      </c>
      <c r="L96" t="str">
        <f t="shared" si="255"/>
        <v>52 Skilled metal, electrical and electronic trades</v>
      </c>
      <c r="M96" s="18">
        <f t="shared" si="215"/>
        <v>5.51290641089901</v>
      </c>
      <c r="N96" s="18">
        <f t="shared" si="215"/>
        <v>-19.418358955155458</v>
      </c>
      <c r="O96" s="18">
        <f t="shared" si="215"/>
        <v>7.1957104827455209</v>
      </c>
      <c r="P96" s="18">
        <f t="shared" si="215"/>
        <v>4.2896773647103315</v>
      </c>
      <c r="Q96" s="18">
        <f t="shared" si="216"/>
        <v>3.5073104309343073</v>
      </c>
      <c r="S96" s="18">
        <f t="shared" si="217"/>
        <v>5.2494944145956124</v>
      </c>
      <c r="T96" s="18">
        <f t="shared" si="218"/>
        <v>3.7388406281757103</v>
      </c>
      <c r="U96" s="18">
        <f t="shared" si="219"/>
        <v>7.3277599113514835</v>
      </c>
      <c r="W96" t="str">
        <f t="shared" si="256"/>
        <v>52 Skilled metal, electrical and electronic trades</v>
      </c>
      <c r="X96" s="18">
        <f t="shared" si="220"/>
        <v>-1.8601530229226726</v>
      </c>
      <c r="Y96" s="18">
        <f t="shared" si="220"/>
        <v>3.6196646123779264</v>
      </c>
      <c r="Z96" s="18">
        <f t="shared" si="220"/>
        <v>2.7927753620056173</v>
      </c>
      <c r="AA96" s="18">
        <f t="shared" si="220"/>
        <v>2.3793355145875994</v>
      </c>
      <c r="AB96" s="18">
        <f t="shared" si="221"/>
        <v>2.5855374140590692</v>
      </c>
      <c r="AD96" s="18">
        <f t="shared" si="222"/>
        <v>2.51696370106127</v>
      </c>
      <c r="AE96" s="18">
        <f t="shared" si="223"/>
        <v>3.1293515612985434</v>
      </c>
      <c r="AF96" s="18">
        <f t="shared" si="224"/>
        <v>4.8659582237982058</v>
      </c>
      <c r="AH96" t="str">
        <f t="shared" si="257"/>
        <v>52 Skilled metal, electrical and electronic trades</v>
      </c>
      <c r="AI96" s="18">
        <f t="shared" si="225"/>
        <v>-4.0236163120836661</v>
      </c>
      <c r="AJ96" s="18">
        <f t="shared" si="225"/>
        <v>11.213778737016922</v>
      </c>
      <c r="AK96" s="18">
        <f t="shared" si="225"/>
        <v>1.7864174230437957</v>
      </c>
      <c r="AL96" s="18">
        <f t="shared" si="225"/>
        <v>2.242668541004611</v>
      </c>
      <c r="AM96" s="18">
        <f t="shared" si="226"/>
        <v>2.6379794523322619</v>
      </c>
      <c r="AO96" s="18">
        <f t="shared" si="227"/>
        <v>2.09035805136637</v>
      </c>
      <c r="AP96" s="18">
        <f t="shared" si="228"/>
        <v>2.8263975003692821</v>
      </c>
      <c r="AQ96" s="18">
        <f t="shared" si="229"/>
        <v>4.3090226318089675</v>
      </c>
      <c r="AS96" t="str">
        <f t="shared" si="258"/>
        <v>52 Skilled metal, electrical and electronic trades</v>
      </c>
      <c r="AT96" s="18">
        <f t="shared" si="230"/>
        <v>-4.9929519262311377</v>
      </c>
      <c r="AU96" s="18">
        <f t="shared" si="230"/>
        <v>7.377510726445391</v>
      </c>
      <c r="AV96" s="18">
        <f t="shared" si="230"/>
        <v>6.6952276041409853E-2</v>
      </c>
      <c r="AW96" s="18">
        <f t="shared" si="230"/>
        <v>1.2961319836043872</v>
      </c>
      <c r="AX96" s="18">
        <f t="shared" si="231"/>
        <v>1.2787790742963656</v>
      </c>
      <c r="AZ96" s="18">
        <f t="shared" si="232"/>
        <v>0.88473687274797097</v>
      </c>
      <c r="BA96" s="18">
        <f t="shared" si="233"/>
        <v>2.5219268048452204</v>
      </c>
      <c r="BB96" s="18">
        <f t="shared" si="234"/>
        <v>3.1580097929387652</v>
      </c>
      <c r="BD96" t="str">
        <f t="shared" si="259"/>
        <v>52 Skilled metal, electrical and electronic trades</v>
      </c>
      <c r="BE96" s="18">
        <f t="shared" si="235"/>
        <v>1.1246271455781498</v>
      </c>
      <c r="BF96" s="18">
        <f t="shared" si="235"/>
        <v>-15.328470905557944</v>
      </c>
      <c r="BG96" s="18">
        <f t="shared" si="235"/>
        <v>-6.1179263109334414E-2</v>
      </c>
      <c r="BH96" s="18">
        <f t="shared" si="235"/>
        <v>-0.41238578678982618</v>
      </c>
      <c r="BI96" s="18">
        <f t="shared" si="236"/>
        <v>-1.3087018085645941</v>
      </c>
      <c r="BK96" s="18">
        <f t="shared" si="237"/>
        <v>-0.29545429522472855</v>
      </c>
      <c r="BL96" s="18">
        <f t="shared" si="238"/>
        <v>2.0331666202233922</v>
      </c>
      <c r="BM96" s="18">
        <f t="shared" si="239"/>
        <v>1.8114773883336044</v>
      </c>
      <c r="BO96" t="str">
        <f t="shared" si="260"/>
        <v>52 Skilled metal, electrical and electronic trades</v>
      </c>
      <c r="BP96" s="18">
        <f t="shared" si="240"/>
        <v>-0.82366776223767868</v>
      </c>
      <c r="BQ96" s="18">
        <f t="shared" si="240"/>
        <v>-13.637923571652166</v>
      </c>
      <c r="BR96" s="18">
        <f t="shared" si="240"/>
        <v>-2.0135882963370988</v>
      </c>
      <c r="BS96" s="18">
        <f t="shared" si="240"/>
        <v>-2.051332030101527</v>
      </c>
      <c r="BT96" s="18">
        <f t="shared" si="241"/>
        <v>-2.8073092697738833</v>
      </c>
      <c r="BV96" s="18">
        <f t="shared" si="242"/>
        <v>-2.0387524011947544</v>
      </c>
      <c r="BW96" s="18">
        <f t="shared" si="243"/>
        <v>1.7934821649908672</v>
      </c>
      <c r="BX96" s="18">
        <f t="shared" si="244"/>
        <v>0.26032617720015416</v>
      </c>
      <c r="BZ96" t="str">
        <f t="shared" si="261"/>
        <v>52 Skilled metal, electrical and electronic trades</v>
      </c>
      <c r="CA96" s="18">
        <f t="shared" si="245"/>
        <v>-4.4270415548070314</v>
      </c>
      <c r="CB96" s="18">
        <f t="shared" si="245"/>
        <v>-7.4222359737415093</v>
      </c>
      <c r="CC96" s="18">
        <f t="shared" si="245"/>
        <v>-4.7665710397053473</v>
      </c>
      <c r="CD96" s="18">
        <f t="shared" si="245"/>
        <v>-5.9291686749142318</v>
      </c>
      <c r="CE96" s="18">
        <f t="shared" si="246"/>
        <v>-5.6617694846048616</v>
      </c>
      <c r="CG96" s="18">
        <f t="shared" si="247"/>
        <v>-5.5432217302827542</v>
      </c>
      <c r="CH96" s="18">
        <f t="shared" si="248"/>
        <v>1.5337493762517029</v>
      </c>
      <c r="CI96" s="18">
        <f t="shared" si="249"/>
        <v>-2.5231558583315938</v>
      </c>
      <c r="CK96" t="str">
        <f t="shared" si="262"/>
        <v>52 Skilled metal, electrical and electronic trades</v>
      </c>
      <c r="CL96" s="18">
        <f t="shared" si="250"/>
        <v>0.59726691265578058</v>
      </c>
      <c r="CM96" s="18">
        <f t="shared" si="250"/>
        <v>-16.112602953498012</v>
      </c>
      <c r="CN96" s="18">
        <f t="shared" si="250"/>
        <v>0.92369832398508933</v>
      </c>
      <c r="CO96" s="18">
        <f t="shared" si="250"/>
        <v>-3.0331292367425378</v>
      </c>
      <c r="CP96" s="18">
        <f t="shared" si="251"/>
        <v>-2.698727651000743</v>
      </c>
      <c r="CR96" s="18">
        <f t="shared" si="252"/>
        <v>-1.731730999026071</v>
      </c>
      <c r="CS96" s="18">
        <f t="shared" si="253"/>
        <v>1.7262688273640414</v>
      </c>
      <c r="CT96" s="18">
        <f t="shared" si="254"/>
        <v>0.40297183201749576</v>
      </c>
    </row>
    <row r="97" spans="1:98" x14ac:dyDescent="0.2">
      <c r="A97" t="str">
        <f t="shared" si="209"/>
        <v>53 Skilled construction and building trades</v>
      </c>
      <c r="B97" s="18">
        <f t="shared" si="210"/>
        <v>-11.204209214150652</v>
      </c>
      <c r="C97" s="18">
        <f t="shared" si="210"/>
        <v>-23.000060586267924</v>
      </c>
      <c r="D97" s="18">
        <f t="shared" si="210"/>
        <v>9.7838452811009002</v>
      </c>
      <c r="E97" s="18">
        <f t="shared" si="210"/>
        <v>0.29765990136880749</v>
      </c>
      <c r="F97" s="18">
        <f t="shared" si="211"/>
        <v>1.4800473446358708</v>
      </c>
      <c r="H97" s="18">
        <f t="shared" si="212"/>
        <v>3.3649612945165996</v>
      </c>
      <c r="I97" s="18">
        <f t="shared" si="213"/>
        <v>3.6855264035501323</v>
      </c>
      <c r="J97" s="18">
        <f t="shared" si="214"/>
        <v>5.9028559459676666</v>
      </c>
      <c r="L97" t="str">
        <f t="shared" si="255"/>
        <v>53 Skilled construction and building trades</v>
      </c>
      <c r="M97" s="18">
        <f t="shared" si="215"/>
        <v>1.0801677764616269</v>
      </c>
      <c r="N97" s="18">
        <f t="shared" si="215"/>
        <v>-19.550780046168125</v>
      </c>
      <c r="O97" s="18">
        <f t="shared" si="215"/>
        <v>5.0261820265708801</v>
      </c>
      <c r="P97" s="18">
        <f t="shared" si="215"/>
        <v>2.4309669232577047</v>
      </c>
      <c r="Q97" s="18">
        <f t="shared" si="216"/>
        <v>1.6881047800094029</v>
      </c>
      <c r="S97" s="18">
        <f t="shared" si="217"/>
        <v>3.2888338676197337</v>
      </c>
      <c r="T97" s="18">
        <f t="shared" si="218"/>
        <v>3.4606293755560236</v>
      </c>
      <c r="U97" s="18">
        <f t="shared" si="219"/>
        <v>5.6809816201702112</v>
      </c>
      <c r="W97" t="str">
        <f t="shared" si="256"/>
        <v>53 Skilled construction and building trades</v>
      </c>
      <c r="X97" s="18">
        <f t="shared" si="220"/>
        <v>-6.6420702392710922</v>
      </c>
      <c r="Y97" s="18">
        <f t="shared" si="220"/>
        <v>3.3998077856239872</v>
      </c>
      <c r="Z97" s="18">
        <f t="shared" si="220"/>
        <v>2.4460716483265976</v>
      </c>
      <c r="AA97" s="18">
        <f t="shared" si="220"/>
        <v>1.6815294716820528</v>
      </c>
      <c r="AB97" s="18">
        <f t="shared" si="221"/>
        <v>2.0266345783809703</v>
      </c>
      <c r="AD97" s="18">
        <f t="shared" si="222"/>
        <v>1.9357407872396371</v>
      </c>
      <c r="AE97" s="18">
        <f t="shared" si="223"/>
        <v>3.1382932870178237</v>
      </c>
      <c r="AF97" s="18">
        <f t="shared" si="224"/>
        <v>4.4551004516130366</v>
      </c>
      <c r="AH97" t="str">
        <f t="shared" si="257"/>
        <v>53 Skilled construction and building trades</v>
      </c>
      <c r="AI97" s="18">
        <f t="shared" si="225"/>
        <v>-2.3110763074608243</v>
      </c>
      <c r="AJ97" s="18">
        <f t="shared" si="225"/>
        <v>1.9741655460540075</v>
      </c>
      <c r="AK97" s="18">
        <f t="shared" si="225"/>
        <v>2.2803773114251413</v>
      </c>
      <c r="AL97" s="18">
        <f t="shared" si="225"/>
        <v>1.7795210032320874</v>
      </c>
      <c r="AM97" s="18">
        <f t="shared" si="226"/>
        <v>1.9479476177008737</v>
      </c>
      <c r="AO97" s="18">
        <f t="shared" si="227"/>
        <v>1.9461999955000531</v>
      </c>
      <c r="AP97" s="18">
        <f t="shared" si="228"/>
        <v>3.2348600803422167</v>
      </c>
      <c r="AQ97" s="18">
        <f t="shared" si="229"/>
        <v>4.5433967995053504</v>
      </c>
      <c r="AS97" t="str">
        <f t="shared" si="258"/>
        <v>53 Skilled construction and building trades</v>
      </c>
      <c r="AT97" s="18">
        <f t="shared" si="230"/>
        <v>-4.065067982108217</v>
      </c>
      <c r="AU97" s="18">
        <f t="shared" si="230"/>
        <v>-1.6175526235612914</v>
      </c>
      <c r="AV97" s="18">
        <f t="shared" si="230"/>
        <v>2.239108063348616</v>
      </c>
      <c r="AW97" s="18">
        <f t="shared" si="230"/>
        <v>1.1296763592761216</v>
      </c>
      <c r="AX97" s="18">
        <f t="shared" si="231"/>
        <v>1.3005529577025277</v>
      </c>
      <c r="AZ97" s="18">
        <f t="shared" si="232"/>
        <v>1.4981427877396758</v>
      </c>
      <c r="BA97" s="18">
        <f t="shared" si="233"/>
        <v>3.1009376034898395</v>
      </c>
      <c r="BB97" s="18">
        <f t="shared" si="234"/>
        <v>4.1145014185968387</v>
      </c>
      <c r="BD97" t="str">
        <f t="shared" si="259"/>
        <v>53 Skilled construction and building trades</v>
      </c>
      <c r="BE97" s="18">
        <f t="shared" si="235"/>
        <v>-1.1253680233516472</v>
      </c>
      <c r="BF97" s="18">
        <f t="shared" si="235"/>
        <v>-20.950804889690133</v>
      </c>
      <c r="BG97" s="18">
        <f t="shared" si="235"/>
        <v>-0.64958636453747998</v>
      </c>
      <c r="BH97" s="18">
        <f t="shared" si="235"/>
        <v>-1.3514886261457582</v>
      </c>
      <c r="BI97" s="18">
        <f t="shared" si="236"/>
        <v>-2.4918985144136596</v>
      </c>
      <c r="BK97" s="18">
        <f t="shared" si="237"/>
        <v>-1.1180739295238662</v>
      </c>
      <c r="BL97" s="18">
        <f t="shared" si="238"/>
        <v>2.0189781920191496</v>
      </c>
      <c r="BM97" s="18">
        <f t="shared" si="239"/>
        <v>1.1914982557691634</v>
      </c>
      <c r="BO97" t="str">
        <f t="shared" si="260"/>
        <v>53 Skilled construction and building trades</v>
      </c>
      <c r="BP97" s="18">
        <f t="shared" si="240"/>
        <v>0.34634826641373184</v>
      </c>
      <c r="BQ97" s="18">
        <f t="shared" si="240"/>
        <v>-19.629668342399686</v>
      </c>
      <c r="BR97" s="18">
        <f t="shared" si="240"/>
        <v>-0.45155494712365574</v>
      </c>
      <c r="BS97" s="18">
        <f t="shared" si="240"/>
        <v>-0.92791312546897098</v>
      </c>
      <c r="BT97" s="18">
        <f t="shared" si="241"/>
        <v>-2.0681790826673097</v>
      </c>
      <c r="BV97" s="18">
        <f t="shared" si="242"/>
        <v>-0.76938087997630022</v>
      </c>
      <c r="BW97" s="18">
        <f t="shared" si="243"/>
        <v>2.2782934141630795</v>
      </c>
      <c r="BX97" s="18">
        <f t="shared" si="244"/>
        <v>1.7258595505853291</v>
      </c>
      <c r="BZ97" t="str">
        <f t="shared" si="261"/>
        <v>53 Skilled construction and building trades</v>
      </c>
      <c r="CA97" s="18">
        <f t="shared" si="245"/>
        <v>-3.5325862588408752</v>
      </c>
      <c r="CB97" s="18">
        <f t="shared" si="245"/>
        <v>-13.80363797310954</v>
      </c>
      <c r="CC97" s="18">
        <f t="shared" si="245"/>
        <v>-3.5049772771248211</v>
      </c>
      <c r="CD97" s="18">
        <f t="shared" si="245"/>
        <v>-3.6098700321627653</v>
      </c>
      <c r="CE97" s="18">
        <f t="shared" si="246"/>
        <v>-4.2483652313395792</v>
      </c>
      <c r="CG97" s="18">
        <f t="shared" si="247"/>
        <v>-3.5749184556438163</v>
      </c>
      <c r="CH97" s="18">
        <f t="shared" si="248"/>
        <v>1.8887184435479654</v>
      </c>
      <c r="CI97" s="18">
        <f t="shared" si="249"/>
        <v>-0.67615319606127988</v>
      </c>
      <c r="CK97" t="str">
        <f t="shared" si="262"/>
        <v>53 Skilled construction and building trades</v>
      </c>
      <c r="CL97" s="18">
        <f t="shared" si="250"/>
        <v>-2.2901390447727543</v>
      </c>
      <c r="CM97" s="18">
        <f t="shared" si="250"/>
        <v>-27.921679900009021</v>
      </c>
      <c r="CN97" s="18">
        <f t="shared" si="250"/>
        <v>-2.1110849376348995</v>
      </c>
      <c r="CO97" s="18">
        <f t="shared" si="250"/>
        <v>-10.874396280320052</v>
      </c>
      <c r="CP97" s="18">
        <f t="shared" si="251"/>
        <v>-9.4332950219386369</v>
      </c>
      <c r="CR97" s="18">
        <f t="shared" si="252"/>
        <v>-8.044122124221186</v>
      </c>
      <c r="CS97" s="18">
        <f t="shared" si="253"/>
        <v>1.1827219350680318</v>
      </c>
      <c r="CT97" s="18">
        <f t="shared" si="254"/>
        <v>-4.8135277996706023</v>
      </c>
    </row>
    <row r="98" spans="1:98" x14ac:dyDescent="0.2">
      <c r="A98" t="str">
        <f t="shared" si="209"/>
        <v>54 Textiles, printing and other skilled trades</v>
      </c>
      <c r="B98" s="18">
        <f t="shared" si="210"/>
        <v>1.4585990391634773</v>
      </c>
      <c r="C98" s="18">
        <f t="shared" si="210"/>
        <v>-12.646663555654779</v>
      </c>
      <c r="D98" s="18">
        <f t="shared" si="210"/>
        <v>7.31977191938189</v>
      </c>
      <c r="E98" s="18">
        <f t="shared" si="210"/>
        <v>3.3368596926206306</v>
      </c>
      <c r="F98" s="18">
        <f t="shared" si="211"/>
        <v>3.4729723911035792</v>
      </c>
      <c r="H98" s="18">
        <f t="shared" si="212"/>
        <v>4.6477961714118887</v>
      </c>
      <c r="I98" s="18">
        <f t="shared" si="213"/>
        <v>3.5387733758361462</v>
      </c>
      <c r="J98" s="18">
        <f t="shared" si="214"/>
        <v>6.743676014067268</v>
      </c>
      <c r="L98" t="str">
        <f t="shared" si="255"/>
        <v>54 Textiles, printing and other skilled trades</v>
      </c>
      <c r="M98" s="18">
        <f t="shared" si="215"/>
        <v>9.707110937433594</v>
      </c>
      <c r="N98" s="18">
        <f t="shared" si="215"/>
        <v>-19.398280119192044</v>
      </c>
      <c r="O98" s="18">
        <f t="shared" si="215"/>
        <v>4.3285851738362968</v>
      </c>
      <c r="P98" s="18">
        <f t="shared" si="215"/>
        <v>3.4477214269694079</v>
      </c>
      <c r="Q98" s="18">
        <f t="shared" si="216"/>
        <v>2.117020995541874</v>
      </c>
      <c r="S98" s="18">
        <f t="shared" si="217"/>
        <v>3.7405131951296688</v>
      </c>
      <c r="T98" s="18">
        <f t="shared" si="218"/>
        <v>3.4799653174419243</v>
      </c>
      <c r="U98" s="18">
        <f t="shared" si="219"/>
        <v>6.0254300145448525</v>
      </c>
      <c r="W98" t="str">
        <f t="shared" si="256"/>
        <v>54 Textiles, printing and other skilled trades</v>
      </c>
      <c r="X98" s="18">
        <f t="shared" si="220"/>
        <v>-1.1330044128786354</v>
      </c>
      <c r="Y98" s="18">
        <f t="shared" si="220"/>
        <v>-1.923199595714653</v>
      </c>
      <c r="Z98" s="18">
        <f t="shared" si="220"/>
        <v>4.2048374859402049</v>
      </c>
      <c r="AA98" s="18">
        <f t="shared" si="220"/>
        <v>2.571397317445423</v>
      </c>
      <c r="AB98" s="18">
        <f t="shared" si="221"/>
        <v>2.7908070080324254</v>
      </c>
      <c r="AD98" s="18">
        <f t="shared" si="222"/>
        <v>3.1130124108238677</v>
      </c>
      <c r="AE98" s="18">
        <f t="shared" si="223"/>
        <v>3.6160724802912325</v>
      </c>
      <c r="AF98" s="18">
        <f t="shared" si="224"/>
        <v>5.6715732049462231</v>
      </c>
      <c r="AH98" t="str">
        <f t="shared" si="257"/>
        <v>54 Textiles, printing and other skilled trades</v>
      </c>
      <c r="AI98" s="18">
        <f t="shared" si="225"/>
        <v>-2.9860303281789458</v>
      </c>
      <c r="AJ98" s="18">
        <f t="shared" si="225"/>
        <v>9.8330055266959491</v>
      </c>
      <c r="AK98" s="18">
        <f t="shared" si="225"/>
        <v>2.2512708999578468</v>
      </c>
      <c r="AL98" s="18">
        <f t="shared" si="225"/>
        <v>2.7578049464791698</v>
      </c>
      <c r="AM98" s="18">
        <f t="shared" si="226"/>
        <v>3.027115101952127</v>
      </c>
      <c r="AO98" s="18">
        <f t="shared" si="227"/>
        <v>2.5886820678574285</v>
      </c>
      <c r="AP98" s="18">
        <f t="shared" si="228"/>
        <v>3.3745934610580841</v>
      </c>
      <c r="AQ98" s="18">
        <f t="shared" si="229"/>
        <v>5.1117485688556563</v>
      </c>
      <c r="AS98" t="str">
        <f t="shared" si="258"/>
        <v>54 Textiles, printing and other skilled trades</v>
      </c>
      <c r="AT98" s="18">
        <f t="shared" si="230"/>
        <v>-2.0593340260225745</v>
      </c>
      <c r="AU98" s="18">
        <f t="shared" si="230"/>
        <v>1.5371753381968389</v>
      </c>
      <c r="AV98" s="18">
        <f t="shared" si="230"/>
        <v>3.229545232762554</v>
      </c>
      <c r="AW98" s="18">
        <f t="shared" si="230"/>
        <v>2.2061384660733374</v>
      </c>
      <c r="AX98" s="18">
        <f t="shared" si="231"/>
        <v>2.4827886294952695</v>
      </c>
      <c r="AZ98" s="18">
        <f t="shared" si="232"/>
        <v>2.5461417314976309</v>
      </c>
      <c r="BA98" s="18">
        <f t="shared" si="233"/>
        <v>3.4653489539568705</v>
      </c>
      <c r="BB98" s="18">
        <f t="shared" si="234"/>
        <v>5.1537576891465875</v>
      </c>
      <c r="BD98" t="str">
        <f t="shared" si="259"/>
        <v>54 Textiles, printing and other skilled trades</v>
      </c>
      <c r="BE98" s="18">
        <f t="shared" si="235"/>
        <v>-2.2055185714397907</v>
      </c>
      <c r="BF98" s="18">
        <f t="shared" si="235"/>
        <v>-5.5633821536928751</v>
      </c>
      <c r="BG98" s="18">
        <f t="shared" si="235"/>
        <v>0.74879826326939014</v>
      </c>
      <c r="BH98" s="18">
        <f t="shared" si="235"/>
        <v>-0.55181287560990278</v>
      </c>
      <c r="BI98" s="18">
        <f t="shared" si="236"/>
        <v>-0.46936347783758103</v>
      </c>
      <c r="BK98" s="18">
        <f t="shared" si="237"/>
        <v>-0.12015218873030475</v>
      </c>
      <c r="BL98" s="18">
        <f t="shared" si="238"/>
        <v>2.3796685101394877</v>
      </c>
      <c r="BM98" s="18">
        <f t="shared" si="239"/>
        <v>2.2934403255728375</v>
      </c>
      <c r="BO98" t="str">
        <f t="shared" si="260"/>
        <v>54 Textiles, printing and other skilled trades</v>
      </c>
      <c r="BP98" s="18">
        <f t="shared" si="240"/>
        <v>-5.0531219616301577</v>
      </c>
      <c r="BQ98" s="18">
        <f t="shared" si="240"/>
        <v>-3.7638162334507008</v>
      </c>
      <c r="BR98" s="18">
        <f t="shared" si="240"/>
        <v>-1.7989375953266995</v>
      </c>
      <c r="BS98" s="18">
        <f t="shared" si="240"/>
        <v>-1.9871867282331479</v>
      </c>
      <c r="BT98" s="18">
        <f t="shared" si="241"/>
        <v>-2.040458864251371</v>
      </c>
      <c r="BV98" s="18">
        <f t="shared" si="242"/>
        <v>-1.924477148039061</v>
      </c>
      <c r="BW98" s="18">
        <f t="shared" si="243"/>
        <v>1.9549385413055731</v>
      </c>
      <c r="BX98" s="18">
        <f t="shared" si="244"/>
        <v>0.539972121273391</v>
      </c>
      <c r="BZ98" t="str">
        <f t="shared" si="261"/>
        <v>54 Textiles, printing and other skilled trades</v>
      </c>
      <c r="CA98" s="18">
        <f t="shared" si="245"/>
        <v>-6.4932997042664304</v>
      </c>
      <c r="CB98" s="18">
        <f t="shared" si="245"/>
        <v>2.8329715263881283</v>
      </c>
      <c r="CC98" s="18">
        <f t="shared" si="245"/>
        <v>-0.60302338699125269</v>
      </c>
      <c r="CD98" s="18">
        <f t="shared" si="245"/>
        <v>-2.770446211118005</v>
      </c>
      <c r="CE98" s="18">
        <f t="shared" si="246"/>
        <v>-1.7548038516798314</v>
      </c>
      <c r="CG98" s="18">
        <f t="shared" si="247"/>
        <v>-2.0532748441987825</v>
      </c>
      <c r="CH98" s="18">
        <f t="shared" si="248"/>
        <v>1.9096450595392556</v>
      </c>
      <c r="CI98" s="18">
        <f t="shared" si="249"/>
        <v>0.39341252161806395</v>
      </c>
      <c r="CK98" t="str">
        <f t="shared" si="262"/>
        <v>54 Textiles, printing and other skilled trades</v>
      </c>
      <c r="CL98" s="18">
        <f t="shared" si="250"/>
        <v>-5.0407301323678873</v>
      </c>
      <c r="CM98" s="18">
        <f t="shared" si="250"/>
        <v>-10.765933964833907</v>
      </c>
      <c r="CN98" s="18">
        <f t="shared" si="250"/>
        <v>-3.4888516904846956</v>
      </c>
      <c r="CO98" s="18">
        <f t="shared" si="250"/>
        <v>-4.9370486315978628</v>
      </c>
      <c r="CP98" s="18">
        <f t="shared" si="251"/>
        <v>-4.8638243185011749</v>
      </c>
      <c r="CR98" s="18">
        <f t="shared" si="252"/>
        <v>-4.4567471078779235</v>
      </c>
      <c r="CS98" s="18">
        <f t="shared" si="253"/>
        <v>1.3796621692491406</v>
      </c>
      <c r="CT98" s="18">
        <f t="shared" si="254"/>
        <v>-2.0508339896602945</v>
      </c>
    </row>
    <row r="99" spans="1:98" x14ac:dyDescent="0.2">
      <c r="A99" t="str">
        <f t="shared" si="209"/>
        <v>61 Caring personal service occupations</v>
      </c>
      <c r="B99" s="18">
        <f t="shared" si="210"/>
        <v>6.5033512310614272</v>
      </c>
      <c r="C99" s="18">
        <f t="shared" si="210"/>
        <v>-19.36629645415513</v>
      </c>
      <c r="D99" s="18">
        <f t="shared" si="210"/>
        <v>7.5165876638239482</v>
      </c>
      <c r="E99" s="18">
        <f t="shared" si="210"/>
        <v>3.8140478882672468</v>
      </c>
      <c r="F99" s="18">
        <f t="shared" si="211"/>
        <v>3.3126380860668769</v>
      </c>
      <c r="H99" s="18">
        <f t="shared" si="212"/>
        <v>5.0338394061096414</v>
      </c>
      <c r="I99" s="18">
        <f t="shared" si="213"/>
        <v>4.0315226603052645</v>
      </c>
      <c r="J99" s="18">
        <f t="shared" si="214"/>
        <v>7.3514847159141805</v>
      </c>
      <c r="L99" t="str">
        <f t="shared" si="255"/>
        <v>61 Caring personal service occupations</v>
      </c>
      <c r="M99" s="18">
        <f t="shared" si="215"/>
        <v>9.9475445398223385</v>
      </c>
      <c r="N99" s="18">
        <f t="shared" si="215"/>
        <v>-18.414832201847265</v>
      </c>
      <c r="O99" s="18">
        <f t="shared" si="215"/>
        <v>6.9294729322359361</v>
      </c>
      <c r="P99" s="18">
        <f t="shared" si="215"/>
        <v>3.7086889441280801</v>
      </c>
      <c r="Q99" s="18">
        <f t="shared" si="216"/>
        <v>3.1461711686227911</v>
      </c>
      <c r="S99" s="18">
        <f t="shared" si="217"/>
        <v>4.7713576009859482</v>
      </c>
      <c r="T99" s="18">
        <f t="shared" si="218"/>
        <v>4.0687904648357476</v>
      </c>
      <c r="U99" s="18">
        <f t="shared" si="219"/>
        <v>7.1837016942073229</v>
      </c>
      <c r="W99" t="str">
        <f t="shared" si="256"/>
        <v>61 Caring personal service occupations</v>
      </c>
      <c r="X99" s="18">
        <f t="shared" si="220"/>
        <v>2.7641576292097403</v>
      </c>
      <c r="Y99" s="18">
        <f t="shared" si="220"/>
        <v>-1.6601993891040223</v>
      </c>
      <c r="Z99" s="18">
        <f t="shared" si="220"/>
        <v>4.0731037343770815</v>
      </c>
      <c r="AA99" s="18">
        <f t="shared" si="220"/>
        <v>2.7240906074912363</v>
      </c>
      <c r="AB99" s="18">
        <f t="shared" si="221"/>
        <v>2.8629693085940433</v>
      </c>
      <c r="AD99" s="18">
        <f t="shared" si="222"/>
        <v>3.1718074674467633</v>
      </c>
      <c r="AE99" s="18">
        <f t="shared" si="223"/>
        <v>4.2603324610459348</v>
      </c>
      <c r="AF99" s="18">
        <f t="shared" si="224"/>
        <v>6.2054017596730349</v>
      </c>
      <c r="AH99" t="str">
        <f t="shared" si="257"/>
        <v>61 Caring personal service occupations</v>
      </c>
      <c r="AI99" s="18">
        <f t="shared" si="225"/>
        <v>-0.50052923887530243</v>
      </c>
      <c r="AJ99" s="18">
        <f t="shared" si="225"/>
        <v>-3.7432784204538661</v>
      </c>
      <c r="AK99" s="18">
        <f t="shared" si="225"/>
        <v>0.85636892413842869</v>
      </c>
      <c r="AL99" s="18">
        <f t="shared" si="225"/>
        <v>0.81487954659231754</v>
      </c>
      <c r="AM99" s="18">
        <f t="shared" si="226"/>
        <v>0.53670071011182596</v>
      </c>
      <c r="AO99" s="18">
        <f t="shared" si="227"/>
        <v>0.82870744236938076</v>
      </c>
      <c r="AP99" s="18">
        <f t="shared" si="228"/>
        <v>3.3014348372326419</v>
      </c>
      <c r="AQ99" s="18">
        <f t="shared" si="229"/>
        <v>3.8389503571312211</v>
      </c>
      <c r="AS99" t="str">
        <f t="shared" si="258"/>
        <v>61 Caring personal service occupations</v>
      </c>
      <c r="AT99" s="18">
        <f t="shared" si="230"/>
        <v>2.1937257747709271</v>
      </c>
      <c r="AU99" s="18">
        <f t="shared" si="230"/>
        <v>-5.0345474749044161</v>
      </c>
      <c r="AV99" s="18">
        <f t="shared" si="230"/>
        <v>1.4626994369494328</v>
      </c>
      <c r="AW99" s="18">
        <f t="shared" si="230"/>
        <v>1.4539783572507403</v>
      </c>
      <c r="AX99" s="18">
        <f t="shared" si="231"/>
        <v>1.0384750165486789</v>
      </c>
      <c r="AZ99" s="18">
        <f t="shared" si="232"/>
        <v>1.4568853005240356</v>
      </c>
      <c r="BA99" s="18">
        <f t="shared" si="233"/>
        <v>3.4484145396593835</v>
      </c>
      <c r="BB99" s="18">
        <f t="shared" si="234"/>
        <v>4.3907579353752002</v>
      </c>
      <c r="BD99" t="str">
        <f t="shared" si="259"/>
        <v>61 Caring personal service occupations</v>
      </c>
      <c r="BE99" s="18">
        <f t="shared" si="235"/>
        <v>2.9803578018933852</v>
      </c>
      <c r="BF99" s="18">
        <f t="shared" si="235"/>
        <v>0.68773456775197417</v>
      </c>
      <c r="BG99" s="18">
        <f t="shared" si="235"/>
        <v>0.96530053217995793</v>
      </c>
      <c r="BH99" s="18">
        <f t="shared" si="235"/>
        <v>1.1181845046813299</v>
      </c>
      <c r="BI99" s="18">
        <f t="shared" si="236"/>
        <v>1.0434392025735706</v>
      </c>
      <c r="BK99" s="18">
        <f t="shared" si="237"/>
        <v>1.0671974755412927</v>
      </c>
      <c r="BL99" s="18">
        <f t="shared" si="238"/>
        <v>3.1503867507786998</v>
      </c>
      <c r="BM99" s="18">
        <f t="shared" si="239"/>
        <v>3.8605089614663468</v>
      </c>
      <c r="BO99" t="str">
        <f t="shared" si="260"/>
        <v>61 Caring personal service occupations</v>
      </c>
      <c r="BP99" s="18">
        <f t="shared" si="240"/>
        <v>-0.66000340193241858</v>
      </c>
      <c r="BQ99" s="18">
        <f t="shared" si="240"/>
        <v>-5.1836492578086428</v>
      </c>
      <c r="BR99" s="18">
        <f t="shared" si="240"/>
        <v>-1.8339518850630565</v>
      </c>
      <c r="BS99" s="18">
        <f t="shared" si="240"/>
        <v>-2.5907827516941984</v>
      </c>
      <c r="BT99" s="18">
        <f t="shared" si="241"/>
        <v>-2.5194110459782815</v>
      </c>
      <c r="BV99" s="18">
        <f t="shared" si="242"/>
        <v>-2.3391563543272986</v>
      </c>
      <c r="BW99" s="18">
        <f t="shared" si="243"/>
        <v>2.4460682212281482</v>
      </c>
      <c r="BX99" s="18">
        <f t="shared" si="244"/>
        <v>0.86585485870311896</v>
      </c>
      <c r="BZ99" t="str">
        <f t="shared" si="261"/>
        <v>61 Caring personal service occupations</v>
      </c>
      <c r="CA99" s="18">
        <f t="shared" si="245"/>
        <v>-17.215690800572723</v>
      </c>
      <c r="CB99" s="18">
        <f t="shared" si="245"/>
        <v>-5.380732310577951</v>
      </c>
      <c r="CC99" s="18">
        <f t="shared" si="245"/>
        <v>-7.29092315020472</v>
      </c>
      <c r="CD99" s="18">
        <f t="shared" si="245"/>
        <v>-3.31981378530527</v>
      </c>
      <c r="CE99" s="18">
        <f t="shared" si="246"/>
        <v>-4.7071418702496315</v>
      </c>
      <c r="CG99" s="18">
        <f t="shared" si="247"/>
        <v>-4.6620657190497239</v>
      </c>
      <c r="CH99" s="18">
        <f t="shared" si="248"/>
        <v>1.3488043989484222</v>
      </c>
      <c r="CI99" s="18">
        <f t="shared" si="249"/>
        <v>-2.2461862938604304</v>
      </c>
      <c r="CK99" t="str">
        <f t="shared" si="262"/>
        <v>61 Caring personal service occupations</v>
      </c>
      <c r="CL99" s="18">
        <f t="shared" si="250"/>
        <v>-2.0759210689841656</v>
      </c>
      <c r="CM99" s="18">
        <f t="shared" si="250"/>
        <v>-11.558429646443935</v>
      </c>
      <c r="CN99" s="18">
        <f t="shared" si="250"/>
        <v>6.8947486129043778</v>
      </c>
      <c r="CO99" s="18">
        <f t="shared" si="250"/>
        <v>1.0721860716304432</v>
      </c>
      <c r="CP99" s="18">
        <f t="shared" si="251"/>
        <v>2.002233272592302</v>
      </c>
      <c r="CR99" s="18">
        <f t="shared" si="252"/>
        <v>2.9769195348624766</v>
      </c>
      <c r="CS99" s="18">
        <f t="shared" si="253"/>
        <v>2.3353725214108723</v>
      </c>
      <c r="CT99" s="18">
        <f t="shared" si="254"/>
        <v>4.6116627302642099</v>
      </c>
    </row>
    <row r="100" spans="1:98" x14ac:dyDescent="0.2">
      <c r="A100" t="str">
        <f t="shared" si="209"/>
        <v>62 Leisure, travel and related personal service occupations</v>
      </c>
      <c r="B100" s="18">
        <f t="shared" si="210"/>
        <v>16.717446623684374</v>
      </c>
      <c r="C100" s="18">
        <f t="shared" si="210"/>
        <v>-36.801748696701729</v>
      </c>
      <c r="D100" s="18">
        <f t="shared" si="210"/>
        <v>5.6091651509739382</v>
      </c>
      <c r="E100" s="18">
        <f t="shared" si="210"/>
        <v>4.7584327695516571</v>
      </c>
      <c r="F100" s="18">
        <f t="shared" si="211"/>
        <v>1.7580883601769681</v>
      </c>
      <c r="H100" s="18">
        <f t="shared" si="212"/>
        <v>5.0412460402588399</v>
      </c>
      <c r="I100" s="18">
        <f t="shared" si="213"/>
        <v>3.7668841741552717</v>
      </c>
      <c r="J100" s="18">
        <f t="shared" si="214"/>
        <v>7.1877387817616656</v>
      </c>
      <c r="L100" t="str">
        <f t="shared" si="255"/>
        <v>62 Leisure, travel and related personal service occupations</v>
      </c>
      <c r="M100" s="18">
        <f t="shared" si="215"/>
        <v>15.734614883089471</v>
      </c>
      <c r="N100" s="18">
        <f t="shared" si="215"/>
        <v>-24.755610969036379</v>
      </c>
      <c r="O100" s="18">
        <f t="shared" si="215"/>
        <v>2.6378504266181269</v>
      </c>
      <c r="P100" s="18">
        <f t="shared" si="215"/>
        <v>2.9876261459840681</v>
      </c>
      <c r="Q100" s="18">
        <f t="shared" si="216"/>
        <v>0.87972649751117959</v>
      </c>
      <c r="S100" s="18">
        <f t="shared" si="217"/>
        <v>2.870901996653652</v>
      </c>
      <c r="T100" s="18">
        <f t="shared" si="218"/>
        <v>3.1857820121618197</v>
      </c>
      <c r="U100" s="18">
        <f t="shared" si="219"/>
        <v>5.16866705742276</v>
      </c>
      <c r="W100" t="str">
        <f t="shared" si="256"/>
        <v>62 Leisure, travel and related personal service occupations</v>
      </c>
      <c r="X100" s="18">
        <f t="shared" si="220"/>
        <v>8.5305301489682517</v>
      </c>
      <c r="Y100" s="18">
        <f t="shared" si="220"/>
        <v>-0.64253467033520417</v>
      </c>
      <c r="Z100" s="18">
        <f t="shared" si="220"/>
        <v>2.936817365327471</v>
      </c>
      <c r="AA100" s="18">
        <f t="shared" si="220"/>
        <v>3.5309027939909754</v>
      </c>
      <c r="AB100" s="18">
        <f t="shared" si="221"/>
        <v>3.0794606082320763</v>
      </c>
      <c r="AD100" s="18">
        <f t="shared" si="222"/>
        <v>3.3324943271441088</v>
      </c>
      <c r="AE100" s="18">
        <f t="shared" si="223"/>
        <v>4.0196353165010912</v>
      </c>
      <c r="AF100" s="18">
        <f t="shared" si="224"/>
        <v>6.1304623628428923</v>
      </c>
      <c r="AH100" t="str">
        <f t="shared" si="257"/>
        <v>62 Leisure, travel and related personal service occupations</v>
      </c>
      <c r="AI100" s="18">
        <f t="shared" si="225"/>
        <v>10.062124698957575</v>
      </c>
      <c r="AJ100" s="18">
        <f t="shared" si="225"/>
        <v>-2.3246168133113976</v>
      </c>
      <c r="AK100" s="18">
        <f t="shared" si="225"/>
        <v>1.364355397065431</v>
      </c>
      <c r="AL100" s="18">
        <f t="shared" si="225"/>
        <v>3.4126885661518669</v>
      </c>
      <c r="AM100" s="18">
        <f t="shared" si="226"/>
        <v>2.4022167613334311</v>
      </c>
      <c r="AO100" s="18">
        <f t="shared" si="227"/>
        <v>2.7253525619941987</v>
      </c>
      <c r="AP100" s="18">
        <f t="shared" si="228"/>
        <v>3.7362211148912472</v>
      </c>
      <c r="AQ100" s="18">
        <f t="shared" si="229"/>
        <v>5.4935581284813795</v>
      </c>
      <c r="AS100" t="str">
        <f t="shared" si="258"/>
        <v>62 Leisure, travel and related personal service occupations</v>
      </c>
      <c r="AT100" s="18">
        <f t="shared" si="230"/>
        <v>10.380312763294143</v>
      </c>
      <c r="AU100" s="18">
        <f t="shared" si="230"/>
        <v>9.8360311344922948</v>
      </c>
      <c r="AV100" s="18">
        <f t="shared" si="230"/>
        <v>1.679852716959207</v>
      </c>
      <c r="AW100" s="18">
        <f t="shared" si="230"/>
        <v>4.0747841392038797</v>
      </c>
      <c r="AX100" s="18">
        <f t="shared" si="231"/>
        <v>3.668880837311117</v>
      </c>
      <c r="AZ100" s="18">
        <f t="shared" si="232"/>
        <v>3.2702706818552141</v>
      </c>
      <c r="BA100" s="18">
        <f t="shared" si="233"/>
        <v>3.9068585163645198</v>
      </c>
      <c r="BB100" s="18">
        <f t="shared" si="234"/>
        <v>6.0022722879686796</v>
      </c>
      <c r="BD100" t="str">
        <f t="shared" si="259"/>
        <v>62 Leisure, travel and related personal service occupations</v>
      </c>
      <c r="BE100" s="18">
        <f t="shared" si="235"/>
        <v>6.8901373027649315</v>
      </c>
      <c r="BF100" s="18">
        <f t="shared" si="235"/>
        <v>-1.2429307308579163</v>
      </c>
      <c r="BG100" s="18">
        <f t="shared" si="235"/>
        <v>-2.9838838910382304</v>
      </c>
      <c r="BH100" s="18">
        <f t="shared" si="235"/>
        <v>-0.78284020775140073</v>
      </c>
      <c r="BI100" s="18">
        <f t="shared" si="236"/>
        <v>-1.5045950423899557</v>
      </c>
      <c r="BK100" s="18">
        <f t="shared" si="237"/>
        <v>-1.5220146588359795</v>
      </c>
      <c r="BL100" s="18">
        <f t="shared" si="238"/>
        <v>2.1782840182749785</v>
      </c>
      <c r="BM100" s="18">
        <f t="shared" si="239"/>
        <v>1.0870988445045526</v>
      </c>
      <c r="BO100" t="str">
        <f t="shared" si="260"/>
        <v>62 Leisure, travel and related personal service occupations</v>
      </c>
      <c r="BP100" s="18">
        <f t="shared" si="240"/>
        <v>5.4800508517288016</v>
      </c>
      <c r="BQ100" s="18">
        <f t="shared" si="240"/>
        <v>-4.4990143682009931</v>
      </c>
      <c r="BR100" s="18">
        <f t="shared" si="240"/>
        <v>-4.8608719038320203</v>
      </c>
      <c r="BS100" s="18">
        <f t="shared" si="240"/>
        <v>-2.4497499996759209</v>
      </c>
      <c r="BT100" s="18">
        <f t="shared" si="241"/>
        <v>-3.3380677669115233</v>
      </c>
      <c r="BV100" s="18">
        <f t="shared" si="242"/>
        <v>-3.2601714210973576</v>
      </c>
      <c r="BW100" s="18">
        <f t="shared" si="243"/>
        <v>2.0939125880150566</v>
      </c>
      <c r="BX100" s="18">
        <f t="shared" si="244"/>
        <v>-0.18352177099266731</v>
      </c>
      <c r="BZ100" t="str">
        <f t="shared" si="261"/>
        <v>62 Leisure, travel and related personal service occupations</v>
      </c>
      <c r="CA100" s="18">
        <f t="shared" si="245"/>
        <v>2.3529519917989905</v>
      </c>
      <c r="CB100" s="18">
        <f t="shared" si="245"/>
        <v>-2.5174304765586575</v>
      </c>
      <c r="CC100" s="18">
        <f t="shared" si="245"/>
        <v>-0.37734484557927495</v>
      </c>
      <c r="CD100" s="18">
        <f t="shared" si="245"/>
        <v>-2.7116768412827619</v>
      </c>
      <c r="CE100" s="18">
        <f t="shared" si="246"/>
        <v>-1.9759156039701575</v>
      </c>
      <c r="CG100" s="18">
        <f t="shared" si="247"/>
        <v>-1.939707841765459</v>
      </c>
      <c r="CH100" s="18">
        <f t="shared" si="248"/>
        <v>2.1362640212513329</v>
      </c>
      <c r="CI100" s="18">
        <f t="shared" si="249"/>
        <v>0.74941979748124332</v>
      </c>
      <c r="CK100" t="str">
        <f t="shared" si="262"/>
        <v>62 Leisure, travel and related personal service occupations</v>
      </c>
      <c r="CL100" s="18">
        <f t="shared" si="250"/>
        <v>-1.102796888142743E-2</v>
      </c>
      <c r="CM100" s="18">
        <f t="shared" si="250"/>
        <v>-20.897300535565165</v>
      </c>
      <c r="CN100" s="18">
        <f t="shared" si="250"/>
        <v>-5.5895775929371112</v>
      </c>
      <c r="CO100" s="18">
        <f t="shared" si="250"/>
        <v>-6.7037406234525925</v>
      </c>
      <c r="CP100" s="18">
        <f t="shared" si="251"/>
        <v>-7.3179070060351297</v>
      </c>
      <c r="CR100" s="18">
        <f t="shared" si="252"/>
        <v>-6.3338216114140478</v>
      </c>
      <c r="CS100" s="18">
        <f t="shared" si="253"/>
        <v>1.2545426810545601</v>
      </c>
      <c r="CT100" s="18">
        <f t="shared" si="254"/>
        <v>-3.5620378368922845</v>
      </c>
    </row>
    <row r="101" spans="1:98" x14ac:dyDescent="0.2">
      <c r="A101" t="str">
        <f t="shared" si="209"/>
        <v>63 Community and civil enforcement occupations</v>
      </c>
      <c r="B101" s="18">
        <f t="shared" si="210"/>
        <v>8.9788096540958549</v>
      </c>
      <c r="C101" s="18">
        <f t="shared" si="210"/>
        <v>-23.232844116034091</v>
      </c>
      <c r="D101" s="18">
        <f t="shared" si="210"/>
        <v>7.8646043015491163</v>
      </c>
      <c r="E101" s="18">
        <f t="shared" si="210"/>
        <v>3.4881745419743648</v>
      </c>
      <c r="F101" s="18">
        <f t="shared" si="211"/>
        <v>2.897504671210438</v>
      </c>
      <c r="H101" s="18">
        <f t="shared" si="212"/>
        <v>4.9268904222870669</v>
      </c>
      <c r="I101" s="18">
        <f t="shared" si="213"/>
        <v>4.1507911279947018</v>
      </c>
      <c r="J101" s="18">
        <f t="shared" si="214"/>
        <v>7.3507015234965944</v>
      </c>
      <c r="L101" t="str">
        <f t="shared" si="255"/>
        <v>63 Community and civil enforcement occupations</v>
      </c>
      <c r="M101" s="18">
        <f t="shared" si="215"/>
        <v>1.8157820712323192</v>
      </c>
      <c r="N101" s="18">
        <f t="shared" si="215"/>
        <v>6.7715653187771618</v>
      </c>
      <c r="O101" s="18">
        <f t="shared" si="215"/>
        <v>1.3028429419792875</v>
      </c>
      <c r="P101" s="18">
        <f t="shared" si="215"/>
        <v>4.2315221319304763</v>
      </c>
      <c r="Q101" s="18">
        <f t="shared" si="216"/>
        <v>3.4629032904104573</v>
      </c>
      <c r="S101" s="18">
        <f t="shared" si="217"/>
        <v>3.2460069998586638</v>
      </c>
      <c r="T101" s="18">
        <f t="shared" si="218"/>
        <v>3.2343004343434956</v>
      </c>
      <c r="U101" s="18">
        <f t="shared" si="219"/>
        <v>5.4818073061970285</v>
      </c>
      <c r="W101" t="str">
        <f t="shared" si="256"/>
        <v>63 Community and civil enforcement occupations</v>
      </c>
      <c r="X101" s="18">
        <f t="shared" si="220"/>
        <v>-1.2310894354174984</v>
      </c>
      <c r="Y101" s="18">
        <f t="shared" si="220"/>
        <v>17.333585745817292</v>
      </c>
      <c r="Z101" s="18">
        <f t="shared" si="220"/>
        <v>0.53340257446767847</v>
      </c>
      <c r="AA101" s="18">
        <f t="shared" si="220"/>
        <v>3.1348938710696883</v>
      </c>
      <c r="AB101" s="18">
        <f t="shared" si="221"/>
        <v>3.142916372632687</v>
      </c>
      <c r="AD101" s="18">
        <f t="shared" si="222"/>
        <v>2.2603350209959627</v>
      </c>
      <c r="AE101" s="18">
        <f t="shared" si="223"/>
        <v>3.5387821113306517</v>
      </c>
      <c r="AF101" s="18">
        <f t="shared" si="224"/>
        <v>5.0140848858795106</v>
      </c>
      <c r="AH101" t="str">
        <f t="shared" si="257"/>
        <v>63 Community and civil enforcement occupations</v>
      </c>
      <c r="AI101" s="18">
        <f t="shared" si="225"/>
        <v>-3.9821739145738944</v>
      </c>
      <c r="AJ101" s="18">
        <f t="shared" si="225"/>
        <v>41.629688986298618</v>
      </c>
      <c r="AK101" s="18">
        <f t="shared" si="225"/>
        <v>-3.6794522989686662</v>
      </c>
      <c r="AL101" s="18">
        <f t="shared" si="225"/>
        <v>3.0917865687068113</v>
      </c>
      <c r="AM101" s="18">
        <f t="shared" si="226"/>
        <v>2.949526831015481</v>
      </c>
      <c r="AO101" s="18">
        <f t="shared" si="227"/>
        <v>0.78340455159409128</v>
      </c>
      <c r="AP101" s="18">
        <f t="shared" si="228"/>
        <v>2.7773947903599217</v>
      </c>
      <c r="AQ101" s="18">
        <f t="shared" si="229"/>
        <v>3.3209471849532601</v>
      </c>
      <c r="AS101" t="str">
        <f t="shared" si="258"/>
        <v>63 Community and civil enforcement occupations</v>
      </c>
      <c r="AT101" s="18">
        <f t="shared" si="230"/>
        <v>-5.8941987038266035</v>
      </c>
      <c r="AU101" s="18">
        <f t="shared" si="230"/>
        <v>30.619480347206142</v>
      </c>
      <c r="AV101" s="18">
        <f t="shared" si="230"/>
        <v>-5.6714470229646263</v>
      </c>
      <c r="AW101" s="18">
        <f t="shared" si="230"/>
        <v>1.4748064933736815</v>
      </c>
      <c r="AX101" s="18">
        <f t="shared" si="231"/>
        <v>0.7628362001706801</v>
      </c>
      <c r="AZ101" s="18">
        <f t="shared" si="232"/>
        <v>-0.96549269536504445</v>
      </c>
      <c r="BA101" s="18">
        <f t="shared" si="233"/>
        <v>2.5346383779771609</v>
      </c>
      <c r="BB101" s="18">
        <f t="shared" si="234"/>
        <v>1.8692607923556981</v>
      </c>
      <c r="BD101" t="str">
        <f t="shared" si="259"/>
        <v>63 Community and civil enforcement occupations</v>
      </c>
      <c r="BE101" s="18">
        <f t="shared" si="235"/>
        <v>-6.7323141033418299</v>
      </c>
      <c r="BF101" s="18">
        <f t="shared" si="235"/>
        <v>30.922496680312548</v>
      </c>
      <c r="BG101" s="18">
        <f t="shared" si="235"/>
        <v>-6.869552181196104</v>
      </c>
      <c r="BH101" s="18">
        <f t="shared" si="235"/>
        <v>2.2741089978132178</v>
      </c>
      <c r="BI101" s="18">
        <f t="shared" si="236"/>
        <v>0.86909198140385779</v>
      </c>
      <c r="BK101" s="18">
        <f t="shared" si="237"/>
        <v>-0.86940790064349294</v>
      </c>
      <c r="BL101" s="18">
        <f t="shared" si="238"/>
        <v>1.6794903280416218</v>
      </c>
      <c r="BM101" s="18">
        <f t="shared" si="239"/>
        <v>1.0004298698047753</v>
      </c>
      <c r="BO101" t="str">
        <f t="shared" si="260"/>
        <v>63 Community and civil enforcement occupations</v>
      </c>
      <c r="BP101" s="18">
        <f t="shared" si="240"/>
        <v>-4.1988328863527098</v>
      </c>
      <c r="BQ101" s="18">
        <f t="shared" si="240"/>
        <v>23.634262782710145</v>
      </c>
      <c r="BR101" s="18">
        <f t="shared" si="240"/>
        <v>-6.3259088055287016</v>
      </c>
      <c r="BS101" s="18">
        <f t="shared" si="240"/>
        <v>0.3889845011350257</v>
      </c>
      <c r="BT101" s="18">
        <f t="shared" si="241"/>
        <v>-0.47239441832926943</v>
      </c>
      <c r="BV101" s="18">
        <f t="shared" si="242"/>
        <v>-1.901160402988622</v>
      </c>
      <c r="BW101" s="18">
        <f t="shared" si="243"/>
        <v>1.8271906777466818</v>
      </c>
      <c r="BX101" s="18">
        <f t="shared" si="244"/>
        <v>0.40113832061758892</v>
      </c>
      <c r="BZ101" t="str">
        <f t="shared" si="261"/>
        <v>63 Community and civil enforcement occupations</v>
      </c>
      <c r="CA101" s="18">
        <f t="shared" si="245"/>
        <v>-6.2145182504282808</v>
      </c>
      <c r="CB101" s="18">
        <f t="shared" si="245"/>
        <v>36.23831336983303</v>
      </c>
      <c r="CC101" s="18">
        <f t="shared" si="245"/>
        <v>-7.1204535389634565</v>
      </c>
      <c r="CD101" s="18">
        <f t="shared" si="245"/>
        <v>-2.366443628283299</v>
      </c>
      <c r="CE101" s="18">
        <f t="shared" si="246"/>
        <v>-1.8550012741314292</v>
      </c>
      <c r="CG101" s="18">
        <f t="shared" si="247"/>
        <v>-3.9775532438464545</v>
      </c>
      <c r="CH101" s="18">
        <f t="shared" si="248"/>
        <v>1.5849012599834289</v>
      </c>
      <c r="CI101" s="18">
        <f t="shared" si="249"/>
        <v>-1.3949721225971379</v>
      </c>
      <c r="CK101" t="str">
        <f t="shared" si="262"/>
        <v>63 Community and civil enforcement occupations</v>
      </c>
      <c r="CL101" s="18">
        <f t="shared" si="250"/>
        <v>-9.6405566301901224</v>
      </c>
      <c r="CM101" s="18">
        <f t="shared" si="250"/>
        <v>17.7689091074412</v>
      </c>
      <c r="CN101" s="18">
        <f t="shared" si="250"/>
        <v>-13.083499718037327</v>
      </c>
      <c r="CO101" s="18">
        <f t="shared" si="250"/>
        <v>-3.6006856207134508</v>
      </c>
      <c r="CP101" s="18">
        <f t="shared" si="251"/>
        <v>-5.4949364191673293</v>
      </c>
      <c r="CR101" s="18">
        <f t="shared" si="252"/>
        <v>-6.8713357852074104</v>
      </c>
      <c r="CS101" s="18">
        <f t="shared" si="253"/>
        <v>0.79002225250854874</v>
      </c>
      <c r="CT101" s="18">
        <f t="shared" si="254"/>
        <v>-4.9218265588028771</v>
      </c>
    </row>
    <row r="102" spans="1:98" x14ac:dyDescent="0.2">
      <c r="A102" t="str">
        <f t="shared" si="209"/>
        <v>71 Sales occupations</v>
      </c>
      <c r="B102" s="18">
        <f t="shared" si="210"/>
        <v>6.2512416832498641</v>
      </c>
      <c r="C102" s="18">
        <f t="shared" si="210"/>
        <v>-29.485238913059476</v>
      </c>
      <c r="D102" s="18">
        <f t="shared" si="210"/>
        <v>3.847257615539923</v>
      </c>
      <c r="E102" s="18">
        <f t="shared" si="210"/>
        <v>2.6996400262025322</v>
      </c>
      <c r="F102" s="18">
        <f t="shared" si="211"/>
        <v>0.66338396772565034</v>
      </c>
      <c r="H102" s="18">
        <f t="shared" si="212"/>
        <v>3.0807631077943709</v>
      </c>
      <c r="I102" s="18">
        <f t="shared" si="213"/>
        <v>2.9863578398037216</v>
      </c>
      <c r="J102" s="18">
        <f t="shared" si="214"/>
        <v>5.1741955036219478</v>
      </c>
      <c r="L102" t="str">
        <f t="shared" si="255"/>
        <v>71 Sales occupations</v>
      </c>
      <c r="M102" s="18">
        <f t="shared" si="215"/>
        <v>5.7045789051143991</v>
      </c>
      <c r="N102" s="18">
        <f t="shared" si="215"/>
        <v>-13.260778339393086</v>
      </c>
      <c r="O102" s="18">
        <f t="shared" si="215"/>
        <v>5.0320621390088638</v>
      </c>
      <c r="P102" s="18">
        <f t="shared" si="215"/>
        <v>4.2408582958313179</v>
      </c>
      <c r="Q102" s="18">
        <f t="shared" si="216"/>
        <v>3.2940481521979814</v>
      </c>
      <c r="S102" s="18">
        <f t="shared" si="217"/>
        <v>4.5039284479025943</v>
      </c>
      <c r="T102" s="18">
        <f t="shared" si="218"/>
        <v>3.39120031918001</v>
      </c>
      <c r="U102" s="18">
        <f t="shared" si="219"/>
        <v>6.5376129971028707</v>
      </c>
      <c r="W102" t="str">
        <f t="shared" si="256"/>
        <v>71 Sales occupations</v>
      </c>
      <c r="X102" s="18">
        <f t="shared" si="220"/>
        <v>-0.33886403705514212</v>
      </c>
      <c r="Y102" s="18">
        <f t="shared" si="220"/>
        <v>7.0359966608145363</v>
      </c>
      <c r="Z102" s="18">
        <f t="shared" si="220"/>
        <v>2.5965388492714014</v>
      </c>
      <c r="AA102" s="18">
        <f t="shared" si="220"/>
        <v>3.3464040218404767</v>
      </c>
      <c r="AB102" s="18">
        <f t="shared" si="221"/>
        <v>3.3377958572974542</v>
      </c>
      <c r="AD102" s="18">
        <f t="shared" si="222"/>
        <v>3.0958419707357798</v>
      </c>
      <c r="AE102" s="18">
        <f t="shared" si="223"/>
        <v>3.6151180265478589</v>
      </c>
      <c r="AF102" s="18">
        <f t="shared" si="224"/>
        <v>5.6586684069035442</v>
      </c>
      <c r="AH102" t="str">
        <f t="shared" si="257"/>
        <v>71 Sales occupations</v>
      </c>
      <c r="AI102" s="18">
        <f t="shared" si="225"/>
        <v>-0.17135875019806956</v>
      </c>
      <c r="AJ102" s="18">
        <f t="shared" si="225"/>
        <v>2.8258494865266659</v>
      </c>
      <c r="AK102" s="18">
        <f t="shared" si="225"/>
        <v>1.51251871357303</v>
      </c>
      <c r="AL102" s="18">
        <f t="shared" si="225"/>
        <v>3.4002361502454947</v>
      </c>
      <c r="AM102" s="18">
        <f t="shared" si="226"/>
        <v>2.7707975521290562</v>
      </c>
      <c r="AO102" s="18">
        <f t="shared" si="227"/>
        <v>2.7671284713173927</v>
      </c>
      <c r="AP102" s="18">
        <f t="shared" si="228"/>
        <v>3.6073918049650322</v>
      </c>
      <c r="AQ102" s="18">
        <f t="shared" si="229"/>
        <v>5.4211338425709021</v>
      </c>
      <c r="AS102" t="str">
        <f t="shared" si="258"/>
        <v>71 Sales occupations</v>
      </c>
      <c r="AT102" s="18">
        <f t="shared" si="230"/>
        <v>-1.9671168488581858</v>
      </c>
      <c r="AU102" s="18">
        <f t="shared" si="230"/>
        <v>8.7920402307922743</v>
      </c>
      <c r="AV102" s="18">
        <f t="shared" si="230"/>
        <v>0.35878020947281986</v>
      </c>
      <c r="AW102" s="18">
        <f t="shared" si="230"/>
        <v>2.581413451071457</v>
      </c>
      <c r="AX102" s="18">
        <f t="shared" si="231"/>
        <v>2.2565882979035168</v>
      </c>
      <c r="AZ102" s="18">
        <f t="shared" si="232"/>
        <v>1.8351194785151792</v>
      </c>
      <c r="BA102" s="18">
        <f t="shared" si="233"/>
        <v>2.8711356277557387</v>
      </c>
      <c r="BB102" s="18">
        <f t="shared" si="234"/>
        <v>4.1586114657484075</v>
      </c>
      <c r="BD102" t="str">
        <f t="shared" si="259"/>
        <v>71 Sales occupations</v>
      </c>
      <c r="BE102" s="18">
        <f t="shared" si="235"/>
        <v>0.12264326593245389</v>
      </c>
      <c r="BF102" s="18">
        <f t="shared" si="235"/>
        <v>-0.38214994899524735</v>
      </c>
      <c r="BG102" s="18">
        <f t="shared" si="235"/>
        <v>-9.9530017625337752E-2</v>
      </c>
      <c r="BH102" s="18">
        <f t="shared" si="235"/>
        <v>0.77090986887817792</v>
      </c>
      <c r="BI102" s="18">
        <f t="shared" si="236"/>
        <v>0.42582629404355199</v>
      </c>
      <c r="BK102" s="18">
        <f t="shared" si="237"/>
        <v>0.47992379745662728</v>
      </c>
      <c r="BL102" s="18">
        <f t="shared" si="238"/>
        <v>2.5784761765919262</v>
      </c>
      <c r="BM102" s="18">
        <f t="shared" si="239"/>
        <v>2.918055541963005</v>
      </c>
      <c r="BO102" t="str">
        <f t="shared" si="260"/>
        <v>71 Sales occupations</v>
      </c>
      <c r="BP102" s="18">
        <f t="shared" si="240"/>
        <v>-2.7199299549462763</v>
      </c>
      <c r="BQ102" s="18">
        <f t="shared" si="240"/>
        <v>-3.8053279183559718</v>
      </c>
      <c r="BR102" s="18">
        <f t="shared" si="240"/>
        <v>-1.8257531356713597</v>
      </c>
      <c r="BS102" s="18">
        <f t="shared" si="240"/>
        <v>-1.7500883574058879</v>
      </c>
      <c r="BT102" s="18">
        <f t="shared" si="241"/>
        <v>-1.9034379340995056</v>
      </c>
      <c r="BV102" s="18">
        <f t="shared" si="242"/>
        <v>-1.775316427531215</v>
      </c>
      <c r="BW102" s="18">
        <f t="shared" si="243"/>
        <v>2.4654775349551405</v>
      </c>
      <c r="BX102" s="18">
        <f t="shared" si="244"/>
        <v>1.253079392141343</v>
      </c>
      <c r="BZ102" t="str">
        <f t="shared" si="261"/>
        <v>71 Sales occupations</v>
      </c>
      <c r="CA102" s="18">
        <f t="shared" si="245"/>
        <v>-6.425916683225708</v>
      </c>
      <c r="CB102" s="18">
        <f t="shared" si="245"/>
        <v>-3.5367934262724332</v>
      </c>
      <c r="CC102" s="18">
        <f t="shared" si="245"/>
        <v>-2.9818352666136749</v>
      </c>
      <c r="CD102" s="18">
        <f t="shared" si="245"/>
        <v>-9.9162353415751969</v>
      </c>
      <c r="CE102" s="18">
        <f t="shared" si="246"/>
        <v>-7.4091086106826243</v>
      </c>
      <c r="CG102" s="18">
        <f t="shared" si="247"/>
        <v>-7.661665587973121</v>
      </c>
      <c r="CH102" s="18">
        <f t="shared" si="248"/>
        <v>1.4645660170356845</v>
      </c>
      <c r="CI102" s="18">
        <f t="shared" si="249"/>
        <v>-3.9515492120057782</v>
      </c>
      <c r="CK102" t="str">
        <f t="shared" si="262"/>
        <v>71 Sales occupations</v>
      </c>
      <c r="CL102" s="18">
        <f t="shared" si="250"/>
        <v>-4.6197256518475278</v>
      </c>
      <c r="CM102" s="18">
        <f t="shared" si="250"/>
        <v>-19.995033862534594</v>
      </c>
      <c r="CN102" s="18">
        <f t="shared" si="250"/>
        <v>-3.5466688071116526</v>
      </c>
      <c r="CO102" s="18">
        <f t="shared" si="250"/>
        <v>-3.9879744955865104</v>
      </c>
      <c r="CP102" s="18">
        <f t="shared" si="251"/>
        <v>-4.9400757666514084</v>
      </c>
      <c r="CR102" s="18">
        <f t="shared" si="252"/>
        <v>-3.8410974033596168</v>
      </c>
      <c r="CS102" s="18">
        <f t="shared" si="253"/>
        <v>1.2468850770628759</v>
      </c>
      <c r="CT102" s="18">
        <f t="shared" si="254"/>
        <v>-1.8131507566646166</v>
      </c>
    </row>
    <row r="103" spans="1:98" x14ac:dyDescent="0.2">
      <c r="A103" t="str">
        <f t="shared" si="209"/>
        <v>72 Customer service occupations</v>
      </c>
      <c r="B103" s="18">
        <f t="shared" si="210"/>
        <v>4.7074975296879096</v>
      </c>
      <c r="C103" s="18">
        <f t="shared" si="210"/>
        <v>-4.2303790182526395</v>
      </c>
      <c r="D103" s="18">
        <f t="shared" si="210"/>
        <v>8.4526646325324251</v>
      </c>
      <c r="E103" s="18">
        <f t="shared" si="210"/>
        <v>3.600671896427543</v>
      </c>
      <c r="F103" s="18">
        <f t="shared" si="211"/>
        <v>4.5781401545941014</v>
      </c>
      <c r="H103" s="18">
        <f t="shared" si="212"/>
        <v>5.1933914310257956</v>
      </c>
      <c r="I103" s="18">
        <f t="shared" si="213"/>
        <v>3.4852009946023221</v>
      </c>
      <c r="J103" s="18">
        <f t="shared" si="214"/>
        <v>7.1277786270313781</v>
      </c>
      <c r="L103" t="str">
        <f t="shared" si="255"/>
        <v>72 Customer service occupations</v>
      </c>
      <c r="M103" s="18">
        <f t="shared" si="215"/>
        <v>9.7097247395343089</v>
      </c>
      <c r="N103" s="18">
        <f t="shared" si="215"/>
        <v>-13.661457662866106</v>
      </c>
      <c r="O103" s="18">
        <f t="shared" si="215"/>
        <v>7.3324502431801442</v>
      </c>
      <c r="P103" s="18">
        <f t="shared" si="215"/>
        <v>3.7928055207673284</v>
      </c>
      <c r="Q103" s="18">
        <f t="shared" si="216"/>
        <v>3.6861568665407018</v>
      </c>
      <c r="S103" s="18">
        <f t="shared" si="217"/>
        <v>4.9595230773950005</v>
      </c>
      <c r="T103" s="18">
        <f t="shared" si="218"/>
        <v>3.5952157638681648</v>
      </c>
      <c r="U103" s="18">
        <f t="shared" si="219"/>
        <v>7.0168511559328905</v>
      </c>
      <c r="W103" t="str">
        <f t="shared" si="256"/>
        <v>72 Customer service occupations</v>
      </c>
      <c r="X103" s="18">
        <f t="shared" si="220"/>
        <v>2.9277185547382345</v>
      </c>
      <c r="Y103" s="18">
        <f t="shared" si="220"/>
        <v>5.8036616400607866</v>
      </c>
      <c r="Z103" s="18">
        <f t="shared" si="220"/>
        <v>4.2871070906115305</v>
      </c>
      <c r="AA103" s="18">
        <f t="shared" si="220"/>
        <v>3.2286754035359078</v>
      </c>
      <c r="AB103" s="18">
        <f t="shared" si="221"/>
        <v>3.7178687662289711</v>
      </c>
      <c r="AD103" s="18">
        <f t="shared" si="222"/>
        <v>3.5802869670789939</v>
      </c>
      <c r="AE103" s="18">
        <f t="shared" si="223"/>
        <v>3.6974456504394793</v>
      </c>
      <c r="AF103" s="18">
        <f t="shared" si="224"/>
        <v>6.0655470897304831</v>
      </c>
      <c r="AH103" t="str">
        <f t="shared" si="257"/>
        <v>72 Customer service occupations</v>
      </c>
      <c r="AI103" s="18">
        <f t="shared" si="225"/>
        <v>3.8190067778716141</v>
      </c>
      <c r="AJ103" s="18">
        <f t="shared" si="225"/>
        <v>8.9495279991249177</v>
      </c>
      <c r="AK103" s="18">
        <f t="shared" si="225"/>
        <v>3.8238186862386891</v>
      </c>
      <c r="AL103" s="18">
        <f t="shared" si="225"/>
        <v>3.1470844789673214</v>
      </c>
      <c r="AM103" s="18">
        <f t="shared" si="226"/>
        <v>3.7122352830874172</v>
      </c>
      <c r="AO103" s="18">
        <f t="shared" si="227"/>
        <v>3.3721710092116775</v>
      </c>
      <c r="AP103" s="18">
        <f t="shared" si="228"/>
        <v>3.687012113625121</v>
      </c>
      <c r="AQ103" s="18">
        <f t="shared" si="229"/>
        <v>5.9090945661503191</v>
      </c>
      <c r="AS103" t="str">
        <f t="shared" si="258"/>
        <v>72 Customer service occupations</v>
      </c>
      <c r="AT103" s="18">
        <f t="shared" si="230"/>
        <v>1.3500685558206715</v>
      </c>
      <c r="AU103" s="18">
        <f t="shared" si="230"/>
        <v>9.7639786932061554</v>
      </c>
      <c r="AV103" s="18">
        <f t="shared" si="230"/>
        <v>3.9496605067818713</v>
      </c>
      <c r="AW103" s="18">
        <f t="shared" si="230"/>
        <v>1.8144126216511403</v>
      </c>
      <c r="AX103" s="18">
        <f t="shared" si="231"/>
        <v>2.959574394519926</v>
      </c>
      <c r="AZ103" s="18">
        <f t="shared" si="232"/>
        <v>2.5212434967191388</v>
      </c>
      <c r="BA103" s="18">
        <f t="shared" si="233"/>
        <v>3.2201610266230585</v>
      </c>
      <c r="BB103" s="18">
        <f t="shared" si="234"/>
        <v>4.9410217985910831</v>
      </c>
      <c r="BD103" t="str">
        <f t="shared" si="259"/>
        <v>72 Customer service occupations</v>
      </c>
      <c r="BE103" s="18">
        <f t="shared" si="235"/>
        <v>2.3641958575450817</v>
      </c>
      <c r="BF103" s="18">
        <f t="shared" si="235"/>
        <v>6.7159929827542042</v>
      </c>
      <c r="BG103" s="18">
        <f t="shared" si="235"/>
        <v>1.5756063833587186</v>
      </c>
      <c r="BH103" s="18">
        <f t="shared" si="235"/>
        <v>1.1103514556725758</v>
      </c>
      <c r="BI103" s="18">
        <f t="shared" si="236"/>
        <v>1.5975655736039096</v>
      </c>
      <c r="BK103" s="18">
        <f t="shared" si="237"/>
        <v>1.2651991655180161</v>
      </c>
      <c r="BL103" s="18">
        <f t="shared" si="238"/>
        <v>2.6807902475215473</v>
      </c>
      <c r="BM103" s="18">
        <f t="shared" si="239"/>
        <v>3.5790182427394734</v>
      </c>
      <c r="BO103" t="str">
        <f t="shared" si="260"/>
        <v>72 Customer service occupations</v>
      </c>
      <c r="BP103" s="18">
        <f t="shared" si="240"/>
        <v>1.286418921132304</v>
      </c>
      <c r="BQ103" s="18">
        <f t="shared" si="240"/>
        <v>0.66250979578494906</v>
      </c>
      <c r="BR103" s="18">
        <f t="shared" si="240"/>
        <v>-7.2045837840206683E-2</v>
      </c>
      <c r="BS103" s="18">
        <f t="shared" si="240"/>
        <v>-1.1473610239664755</v>
      </c>
      <c r="BT103" s="18">
        <f t="shared" si="241"/>
        <v>-0.70003663098163749</v>
      </c>
      <c r="BV103" s="18">
        <f t="shared" si="242"/>
        <v>-0.79021452365435341</v>
      </c>
      <c r="BW103" s="18">
        <f t="shared" si="243"/>
        <v>2.6708532258809425</v>
      </c>
      <c r="BX103" s="18">
        <f t="shared" si="244"/>
        <v>2.1345229141998212</v>
      </c>
      <c r="BZ103" t="str">
        <f t="shared" si="261"/>
        <v>72 Customer service occupations</v>
      </c>
      <c r="CA103" s="18">
        <f t="shared" si="245"/>
        <v>-4.6438194560267432</v>
      </c>
      <c r="CB103" s="18">
        <f t="shared" si="245"/>
        <v>7.5640527081222153E-2</v>
      </c>
      <c r="CC103" s="18">
        <f t="shared" si="245"/>
        <v>-2.0619608250517008</v>
      </c>
      <c r="CD103" s="18">
        <f t="shared" si="245"/>
        <v>-3.5576501999400656</v>
      </c>
      <c r="CE103" s="18">
        <f t="shared" si="246"/>
        <v>-2.8684761522624003</v>
      </c>
      <c r="CG103" s="18">
        <f t="shared" si="247"/>
        <v>-3.0616424406281206</v>
      </c>
      <c r="CH103" s="18">
        <f t="shared" si="248"/>
        <v>1.6184691386575301</v>
      </c>
      <c r="CI103" s="18">
        <f t="shared" si="249"/>
        <v>-0.70331072974790798</v>
      </c>
      <c r="CK103" t="str">
        <f t="shared" si="262"/>
        <v>72 Customer service occupations</v>
      </c>
      <c r="CL103" s="18">
        <f t="shared" si="250"/>
        <v>5.0456695911727412</v>
      </c>
      <c r="CM103" s="18">
        <f t="shared" si="250"/>
        <v>-11.360420287637151</v>
      </c>
      <c r="CN103" s="18">
        <f t="shared" si="250"/>
        <v>5.3493318239997922</v>
      </c>
      <c r="CO103" s="18">
        <f t="shared" si="250"/>
        <v>1.2892548422816175</v>
      </c>
      <c r="CP103" s="18">
        <f t="shared" si="251"/>
        <v>1.6895378424714558</v>
      </c>
      <c r="CR103" s="18">
        <f t="shared" si="252"/>
        <v>2.6249233892340573</v>
      </c>
      <c r="CS103" s="18">
        <f t="shared" si="253"/>
        <v>2.4828578933019374</v>
      </c>
      <c r="CT103" s="18">
        <f t="shared" si="254"/>
        <v>4.4435907242037942</v>
      </c>
    </row>
    <row r="104" spans="1:98" x14ac:dyDescent="0.2">
      <c r="A104" t="str">
        <f t="shared" si="209"/>
        <v>81 Process, plant and machine operatives</v>
      </c>
      <c r="B104" s="18">
        <f t="shared" si="210"/>
        <v>11.883823268857107</v>
      </c>
      <c r="C104" s="18">
        <f t="shared" si="210"/>
        <v>-27.867322326803023</v>
      </c>
      <c r="D104" s="18">
        <f t="shared" si="210"/>
        <v>6.7689899273733589</v>
      </c>
      <c r="E104" s="18">
        <f t="shared" si="210"/>
        <v>7.1409281783722633</v>
      </c>
      <c r="F104" s="18">
        <f t="shared" si="211"/>
        <v>4.4105745418349773</v>
      </c>
      <c r="H104" s="18">
        <f t="shared" si="212"/>
        <v>7.0168050197675802</v>
      </c>
      <c r="I104" s="18">
        <f t="shared" si="213"/>
        <v>4.4757158662347196</v>
      </c>
      <c r="J104" s="18">
        <f t="shared" si="214"/>
        <v>9.1022734002970793</v>
      </c>
      <c r="L104" t="str">
        <f t="shared" si="255"/>
        <v>81 Process, plant and machine operatives</v>
      </c>
      <c r="M104" s="18">
        <f t="shared" si="215"/>
        <v>10.487518590456201</v>
      </c>
      <c r="N104" s="18">
        <f t="shared" si="215"/>
        <v>-24.038250943691398</v>
      </c>
      <c r="O104" s="18">
        <f t="shared" si="215"/>
        <v>10.61756381894099</v>
      </c>
      <c r="P104" s="18">
        <f t="shared" si="215"/>
        <v>6.9320952112911005</v>
      </c>
      <c r="Q104" s="18">
        <f t="shared" si="216"/>
        <v>5.7851632236634476</v>
      </c>
      <c r="S104" s="18">
        <f t="shared" si="217"/>
        <v>8.1467354252304336</v>
      </c>
      <c r="T104" s="18">
        <f t="shared" si="218"/>
        <v>4.8293738543557785</v>
      </c>
      <c r="U104" s="18">
        <f t="shared" si="219"/>
        <v>10.154735392485325</v>
      </c>
      <c r="W104" t="str">
        <f t="shared" si="256"/>
        <v>81 Process, plant and machine operatives</v>
      </c>
      <c r="X104" s="18">
        <f t="shared" si="220"/>
        <v>1.5645125900291879</v>
      </c>
      <c r="Y104" s="18">
        <f t="shared" si="220"/>
        <v>-1.6624718887959133</v>
      </c>
      <c r="Z104" s="18">
        <f t="shared" si="220"/>
        <v>7.3995180096268154</v>
      </c>
      <c r="AA104" s="18">
        <f t="shared" si="220"/>
        <v>5.8600815849476628</v>
      </c>
      <c r="AB104" s="18">
        <f t="shared" si="221"/>
        <v>5.8499907823603925</v>
      </c>
      <c r="AD104" s="18">
        <f t="shared" si="222"/>
        <v>6.3707595448375232</v>
      </c>
      <c r="AE104" s="18">
        <f t="shared" si="223"/>
        <v>4.4554780817239292</v>
      </c>
      <c r="AF104" s="18">
        <f t="shared" si="224"/>
        <v>8.6027819244747672</v>
      </c>
      <c r="AH104" t="str">
        <f t="shared" si="257"/>
        <v>81 Process, plant and machine operatives</v>
      </c>
      <c r="AI104" s="18">
        <f t="shared" si="225"/>
        <v>-0.1841168367890389</v>
      </c>
      <c r="AJ104" s="18">
        <f t="shared" si="225"/>
        <v>6.5966597557001183</v>
      </c>
      <c r="AK104" s="18">
        <f t="shared" si="225"/>
        <v>4.8152451142482677</v>
      </c>
      <c r="AL104" s="18">
        <f t="shared" si="225"/>
        <v>2.9150713046074861</v>
      </c>
      <c r="AM104" s="18">
        <f t="shared" si="226"/>
        <v>3.7327708736956344</v>
      </c>
      <c r="AO104" s="18">
        <f t="shared" si="227"/>
        <v>3.5446038653597745</v>
      </c>
      <c r="AP104" s="18">
        <f t="shared" si="228"/>
        <v>3.4736194875422788</v>
      </c>
      <c r="AQ104" s="18">
        <f t="shared" si="229"/>
        <v>5.8769546632395864</v>
      </c>
      <c r="AS104" t="str">
        <f t="shared" si="258"/>
        <v>81 Process, plant and machine operatives</v>
      </c>
      <c r="AT104" s="18">
        <f t="shared" si="230"/>
        <v>-1.9002895706785483</v>
      </c>
      <c r="AU104" s="18">
        <f t="shared" si="230"/>
        <v>10.242648738984993</v>
      </c>
      <c r="AV104" s="18">
        <f t="shared" si="230"/>
        <v>3.7763337146081932</v>
      </c>
      <c r="AW104" s="18">
        <f t="shared" si="230"/>
        <v>2.9387507731557738</v>
      </c>
      <c r="AX104" s="18">
        <f t="shared" si="231"/>
        <v>3.6428595885408477</v>
      </c>
      <c r="AZ104" s="18">
        <f t="shared" si="232"/>
        <v>3.2171912503283551</v>
      </c>
      <c r="BA104" s="18">
        <f t="shared" si="233"/>
        <v>3.4045222389776919</v>
      </c>
      <c r="BB104" s="18">
        <f t="shared" si="234"/>
        <v>5.5871362068655728</v>
      </c>
      <c r="BD104" t="str">
        <f t="shared" si="259"/>
        <v>81 Process, plant and machine operatives</v>
      </c>
      <c r="BE104" s="18">
        <f t="shared" si="235"/>
        <v>1.3542924764746278</v>
      </c>
      <c r="BF104" s="18">
        <f t="shared" si="235"/>
        <v>-11.425449887565753</v>
      </c>
      <c r="BG104" s="18">
        <f t="shared" si="235"/>
        <v>2.8811992170084677</v>
      </c>
      <c r="BH104" s="18">
        <f t="shared" si="235"/>
        <v>0.82231711055940071</v>
      </c>
      <c r="BI104" s="18">
        <f t="shared" si="236"/>
        <v>0.64326946391408679</v>
      </c>
      <c r="BK104" s="18">
        <f t="shared" si="237"/>
        <v>1.5039918541301045</v>
      </c>
      <c r="BL104" s="18">
        <f t="shared" si="238"/>
        <v>2.4611229496773523</v>
      </c>
      <c r="BM104" s="18">
        <f t="shared" si="239"/>
        <v>3.5643848021115643</v>
      </c>
      <c r="BO104" t="str">
        <f t="shared" si="260"/>
        <v>81 Process, plant and machine operatives</v>
      </c>
      <c r="BP104" s="18">
        <f t="shared" si="240"/>
        <v>0.29685001676815759</v>
      </c>
      <c r="BQ104" s="18">
        <f t="shared" si="240"/>
        <v>-12.936605204341788</v>
      </c>
      <c r="BR104" s="18">
        <f t="shared" si="240"/>
        <v>0.91391873571871063</v>
      </c>
      <c r="BS104" s="18">
        <f t="shared" si="240"/>
        <v>-1.2351376338023301</v>
      </c>
      <c r="BT104" s="18">
        <f t="shared" si="241"/>
        <v>-1.3491176804895533</v>
      </c>
      <c r="BV104" s="18">
        <f t="shared" si="242"/>
        <v>-0.52391937688560652</v>
      </c>
      <c r="BW104" s="18">
        <f t="shared" si="243"/>
        <v>2.2952553444746782</v>
      </c>
      <c r="BX104" s="18">
        <f t="shared" si="244"/>
        <v>1.9180253662204771</v>
      </c>
      <c r="BZ104" t="str">
        <f t="shared" si="261"/>
        <v>81 Process, plant and machine operatives</v>
      </c>
      <c r="CA104" s="18">
        <f t="shared" si="245"/>
        <v>-4.030655762159407</v>
      </c>
      <c r="CB104" s="18">
        <f t="shared" si="245"/>
        <v>-8.0179248275501269</v>
      </c>
      <c r="CC104" s="18">
        <f t="shared" si="245"/>
        <v>-2.5047857393542872</v>
      </c>
      <c r="CD104" s="18">
        <f t="shared" si="245"/>
        <v>-7.8243804673962529</v>
      </c>
      <c r="CE104" s="18">
        <f t="shared" si="246"/>
        <v>-6.2062776956453014</v>
      </c>
      <c r="CG104" s="18">
        <f t="shared" si="247"/>
        <v>-6.0842402426692033</v>
      </c>
      <c r="CH104" s="18">
        <f t="shared" si="248"/>
        <v>1.5375656664961657</v>
      </c>
      <c r="CI104" s="18">
        <f t="shared" si="249"/>
        <v>-2.8589796520951061</v>
      </c>
      <c r="CK104" t="str">
        <f t="shared" si="262"/>
        <v>81 Process, plant and machine operatives</v>
      </c>
      <c r="CL104" s="18">
        <f t="shared" si="250"/>
        <v>-5.3397628862411617</v>
      </c>
      <c r="CM104" s="18">
        <f t="shared" si="250"/>
        <v>-21.975528647849028</v>
      </c>
      <c r="CN104" s="18">
        <f t="shared" si="250"/>
        <v>-13.58762510043352</v>
      </c>
      <c r="CO104" s="18">
        <f t="shared" si="250"/>
        <v>-7.6424982698743538</v>
      </c>
      <c r="CP104" s="18">
        <f t="shared" si="251"/>
        <v>-10.491450525687274</v>
      </c>
      <c r="CR104" s="18">
        <f t="shared" si="252"/>
        <v>-9.6683177449894195</v>
      </c>
      <c r="CS104" s="18">
        <f t="shared" si="253"/>
        <v>0.75087919482488275</v>
      </c>
      <c r="CT104" s="18">
        <f t="shared" si="254"/>
        <v>-7.0070121211920018</v>
      </c>
    </row>
    <row r="105" spans="1:98" x14ac:dyDescent="0.2">
      <c r="A105" t="str">
        <f t="shared" si="209"/>
        <v>82 Transport and mobile machine drivers and operatives</v>
      </c>
      <c r="B105" s="18">
        <f t="shared" si="210"/>
        <v>4.964484063623531</v>
      </c>
      <c r="C105" s="18">
        <f t="shared" si="210"/>
        <v>4.3343215238389243</v>
      </c>
      <c r="D105" s="18">
        <f t="shared" si="210"/>
        <v>6.9162621708154015</v>
      </c>
      <c r="E105" s="18">
        <f t="shared" si="210"/>
        <v>4.4593770510903186</v>
      </c>
      <c r="F105" s="18">
        <f t="shared" si="211"/>
        <v>5.2131496440455782</v>
      </c>
      <c r="H105" s="18">
        <f t="shared" si="212"/>
        <v>5.2720006998349556</v>
      </c>
      <c r="I105" s="18">
        <f t="shared" si="213"/>
        <v>4.6893132737416909</v>
      </c>
      <c r="J105" s="18">
        <f t="shared" si="214"/>
        <v>7.948912211587178</v>
      </c>
      <c r="L105" t="str">
        <f t="shared" si="255"/>
        <v>82 Transport and mobile machine drivers and operatives</v>
      </c>
      <c r="M105" s="18">
        <f t="shared" si="215"/>
        <v>5.7499752278012961</v>
      </c>
      <c r="N105" s="18">
        <f t="shared" si="215"/>
        <v>-0.55804637821182945</v>
      </c>
      <c r="O105" s="18">
        <f t="shared" si="215"/>
        <v>4.9130221882895952</v>
      </c>
      <c r="P105" s="18">
        <f t="shared" si="215"/>
        <v>3.568482398268924</v>
      </c>
      <c r="Q105" s="18">
        <f t="shared" si="216"/>
        <v>3.7228753669870551</v>
      </c>
      <c r="S105" s="18">
        <f t="shared" si="217"/>
        <v>4.0147367524116406</v>
      </c>
      <c r="T105" s="18">
        <f t="shared" si="218"/>
        <v>4.2314993325306194</v>
      </c>
      <c r="U105" s="18">
        <f t="shared" si="219"/>
        <v>6.7577300885838243</v>
      </c>
      <c r="W105" t="str">
        <f t="shared" si="256"/>
        <v>82 Transport and mobile machine drivers and operatives</v>
      </c>
      <c r="X105" s="18">
        <f t="shared" si="220"/>
        <v>3.1632975004258768E-2</v>
      </c>
      <c r="Y105" s="18">
        <f t="shared" si="220"/>
        <v>24.094801990461455</v>
      </c>
      <c r="Z105" s="18">
        <f t="shared" si="220"/>
        <v>2.5502033291344484</v>
      </c>
      <c r="AA105" s="18">
        <f t="shared" si="220"/>
        <v>2.6331128226710243</v>
      </c>
      <c r="AB105" s="18">
        <f t="shared" si="221"/>
        <v>3.8321751197394116</v>
      </c>
      <c r="AD105" s="18">
        <f t="shared" si="222"/>
        <v>2.6054688796749659</v>
      </c>
      <c r="AE105" s="18">
        <f t="shared" si="223"/>
        <v>4.0187281727598112</v>
      </c>
      <c r="AF105" s="18">
        <f t="shared" si="224"/>
        <v>5.6378297912304642</v>
      </c>
      <c r="AH105" t="str">
        <f t="shared" si="257"/>
        <v>82 Transport and mobile machine drivers and operatives</v>
      </c>
      <c r="AI105" s="18">
        <f t="shared" si="225"/>
        <v>-0.65597727756399049</v>
      </c>
      <c r="AJ105" s="18">
        <f t="shared" si="225"/>
        <v>34.154304431108272</v>
      </c>
      <c r="AK105" s="18">
        <f t="shared" si="225"/>
        <v>1.9877722302097389</v>
      </c>
      <c r="AL105" s="18">
        <f t="shared" si="225"/>
        <v>2.685895075572442</v>
      </c>
      <c r="AM105" s="18">
        <f t="shared" si="226"/>
        <v>4.1935455870608429</v>
      </c>
      <c r="AO105" s="18">
        <f t="shared" si="227"/>
        <v>2.4526580956173882</v>
      </c>
      <c r="AP105" s="18">
        <f t="shared" si="228"/>
        <v>3.8642064514556207</v>
      </c>
      <c r="AQ105" s="18">
        <f t="shared" si="229"/>
        <v>5.410666002502551</v>
      </c>
      <c r="AS105" t="str">
        <f t="shared" si="258"/>
        <v>82 Transport and mobile machine drivers and operatives</v>
      </c>
      <c r="AT105" s="18">
        <f t="shared" si="230"/>
        <v>-1.0344318159808186</v>
      </c>
      <c r="AU105" s="18">
        <f t="shared" si="230"/>
        <v>29.139641899449309</v>
      </c>
      <c r="AV105" s="18">
        <f t="shared" si="230"/>
        <v>1.9008723293989949</v>
      </c>
      <c r="AW105" s="18">
        <f t="shared" si="230"/>
        <v>2.2778867657092361</v>
      </c>
      <c r="AX105" s="18">
        <f t="shared" si="231"/>
        <v>3.6598101964449237</v>
      </c>
      <c r="AZ105" s="18">
        <f t="shared" si="232"/>
        <v>2.1520605541465621</v>
      </c>
      <c r="BA105" s="18">
        <f t="shared" si="233"/>
        <v>3.8797192326956331</v>
      </c>
      <c r="BB105" s="18">
        <f t="shared" si="234"/>
        <v>5.2232680509986418</v>
      </c>
      <c r="BD105" t="str">
        <f t="shared" si="259"/>
        <v>82 Transport and mobile machine drivers and operatives</v>
      </c>
      <c r="BE105" s="18">
        <f t="shared" si="235"/>
        <v>3.6134780923134491</v>
      </c>
      <c r="BF105" s="18">
        <f t="shared" si="235"/>
        <v>-4.8581186104853185</v>
      </c>
      <c r="BG105" s="18">
        <f t="shared" si="235"/>
        <v>2.1326560542124673</v>
      </c>
      <c r="BH105" s="18">
        <f t="shared" si="235"/>
        <v>1.572766390510405</v>
      </c>
      <c r="BI105" s="18">
        <f t="shared" si="236"/>
        <v>1.3323185482972288</v>
      </c>
      <c r="BK105" s="18">
        <f t="shared" si="237"/>
        <v>1.7590544107690897</v>
      </c>
      <c r="BL105" s="18">
        <f t="shared" si="238"/>
        <v>3.2114046451779732</v>
      </c>
      <c r="BM105" s="18">
        <f t="shared" si="239"/>
        <v>4.3923340493104535</v>
      </c>
      <c r="BO105" t="str">
        <f t="shared" si="260"/>
        <v>82 Transport and mobile machine drivers and operatives</v>
      </c>
      <c r="BP105" s="18">
        <f t="shared" si="240"/>
        <v>2.2274145554535885</v>
      </c>
      <c r="BQ105" s="18">
        <f t="shared" si="240"/>
        <v>-7.7606467604814711</v>
      </c>
      <c r="BR105" s="18">
        <f t="shared" si="240"/>
        <v>0.1400913426295558</v>
      </c>
      <c r="BS105" s="18">
        <f t="shared" si="240"/>
        <v>-0.28830384933365982</v>
      </c>
      <c r="BT105" s="18">
        <f t="shared" si="241"/>
        <v>-0.6395441610198449</v>
      </c>
      <c r="BV105" s="18">
        <f t="shared" si="242"/>
        <v>-0.14570946870035018</v>
      </c>
      <c r="BW105" s="18">
        <f t="shared" si="243"/>
        <v>2.8856555822926122</v>
      </c>
      <c r="BX105" s="18">
        <f t="shared" si="244"/>
        <v>2.7881623780397602</v>
      </c>
      <c r="BZ105" t="str">
        <f t="shared" si="261"/>
        <v>82 Transport and mobile machine drivers and operatives</v>
      </c>
      <c r="CA105" s="18">
        <f t="shared" si="245"/>
        <v>-2.4311303906060178</v>
      </c>
      <c r="CB105" s="18">
        <f t="shared" si="245"/>
        <v>1.0605719467256192</v>
      </c>
      <c r="CC105" s="18">
        <f t="shared" si="245"/>
        <v>-4.0808694924884481</v>
      </c>
      <c r="CD105" s="18">
        <f t="shared" si="245"/>
        <v>-3.6759148460779989</v>
      </c>
      <c r="CE105" s="18">
        <f t="shared" si="246"/>
        <v>-3.5136110580362478</v>
      </c>
      <c r="CG105" s="18">
        <f t="shared" si="247"/>
        <v>-3.8110893339073915</v>
      </c>
      <c r="CH105" s="18">
        <f t="shared" si="248"/>
        <v>2.1089952562449055</v>
      </c>
      <c r="CI105" s="18">
        <f t="shared" si="249"/>
        <v>-0.51185515016463068</v>
      </c>
      <c r="CK105" t="str">
        <f t="shared" si="262"/>
        <v>82 Transport and mobile machine drivers and operatives</v>
      </c>
      <c r="CL105" s="18">
        <f t="shared" si="250"/>
        <v>1.2758085963009203</v>
      </c>
      <c r="CM105" s="18">
        <f t="shared" si="250"/>
        <v>-9.7082718835377548</v>
      </c>
      <c r="CN105" s="18">
        <f t="shared" si="250"/>
        <v>-0.26278570657746192</v>
      </c>
      <c r="CO105" s="18">
        <f t="shared" si="250"/>
        <v>-5.8288514709399113</v>
      </c>
      <c r="CP105" s="18">
        <f t="shared" si="251"/>
        <v>-4.3754178475714838</v>
      </c>
      <c r="CR105" s="18">
        <f t="shared" si="252"/>
        <v>-4.0088953571080443</v>
      </c>
      <c r="CS105" s="18">
        <f t="shared" si="253"/>
        <v>1.8773370525322797</v>
      </c>
      <c r="CT105" s="18">
        <f t="shared" si="254"/>
        <v>-0.9764876092516972</v>
      </c>
    </row>
    <row r="106" spans="1:98" x14ac:dyDescent="0.2">
      <c r="A106" t="str">
        <f t="shared" si="209"/>
        <v>91 Elementary trades and related occupations</v>
      </c>
      <c r="B106" s="18">
        <f t="shared" si="210"/>
        <v>2.2642869815914901</v>
      </c>
      <c r="C106" s="18">
        <f t="shared" si="210"/>
        <v>-11.947174207014621</v>
      </c>
      <c r="D106" s="18">
        <f t="shared" si="210"/>
        <v>38.610966010500292</v>
      </c>
      <c r="E106" s="18">
        <f t="shared" si="210"/>
        <v>6.6327087419881137</v>
      </c>
      <c r="F106" s="18">
        <f t="shared" si="211"/>
        <v>14.364103271273553</v>
      </c>
      <c r="H106" s="18">
        <f t="shared" si="212"/>
        <v>16.374945632367432</v>
      </c>
      <c r="I106" s="18">
        <f t="shared" si="213"/>
        <v>11.307207627750838</v>
      </c>
      <c r="J106" s="18">
        <f t="shared" si="214"/>
        <v>19.07129907372984</v>
      </c>
      <c r="L106" t="str">
        <f t="shared" si="255"/>
        <v>91 Elementary trades and related occupations</v>
      </c>
      <c r="M106" s="18">
        <f t="shared" si="215"/>
        <v>4.7210979577682277</v>
      </c>
      <c r="N106" s="18">
        <f t="shared" si="215"/>
        <v>-15.441330859157333</v>
      </c>
      <c r="O106" s="18">
        <f t="shared" si="215"/>
        <v>13.11891615327534</v>
      </c>
      <c r="P106" s="18">
        <f t="shared" si="215"/>
        <v>5.1757350408629943</v>
      </c>
      <c r="Q106" s="18">
        <f t="shared" si="216"/>
        <v>6.1388473915727992</v>
      </c>
      <c r="S106" s="18">
        <f t="shared" si="217"/>
        <v>7.7594705690171573</v>
      </c>
      <c r="T106" s="18">
        <f t="shared" si="218"/>
        <v>5.3492306044537363</v>
      </c>
      <c r="U106" s="18">
        <f t="shared" si="219"/>
        <v>10.131750739819289</v>
      </c>
      <c r="W106" t="str">
        <f t="shared" si="256"/>
        <v>91 Elementary trades and related occupations</v>
      </c>
      <c r="X106" s="18">
        <f t="shared" si="220"/>
        <v>1.3716795347166855</v>
      </c>
      <c r="Y106" s="18">
        <f t="shared" si="220"/>
        <v>4.2813648729172371</v>
      </c>
      <c r="Z106" s="18">
        <f t="shared" si="220"/>
        <v>17.418742981774681</v>
      </c>
      <c r="AA106" s="18">
        <f t="shared" si="220"/>
        <v>4.0255027540170518</v>
      </c>
      <c r="AB106" s="18">
        <f t="shared" si="221"/>
        <v>8.0545986739408715</v>
      </c>
      <c r="AD106" s="18">
        <f t="shared" si="222"/>
        <v>8.3109482025001125</v>
      </c>
      <c r="AE106" s="18">
        <f t="shared" si="223"/>
        <v>6.9008556909039065</v>
      </c>
      <c r="AF106" s="18">
        <f t="shared" si="224"/>
        <v>11.375035248715992</v>
      </c>
      <c r="AH106" t="str">
        <f t="shared" si="257"/>
        <v>91 Elementary trades and related occupations</v>
      </c>
      <c r="AI106" s="18">
        <f t="shared" si="225"/>
        <v>1.3206272222405335</v>
      </c>
      <c r="AJ106" s="18">
        <f t="shared" si="225"/>
        <v>-4.1772050200380439</v>
      </c>
      <c r="AK106" s="18">
        <f t="shared" si="225"/>
        <v>17.548759629942001</v>
      </c>
      <c r="AL106" s="18">
        <f t="shared" si="225"/>
        <v>4.5928495213442888</v>
      </c>
      <c r="AM106" s="18">
        <f t="shared" si="226"/>
        <v>7.8881360360269825</v>
      </c>
      <c r="AO106" s="18">
        <f t="shared" si="227"/>
        <v>8.7445115741542345</v>
      </c>
      <c r="AP106" s="18">
        <f t="shared" si="228"/>
        <v>7.2475811578014193</v>
      </c>
      <c r="AQ106" s="18">
        <f t="shared" si="229"/>
        <v>11.861422445279768</v>
      </c>
      <c r="AS106" t="str">
        <f t="shared" si="258"/>
        <v>91 Elementary trades and related occupations</v>
      </c>
      <c r="AT106" s="18">
        <f t="shared" si="230"/>
        <v>-1.4880044865242414</v>
      </c>
      <c r="AU106" s="18">
        <f t="shared" si="230"/>
        <v>17.312289049590589</v>
      </c>
      <c r="AV106" s="18">
        <f t="shared" si="230"/>
        <v>15.913668378383194</v>
      </c>
      <c r="AW106" s="18">
        <f t="shared" si="230"/>
        <v>3.5702124327737117</v>
      </c>
      <c r="AX106" s="18">
        <f t="shared" si="231"/>
        <v>8.1179591878543178</v>
      </c>
      <c r="AZ106" s="18">
        <f t="shared" si="232"/>
        <v>7.5312748869316604</v>
      </c>
      <c r="BA106" s="18">
        <f t="shared" si="233"/>
        <v>6.0615573308249182</v>
      </c>
      <c r="BB106" s="18">
        <f t="shared" si="234"/>
        <v>10.363784819775134</v>
      </c>
      <c r="BD106" t="str">
        <f t="shared" si="259"/>
        <v>91 Elementary trades and related occupations</v>
      </c>
      <c r="BE106" s="18">
        <f t="shared" si="235"/>
        <v>-1.370089793453555</v>
      </c>
      <c r="BF106" s="18">
        <f t="shared" si="235"/>
        <v>-10.457569150490386</v>
      </c>
      <c r="BG106" s="18">
        <f t="shared" si="235"/>
        <v>13.256618475952809</v>
      </c>
      <c r="BH106" s="18">
        <f t="shared" si="235"/>
        <v>2.5295983690594381</v>
      </c>
      <c r="BI106" s="18">
        <f t="shared" si="236"/>
        <v>4.8763253561329156</v>
      </c>
      <c r="BK106" s="18">
        <f t="shared" si="237"/>
        <v>5.9873501689084563</v>
      </c>
      <c r="BL106" s="18">
        <f t="shared" si="238"/>
        <v>4.3150847988187468</v>
      </c>
      <c r="BM106" s="18">
        <f t="shared" si="239"/>
        <v>8.233944326673015</v>
      </c>
      <c r="BO106" t="str">
        <f t="shared" si="260"/>
        <v>91 Elementary trades and related occupations</v>
      </c>
      <c r="BP106" s="18">
        <f t="shared" si="240"/>
        <v>-3.4146859754526249</v>
      </c>
      <c r="BQ106" s="18">
        <f t="shared" si="240"/>
        <v>-8.9081945648243668</v>
      </c>
      <c r="BR106" s="18">
        <f t="shared" si="240"/>
        <v>10.18688042096656</v>
      </c>
      <c r="BS106" s="18">
        <f t="shared" si="240"/>
        <v>-0.16005448883379403</v>
      </c>
      <c r="BT106" s="18">
        <f t="shared" si="241"/>
        <v>2.3760234267353741</v>
      </c>
      <c r="BV106" s="18">
        <f t="shared" si="242"/>
        <v>3.1761977996814128</v>
      </c>
      <c r="BW106" s="18">
        <f t="shared" si="243"/>
        <v>3.5123478940876085</v>
      </c>
      <c r="BX106" s="18">
        <f t="shared" si="244"/>
        <v>5.6382890732253221</v>
      </c>
      <c r="BZ106" t="str">
        <f t="shared" si="261"/>
        <v>91 Elementary trades and related occupations</v>
      </c>
      <c r="CA106" s="18">
        <f t="shared" si="245"/>
        <v>-4.7616637941851785</v>
      </c>
      <c r="CB106" s="18">
        <f t="shared" si="245"/>
        <v>-6.485672150975974</v>
      </c>
      <c r="CC106" s="18">
        <f t="shared" si="245"/>
        <v>8.4851652456440227</v>
      </c>
      <c r="CD106" s="18">
        <f t="shared" si="245"/>
        <v>-1.2371295756276823</v>
      </c>
      <c r="CE106" s="18">
        <f t="shared" si="246"/>
        <v>1.3571021799637872</v>
      </c>
      <c r="CG106" s="18">
        <f t="shared" si="247"/>
        <v>1.9027538677251155</v>
      </c>
      <c r="CH106" s="18">
        <f t="shared" si="248"/>
        <v>3.2126539813476018</v>
      </c>
      <c r="CI106" s="18">
        <f t="shared" si="249"/>
        <v>4.4941891233784226</v>
      </c>
      <c r="CK106" t="str">
        <f t="shared" si="262"/>
        <v>91 Elementary trades and related occupations</v>
      </c>
      <c r="CL106" s="18">
        <f t="shared" si="250"/>
        <v>-2.89373323996438</v>
      </c>
      <c r="CM106" s="18">
        <f t="shared" si="250"/>
        <v>-17.338146390271636</v>
      </c>
      <c r="CN106" s="18">
        <f t="shared" si="250"/>
        <v>10.076348306571759</v>
      </c>
      <c r="CO106" s="18">
        <f t="shared" si="250"/>
        <v>-2.4043512719948978</v>
      </c>
      <c r="CP106" s="18">
        <f t="shared" si="251"/>
        <v>0.28938890780678683</v>
      </c>
      <c r="CR106" s="18">
        <f t="shared" si="252"/>
        <v>1.5901593162048311</v>
      </c>
      <c r="CS106" s="18">
        <f t="shared" si="253"/>
        <v>2.6637227086818038</v>
      </c>
      <c r="CT106" s="18">
        <f t="shared" si="254"/>
        <v>3.8027548197495875</v>
      </c>
    </row>
    <row r="107" spans="1:98" x14ac:dyDescent="0.2">
      <c r="A107" t="str">
        <f t="shared" si="209"/>
        <v>92 Elementary administration and service occupations</v>
      </c>
      <c r="B107" s="18">
        <f t="shared" si="210"/>
        <v>6.666318190042686</v>
      </c>
      <c r="C107" s="18">
        <f t="shared" si="210"/>
        <v>-13.332700152032306</v>
      </c>
      <c r="D107" s="18">
        <f t="shared" si="210"/>
        <v>3.3215950890584711</v>
      </c>
      <c r="E107" s="18">
        <f t="shared" si="210"/>
        <v>3.7242411775638695</v>
      </c>
      <c r="F107" s="18">
        <f t="shared" si="211"/>
        <v>2.4414790135972808</v>
      </c>
      <c r="H107" s="18">
        <f t="shared" si="212"/>
        <v>3.5898517694638921</v>
      </c>
      <c r="I107" s="18">
        <f t="shared" si="213"/>
        <v>3.4994377806223609</v>
      </c>
      <c r="J107" s="18">
        <f t="shared" si="214"/>
        <v>5.9287573648060921</v>
      </c>
      <c r="L107" t="str">
        <f t="shared" ref="L107" si="263">A107</f>
        <v>92 Elementary administration and service occupations</v>
      </c>
      <c r="M107" s="18">
        <f t="shared" si="215"/>
        <v>7.6683186074866905</v>
      </c>
      <c r="N107" s="18">
        <f t="shared" si="215"/>
        <v>-14.87223601574108</v>
      </c>
      <c r="O107" s="18">
        <f t="shared" si="215"/>
        <v>4.1921013367883786</v>
      </c>
      <c r="P107" s="18">
        <f t="shared" si="215"/>
        <v>3.8803503691516417</v>
      </c>
      <c r="Q107" s="18">
        <f t="shared" si="216"/>
        <v>2.6919035572692485</v>
      </c>
      <c r="S107" s="18">
        <f t="shared" si="217"/>
        <v>3.9841635776940887</v>
      </c>
      <c r="T107" s="18">
        <f t="shared" si="218"/>
        <v>3.6310811085966899</v>
      </c>
      <c r="U107" s="18">
        <f t="shared" si="219"/>
        <v>6.3111999577935896</v>
      </c>
      <c r="W107" t="str">
        <f t="shared" ref="W107" si="264">A107</f>
        <v>92 Elementary administration and service occupations</v>
      </c>
      <c r="X107" s="18">
        <f t="shared" si="220"/>
        <v>2.7334460568241292</v>
      </c>
      <c r="Y107" s="18">
        <f t="shared" si="220"/>
        <v>1.7175838177872826</v>
      </c>
      <c r="Z107" s="18">
        <f t="shared" si="220"/>
        <v>1.5174819063145994</v>
      </c>
      <c r="AA107" s="18">
        <f t="shared" si="220"/>
        <v>2.7689887624904763</v>
      </c>
      <c r="AB107" s="18">
        <f t="shared" si="221"/>
        <v>2.3104666780328076</v>
      </c>
      <c r="AD107" s="18">
        <f t="shared" si="222"/>
        <v>2.3501148508155545</v>
      </c>
      <c r="AE107" s="18">
        <f t="shared" si="223"/>
        <v>3.6885213825769592</v>
      </c>
      <c r="AF107" s="18">
        <f t="shared" si="224"/>
        <v>5.1981634812980682</v>
      </c>
      <c r="AH107" t="str">
        <f t="shared" ref="AH107" si="265">L107</f>
        <v>92 Elementary administration and service occupations</v>
      </c>
      <c r="AI107" s="18">
        <f t="shared" si="225"/>
        <v>2.697613428403578</v>
      </c>
      <c r="AJ107" s="18">
        <f t="shared" si="225"/>
        <v>2.8995739027433132</v>
      </c>
      <c r="AK107" s="18">
        <f t="shared" si="225"/>
        <v>0.7843387431682336</v>
      </c>
      <c r="AL107" s="18">
        <f t="shared" si="225"/>
        <v>2.7086449589392103</v>
      </c>
      <c r="AM107" s="18">
        <f t="shared" si="226"/>
        <v>2.1152374628657933</v>
      </c>
      <c r="AO107" s="18">
        <f t="shared" si="227"/>
        <v>2.0631614412108368</v>
      </c>
      <c r="AP107" s="18">
        <f t="shared" si="228"/>
        <v>3.4330376637374593</v>
      </c>
      <c r="AQ107" s="18">
        <f t="shared" si="229"/>
        <v>4.7905583929601647</v>
      </c>
      <c r="AS107" t="str">
        <f t="shared" ref="AS107" si="266">W107</f>
        <v>92 Elementary administration and service occupations</v>
      </c>
      <c r="AT107" s="18">
        <f t="shared" si="230"/>
        <v>1.5011245884963387</v>
      </c>
      <c r="AU107" s="18">
        <f t="shared" si="230"/>
        <v>6.1986998760577672</v>
      </c>
      <c r="AV107" s="18">
        <f t="shared" si="230"/>
        <v>-0.2275653555759316</v>
      </c>
      <c r="AW107" s="18">
        <f t="shared" si="230"/>
        <v>2.3800048771598137</v>
      </c>
      <c r="AX107" s="18">
        <f t="shared" si="231"/>
        <v>1.7906105493521451</v>
      </c>
      <c r="AZ107" s="18">
        <f t="shared" si="232"/>
        <v>1.5033292913711582</v>
      </c>
      <c r="BA107" s="18">
        <f t="shared" si="233"/>
        <v>3.2708143392514044</v>
      </c>
      <c r="BB107" s="18">
        <f t="shared" si="234"/>
        <v>4.2664272099445455</v>
      </c>
      <c r="BD107" t="str">
        <f t="shared" ref="BD107" si="267">AH107</f>
        <v>92 Elementary administration and service occupations</v>
      </c>
      <c r="BE107" s="18">
        <f t="shared" si="235"/>
        <v>0.55952535931389491</v>
      </c>
      <c r="BF107" s="18">
        <f t="shared" si="235"/>
        <v>-6.7465520895953812</v>
      </c>
      <c r="BG107" s="18">
        <f t="shared" si="235"/>
        <v>-3.1324322604897703</v>
      </c>
      <c r="BH107" s="18">
        <f t="shared" si="235"/>
        <v>-2.1133973530718109E-2</v>
      </c>
      <c r="BI107" s="18">
        <f t="shared" si="236"/>
        <v>-1.4339316066034002</v>
      </c>
      <c r="BK107" s="18">
        <f t="shared" si="237"/>
        <v>-1.0691813689510665</v>
      </c>
      <c r="BL107" s="18">
        <f t="shared" si="238"/>
        <v>2.2527553123233623</v>
      </c>
      <c r="BM107" s="18">
        <f t="shared" si="239"/>
        <v>1.4871416869397525</v>
      </c>
      <c r="BO107" t="str">
        <f t="shared" ref="BO107" si="268">AS107</f>
        <v>92 Elementary administration and service occupations</v>
      </c>
      <c r="BP107" s="18">
        <f t="shared" si="240"/>
        <v>0.90262213189469254</v>
      </c>
      <c r="BQ107" s="18">
        <f t="shared" si="240"/>
        <v>-9.5298913360700617</v>
      </c>
      <c r="BR107" s="18">
        <f t="shared" si="240"/>
        <v>-2.4649106186711012</v>
      </c>
      <c r="BS107" s="18">
        <f t="shared" si="240"/>
        <v>-1.2601716192215839</v>
      </c>
      <c r="BT107" s="18">
        <f t="shared" si="241"/>
        <v>-2.1744999618714456</v>
      </c>
      <c r="BV107" s="18">
        <f t="shared" si="242"/>
        <v>-1.663395691335301</v>
      </c>
      <c r="BW107" s="18">
        <f t="shared" si="243"/>
        <v>2.2893228874799609</v>
      </c>
      <c r="BX107" s="18">
        <f t="shared" si="244"/>
        <v>1.1199993868303837</v>
      </c>
      <c r="BZ107" t="str">
        <f t="shared" ref="BZ107" si="269">BD107</f>
        <v>92 Elementary administration and service occupations</v>
      </c>
      <c r="CA107" s="18">
        <f t="shared" si="245"/>
        <v>-3.3548338786017817</v>
      </c>
      <c r="CB107" s="18">
        <f t="shared" si="245"/>
        <v>-3.9796939821428845</v>
      </c>
      <c r="CC107" s="18">
        <f t="shared" si="245"/>
        <v>-3.0622242675081623</v>
      </c>
      <c r="CD107" s="18">
        <f t="shared" si="245"/>
        <v>-4.5590102334957194</v>
      </c>
      <c r="CE107" s="18">
        <f t="shared" si="246"/>
        <v>-4.0574835641417391</v>
      </c>
      <c r="CG107" s="18">
        <f t="shared" si="247"/>
        <v>-4.0626672949917282</v>
      </c>
      <c r="CH107" s="18">
        <f t="shared" si="248"/>
        <v>1.7680215379421993</v>
      </c>
      <c r="CI107" s="18">
        <f t="shared" si="249"/>
        <v>-1.1754144667693311</v>
      </c>
      <c r="CK107" t="str">
        <f t="shared" ref="CK107" si="270">BO107</f>
        <v>92 Elementary administration and service occupations</v>
      </c>
      <c r="CL107" s="18">
        <f t="shared" si="250"/>
        <v>-5.4123447462122387</v>
      </c>
      <c r="CM107" s="18">
        <f t="shared" si="250"/>
        <v>-25.573272742692353</v>
      </c>
      <c r="CN107" s="18">
        <f t="shared" si="250"/>
        <v>-7.7003716397011317</v>
      </c>
      <c r="CO107" s="18">
        <f t="shared" si="250"/>
        <v>-4.8290346933240746</v>
      </c>
      <c r="CP107" s="18">
        <f t="shared" si="251"/>
        <v>-7.1732085818076659</v>
      </c>
      <c r="CR107" s="18">
        <f t="shared" si="252"/>
        <v>-5.7959371187697233</v>
      </c>
      <c r="CS107" s="18">
        <f t="shared" si="253"/>
        <v>1.069238546729312</v>
      </c>
      <c r="CT107" s="18">
        <f t="shared" si="254"/>
        <v>-3.5516856978676459</v>
      </c>
    </row>
    <row r="108" spans="1:98" x14ac:dyDescent="0.2">
      <c r="B108" s="18"/>
      <c r="C108" s="18"/>
      <c r="D108" s="18"/>
      <c r="E108" s="18"/>
      <c r="F108" s="18"/>
      <c r="H108" s="18"/>
      <c r="I108" s="18"/>
      <c r="J108" s="18"/>
      <c r="M108" s="18"/>
      <c r="N108" s="18"/>
      <c r="O108" s="18"/>
      <c r="P108" s="18"/>
      <c r="Q108" s="18"/>
      <c r="S108" s="18"/>
      <c r="T108" s="18"/>
      <c r="U108" s="18"/>
      <c r="X108" s="18"/>
      <c r="Y108" s="18"/>
      <c r="Z108" s="18"/>
      <c r="AA108" s="18"/>
      <c r="AB108" s="18"/>
      <c r="AD108" s="18"/>
      <c r="AE108" s="18"/>
      <c r="AF108" s="18"/>
      <c r="AI108" s="18"/>
      <c r="AJ108" s="18"/>
      <c r="AK108" s="18"/>
      <c r="AL108" s="18"/>
      <c r="AM108" s="18"/>
      <c r="AO108" s="18"/>
      <c r="AP108" s="18"/>
      <c r="AQ108" s="18"/>
      <c r="AT108" s="18"/>
      <c r="AU108" s="18"/>
      <c r="AV108" s="18"/>
      <c r="AW108" s="18"/>
      <c r="AX108" s="18"/>
      <c r="AZ108" s="18"/>
      <c r="BA108" s="18"/>
      <c r="BB108" s="18"/>
      <c r="BE108" s="18"/>
      <c r="BF108" s="18"/>
      <c r="BG108" s="18"/>
      <c r="BH108" s="18"/>
      <c r="BI108" s="18"/>
      <c r="BK108" s="18"/>
      <c r="BL108" s="18"/>
      <c r="BM108" s="18"/>
      <c r="BP108" s="18"/>
      <c r="BQ108" s="18"/>
      <c r="BR108" s="18"/>
      <c r="BS108" s="18"/>
      <c r="BT108" s="18"/>
      <c r="BV108" s="18"/>
      <c r="BW108" s="18"/>
      <c r="BX108" s="18"/>
      <c r="CA108" s="18"/>
      <c r="CB108" s="18"/>
      <c r="CC108" s="18"/>
      <c r="CD108" s="18"/>
      <c r="CE108" s="18"/>
      <c r="CG108" s="18"/>
      <c r="CH108" s="18"/>
      <c r="CI108" s="18"/>
      <c r="CL108" s="18"/>
      <c r="CM108" s="18"/>
      <c r="CN108" s="18"/>
      <c r="CO108" s="18"/>
      <c r="CP108" s="18"/>
      <c r="CR108" s="18"/>
      <c r="CS108" s="18"/>
      <c r="CT108" s="18"/>
    </row>
    <row r="109" spans="1:98" x14ac:dyDescent="0.2">
      <c r="A109" s="24" t="str">
        <f>A35</f>
        <v>All occupations</v>
      </c>
      <c r="B109" s="26">
        <f>IF(AND(C$6-B$6 &lt;&gt; 0,B35&lt;&gt;0,C35&lt;&gt;0),(EXP(LN(C35/B35)/(C$6-B$6))-1)*100,0)</f>
        <v>6.9274142064015276</v>
      </c>
      <c r="C109" s="26">
        <f>IF(AND(D$6-C$6 &lt;&gt; 0,C35&lt;&gt;0,D35&lt;&gt;0),(EXP(LN(D35/C35)/(D$6-C$6))-1)*100,0)</f>
        <v>-5.0646524685286849</v>
      </c>
      <c r="D109" s="26">
        <f>IF(AND(E$6-D$6 &lt;&gt; 0,D35&lt;&gt;0,E35&lt;&gt;0),(EXP(LN(E35/D35)/(E$6-D$6))-1)*100,0)</f>
        <v>3.8674310532223588</v>
      </c>
      <c r="E109" s="26">
        <f>IF(AND(F$6-E$6 &lt;&gt; 0,E35&lt;&gt;0,F35&lt;&gt;0),(EXP(LN(F35/E35)/(F$6-E$6))-1)*100,0)</f>
        <v>2.6517595427075547</v>
      </c>
      <c r="F109" s="26">
        <f>IF(AND(F$6-C$6 &lt;&gt; 0,C35&lt;&gt;0,F35&lt;&gt;0),(EXP(LN(F35/C35)/(F$6-C$6))-1)*100,0)</f>
        <v>2.5281343348276142</v>
      </c>
      <c r="H109" s="26">
        <f t="shared" ref="H109" si="271">IF($F$6-$D$6 &lt;&gt; 0,(EXP(LN(1+(H72/100))/($F$6-$D$6))-1)*100,0)</f>
        <v>3.0553941768104886</v>
      </c>
      <c r="I109" s="26">
        <f t="shared" ref="I109" si="272">IF(D35&gt;0,((1+(I35/D35))^(1/($F$6-$D$6))-1)*100,0)</f>
        <v>3.1316168639695219</v>
      </c>
      <c r="J109" s="26">
        <f t="shared" ref="J109" si="273">IF($F$6-$D$6 &lt;&gt; 0,(EXP(LN(1+(J72/100))/($F$6-$D$6))-1)*100,0)</f>
        <v>5.2638470536524373</v>
      </c>
      <c r="L109" s="24" t="str">
        <f>L35</f>
        <v>All occupations</v>
      </c>
      <c r="M109" s="26">
        <f>IF(AND(N$6-M$6 &lt;&gt; 0,M35&lt;&gt;0,N35&lt;&gt;0),(EXP(LN(N35/M35)/(N$6-M$6))-1)*100,0)</f>
        <v>8.0598578437798061</v>
      </c>
      <c r="N109" s="26">
        <f>IF(AND(O$6-N$6 &lt;&gt; 0,N35&lt;&gt;0,O35&lt;&gt;0),(EXP(LN(O35/N35)/(O$6-N$6))-1)*100,0)</f>
        <v>-6.7337764143915795</v>
      </c>
      <c r="O109" s="26">
        <f>IF(AND(P$6-O$6 &lt;&gt; 0,O35&lt;&gt;0,P35&lt;&gt;0),(EXP(LN(P35/O35)/(P$6-O$6))-1)*100,0)</f>
        <v>3.8064193039202721</v>
      </c>
      <c r="P109" s="26">
        <f>IF(AND(Q$6-P$6 &lt;&gt; 0,P35&lt;&gt;0,Q35&lt;&gt;0),(EXP(LN(Q35/P35)/(Q$6-P$6))-1)*100,0)</f>
        <v>2.7719252358185953</v>
      </c>
      <c r="Q109" s="26">
        <f>IF(AND(Q$6-N$6 &lt;&gt; 0,N35&lt;&gt;0,Q35&lt;&gt;0),(EXP(LN(Q35/N35)/(Q$6-N$6))-1)*100,0)</f>
        <v>2.4706280535694347</v>
      </c>
      <c r="S109" s="26">
        <f t="shared" ref="S109" si="274">IF($F$6-$D$6 &lt;&gt; 0,(EXP(LN(1+(S72/100))/($F$6-$D$6))-1)*100,0)</f>
        <v>3.1156060039367439</v>
      </c>
      <c r="T109" s="26">
        <f t="shared" ref="T109" si="275">IF(O35&gt;0,((1+(T35/O35))^(1/($F$6-$D$6))-1)*100,0)</f>
        <v>3.2383380140852402</v>
      </c>
      <c r="U109" s="26">
        <f t="shared" ref="U109" si="276">IF($F$6-$D$6 &lt;&gt; 0,(EXP(LN(1+(U72/100))/($F$6-$D$6))-1)*100,0)</f>
        <v>5.3884583930588814</v>
      </c>
      <c r="W109" s="24" t="str">
        <f>W35</f>
        <v>All occupations</v>
      </c>
      <c r="X109" s="26">
        <f>IF(AND(Y$6-X$6 &lt;&gt; 0,X35&lt;&gt;0,Y35&lt;&gt;0),(EXP(LN(Y35/X35)/(Y$6-X$6))-1)*100,0)</f>
        <v>1.2698232762486272</v>
      </c>
      <c r="Y109" s="26">
        <f>IF(AND(Z$6-Y$6 &lt;&gt; 0,Y35&lt;&gt;0,Z35&lt;&gt;0),(EXP(LN(Z35/Y35)/(Z$6-Y$6))-1)*100,0)</f>
        <v>11.201607790261425</v>
      </c>
      <c r="Z109" s="26">
        <f>IF(AND(AA$6-Z$6 &lt;&gt; 0,Z35&lt;&gt;0,AA35&lt;&gt;0),(EXP(LN(AA35/Z35)/(AA$6-Z$6))-1)*100,0)</f>
        <v>1.831772731068515</v>
      </c>
      <c r="AA109" s="26">
        <f>IF(AND(AB$6-AA$6 &lt;&gt; 0,AA35&lt;&gt;0,AB35&lt;&gt;0),(EXP(LN(AB35/AA35)/(AB$6-AA$6))-1)*100,0)</f>
        <v>2.0167927100785299</v>
      </c>
      <c r="AB109" s="26">
        <f>IF(AND(AB$6-Y$6 &lt;&gt; 0,Y35&lt;&gt;0,AB35&lt;&gt;0),(EXP(LN(AB35/Y35)/(AB$6-Y$6))-1)*100,0)</f>
        <v>2.5097714593849796</v>
      </c>
      <c r="AD109" s="26">
        <f t="shared" ref="AD109" si="277">IF($F$6-$D$6 &lt;&gt; 0,(EXP(LN(1+(AD72/100))/($F$6-$D$6))-1)*100,0)</f>
        <v>1.9550820620803266</v>
      </c>
      <c r="AE109" s="26">
        <f t="shared" ref="AE109" si="278">IF(Z35&gt;0,((1+(AE35/Z35))^(1/($F$6-$D$6))-1)*100,0)</f>
        <v>3.3836297085182654</v>
      </c>
      <c r="AF109" s="26">
        <f t="shared" ref="AF109" si="279">IF($F$6-$D$6 &lt;&gt; 0,(EXP(LN(1+(AF72/100))/($F$6-$D$6))-1)*100,0)</f>
        <v>4.6744737947034487</v>
      </c>
      <c r="AH109" s="24" t="str">
        <f>AH35</f>
        <v>All occupations</v>
      </c>
      <c r="AI109" s="26">
        <f>IF(AND(AJ$6-AI$6 &lt;&gt; 0,AI35&lt;&gt;0,AJ35&lt;&gt;0),(EXP(LN(AJ35/AI35)/(AJ$6-AI$6))-1)*100,0)</f>
        <v>-0.69395423499215569</v>
      </c>
      <c r="AJ109" s="26">
        <f>IF(AND(AK$6-AJ$6 &lt;&gt; 0,AJ35&lt;&gt;0,AK35&lt;&gt;0),(EXP(LN(AK35/AJ35)/(AK$6-AJ$6))-1)*100,0)</f>
        <v>5.8362313011114608</v>
      </c>
      <c r="AK109" s="26">
        <f>IF(AND(AL$6-AK$6 &lt;&gt; 0,AK35&lt;&gt;0,AL35&lt;&gt;0),(EXP(LN(AL35/AK35)/(AL$6-AK$6))-1)*100,0)</f>
        <v>0.39892822498337477</v>
      </c>
      <c r="AL109" s="26">
        <f>IF(AND(AM$6-AL$6 &lt;&gt; 0,AL35&lt;&gt;0,AM35&lt;&gt;0),(EXP(LN(AM35/AL35)/(AM$6-AL$6))-1)*100,0)</f>
        <v>1.427269746915738</v>
      </c>
      <c r="AM109" s="26">
        <f>IF(AND(AM$6-AJ$6 &lt;&gt; 0,AJ35&lt;&gt;0,AM35&lt;&gt;0),(EXP(LN(AM35/AJ35)/(AM$6-AJ$6))-1)*100,0)</f>
        <v>1.3740258391629068</v>
      </c>
      <c r="AO109" s="26">
        <f t="shared" ref="AO109" si="280">IF($F$6-$D$6 &lt;&gt; 0,(EXP(LN(1+(AO72/100))/($F$6-$D$6))-1)*100,0)</f>
        <v>1.0833242195156911</v>
      </c>
      <c r="AP109" s="26">
        <f t="shared" ref="AP109" si="281">IF(AK35&gt;0,((1+(AP35/AK35))^(1/($F$6-$D$6))-1)*100,0)</f>
        <v>3.0901114520957007</v>
      </c>
      <c r="AQ109" s="26">
        <f t="shared" ref="AQ109" si="282">IF($F$6-$D$6 &lt;&gt; 0,(EXP(LN(1+(AQ72/100))/($F$6-$D$6))-1)*100,0)</f>
        <v>3.8168712932439286</v>
      </c>
      <c r="AS109" s="24" t="str">
        <f>AS35</f>
        <v>All occupations</v>
      </c>
      <c r="AT109" s="26">
        <f>IF(AND(AU$6-AT$6 &lt;&gt; 0,AT35&lt;&gt;0,AU35&lt;&gt;0),(EXP(LN(AU35/AT35)/(AU$6-AT$6))-1)*100,0)</f>
        <v>-0.20208961575828299</v>
      </c>
      <c r="AU109" s="26">
        <f>IF(AND(AV$6-AU$6 &lt;&gt; 0,AU35&lt;&gt;0,AV35&lt;&gt;0),(EXP(LN(AV35/AU35)/(AV$6-AU$6))-1)*100,0)</f>
        <v>13.462713106546719</v>
      </c>
      <c r="AV109" s="26">
        <f>IF(AND(AW$6-AV$6 &lt;&gt; 0,AV35&lt;&gt;0,AW35&lt;&gt;0),(EXP(LN(AW35/AV35)/(AW$6-AV$6))-1)*100,0)</f>
        <v>1.0446335334601597</v>
      </c>
      <c r="AW109" s="26">
        <f>IF(AND(AX$6-AW$6 &lt;&gt; 0,AW35&lt;&gt;0,AX35&lt;&gt;0),(EXP(LN(AX35/AW35)/(AX$6-AW$6))-1)*100,0)</f>
        <v>1.7983906989276877</v>
      </c>
      <c r="AX109" s="26">
        <f>IF(AND(AX$6-AU$6 &lt;&gt; 0,AU35&lt;&gt;0,AX35&lt;&gt;0),(EXP(LN(AX35/AU35)/(AX$6-AU$6))-1)*100,0)</f>
        <v>2.2531709342398454</v>
      </c>
      <c r="AZ109" s="26">
        <f t="shared" ref="AZ109" si="283">IF($F$6-$D$6 &lt;&gt; 0,(EXP(LN(1+(AZ72/100))/($F$6-$D$6))-1)*100,0)</f>
        <v>1.5465156215030973</v>
      </c>
      <c r="BA109" s="26">
        <f t="shared" ref="BA109" si="284">IF(AV35&gt;0,((1+(BA35/AV35))^(1/($F$6-$D$6))-1)*100,0)</f>
        <v>3.0921567840928699</v>
      </c>
      <c r="BB109" s="26">
        <f t="shared" ref="BB109" si="285">IF($F$6-$D$6 &lt;&gt; 0,(EXP(LN(1+(BB72/100))/($F$6-$D$6))-1)*100,0)</f>
        <v>4.1407890992231744</v>
      </c>
      <c r="BD109" s="24" t="str">
        <f>BD35</f>
        <v>All occupations</v>
      </c>
      <c r="BE109" s="26">
        <f>IF(AND(BF$6-BE$6 &lt;&gt; 0,BE35&lt;&gt;0,BF35&lt;&gt;0),(EXP(LN(BF35/BE35)/(BF$6-BE$6))-1)*100,0)</f>
        <v>2.1764019031485615</v>
      </c>
      <c r="BF109" s="26">
        <f>IF(AND(BG$6-BF$6 &lt;&gt; 0,BF35&lt;&gt;0,BG35&lt;&gt;0),(EXP(LN(BG35/BF35)/(BG$6-BF$6))-1)*100,0)</f>
        <v>-1.1382762915038369</v>
      </c>
      <c r="BG109" s="26">
        <f>IF(AND(BH$6-BG$6 &lt;&gt; 0,BG35&lt;&gt;0,BH35&lt;&gt;0),(EXP(LN(BH35/BG35)/(BH$6-BG$6))-1)*100,0)</f>
        <v>0.31216125759276903</v>
      </c>
      <c r="BH109" s="26">
        <f>IF(AND(BI$6-BH$6 &lt;&gt; 0,BH35&lt;&gt;0,BI35&lt;&gt;0),(EXP(LN(BI35/BH35)/(BI$6-BH$6))-1)*100,0)</f>
        <v>0.482458748659087</v>
      </c>
      <c r="BI109" s="26">
        <f>IF(AND(BI$6-BF$6 &lt;&gt; 0,BF35&lt;&gt;0,BI35&lt;&gt;0),(EXP(LN(BI35/BF35)/(BI$6-BF$6))-1)*100,0)</f>
        <v>0.32719395540958818</v>
      </c>
      <c r="BK109" s="26">
        <f t="shared" ref="BK109" si="286">IF($F$6-$D$6 &lt;&gt; 0,(EXP(LN(1+(BK72/100))/($F$6-$D$6))-1)*100,0)</f>
        <v>0.42566081919901411</v>
      </c>
      <c r="BL109" s="26">
        <f t="shared" ref="BL109" si="287">IF(BG35&gt;0,((1+(BL35/BG35))^(1/($F$6-$D$6))-1)*100,0)</f>
        <v>2.5709829193376166</v>
      </c>
      <c r="BM109" s="26">
        <f t="shared" ref="BM109" si="288">IF($F$6-$D$6 &lt;&gt; 0,(EXP(LN(1+(BM72/100))/($F$6-$D$6))-1)*100,0)</f>
        <v>2.8721167191064545</v>
      </c>
      <c r="BO109" s="24" t="str">
        <f>BO35</f>
        <v>All occupations</v>
      </c>
      <c r="BP109" s="26">
        <f>IF(AND(BQ$6-BP$6 &lt;&gt; 0,BP35&lt;&gt;0,BQ35&lt;&gt;0),(EXP(LN(BQ35/BP35)/(BQ$6-BP$6))-1)*100,0)</f>
        <v>0.14865165789703649</v>
      </c>
      <c r="BQ109" s="26">
        <f>IF(AND(BR$6-BQ$6 &lt;&gt; 0,BQ35&lt;&gt;0,BR35&lt;&gt;0),(EXP(LN(BR35/BQ35)/(BR$6-BQ$6))-1)*100,0)</f>
        <v>-4.0761052148937775</v>
      </c>
      <c r="BR109" s="26">
        <f>IF(AND(BS$6-BR$6 &lt;&gt; 0,BR35&lt;&gt;0,BS35&lt;&gt;0),(EXP(LN(BS35/BR35)/(BS$6-BR$6))-1)*100,0)</f>
        <v>-1.5016211925034884</v>
      </c>
      <c r="BS109" s="26">
        <f>IF(AND(BT$6-BS$6 &lt;&gt; 0,BS35&lt;&gt;0,BT35&lt;&gt;0),(EXP(LN(BT35/BS35)/(BT$6-BS$6))-1)*100,0)</f>
        <v>-1.7708967980295087</v>
      </c>
      <c r="BT109" s="26">
        <f>IF(AND(BT$6-BQ$6 &lt;&gt; 0,BQ35&lt;&gt;0,BT35&lt;&gt;0),(EXP(LN(BT35/BQ35)/(BT$6-BQ$6))-1)*100,0)</f>
        <v>-1.832636896499118</v>
      </c>
      <c r="BV109" s="26">
        <f t="shared" ref="BV109" si="289">IF($F$6-$D$6 &lt;&gt; 0,(EXP(LN(1+(BV72/100))/($F$6-$D$6))-1)*100,0)</f>
        <v>-1.6812201565801543</v>
      </c>
      <c r="BW109" s="26">
        <f t="shared" ref="BW109" si="290">IF(BR35&gt;0,((1+(BW35/BR35))^(1/($F$6-$D$6))-1)*100,0)</f>
        <v>2.3093809475763116</v>
      </c>
      <c r="BX109" s="26">
        <f t="shared" ref="BX109" si="291">IF($F$6-$D$6 &lt;&gt; 0,(EXP(LN(1+(BX72/100))/($F$6-$D$6))-1)*100,0)</f>
        <v>1.1315398740730398</v>
      </c>
      <c r="BZ109" s="24" t="str">
        <f>BZ35</f>
        <v>All occupations</v>
      </c>
      <c r="CA109" s="26">
        <f>IF(AND(CB$6-CA$6 &lt;&gt; 0,CA35&lt;&gt;0,CB35&lt;&gt;0),(EXP(LN(CB35/CA35)/(CB$6-CA$6))-1)*100,0)</f>
        <v>-4.1671026102956148</v>
      </c>
      <c r="CB109" s="26">
        <f>IF(AND(CC$6-CB$6 &lt;&gt; 0,CB35&lt;&gt;0,CC35&lt;&gt;0),(EXP(LN(CC35/CB35)/(CC$6-CB$6))-1)*100,0)</f>
        <v>-0.42483382415118287</v>
      </c>
      <c r="CC109" s="26">
        <f>IF(AND(CD$6-CC$6 &lt;&gt; 0,CC35&lt;&gt;0,CD35&lt;&gt;0),(EXP(LN(CD35/CC35)/(CD$6-CC$6))-1)*100,0)</f>
        <v>-2.4997750607996361</v>
      </c>
      <c r="CD109" s="26">
        <f>IF(AND(CE$6-CD$6 &lt;&gt; 0,CD35&lt;&gt;0,CE35&lt;&gt;0),(EXP(LN(CE35/CD35)/(CE$6-CD$6))-1)*100,0)</f>
        <v>-4.5633353780961228</v>
      </c>
      <c r="CE109" s="26">
        <f>IF(AND(CE$6-CB$6 &lt;&gt; 0,CB35&lt;&gt;0,CE35&lt;&gt;0),(EXP(LN(CE35/CB35)/(CE$6-CB$6))-1)*100,0)</f>
        <v>-3.6679663743968138</v>
      </c>
      <c r="CG109" s="26">
        <f t="shared" ref="CG109" si="292">IF($F$6-$D$6 &lt;&gt; 0,(EXP(LN(1+(CG72/100))/($F$6-$D$6))-1)*100,0)</f>
        <v>-3.8803808888458136</v>
      </c>
      <c r="CH109" s="26">
        <f t="shared" ref="CH109" si="293">IF(CC35&gt;0,((1+(CH35/CC35))^(1/($F$6-$D$6))-1)*100,0)</f>
        <v>1.8332881752351815</v>
      </c>
      <c r="CI109" s="26">
        <f t="shared" ref="CI109" si="294">IF($F$6-$D$6 &lt;&gt; 0,(EXP(LN(1+(CI72/100))/($F$6-$D$6))-1)*100,0)</f>
        <v>-0.9579494252268006</v>
      </c>
      <c r="CK109" s="24" t="str">
        <f>CK35</f>
        <v>All occupations</v>
      </c>
      <c r="CL109" s="26">
        <f>IF(AND(CM$6-CL$6 &lt;&gt; 0,CL35&lt;&gt;0,CM35&lt;&gt;0),(EXP(LN(CM35/CL35)/(CM$6-CL$6))-1)*100,0)</f>
        <v>-2.1426115028476578</v>
      </c>
      <c r="CM109" s="26">
        <f>IF(AND(CN$6-CM$6 &lt;&gt; 0,CM35&lt;&gt;0,CN35&lt;&gt;0),(EXP(LN(CN35/CM35)/(CN$6-CM$6))-1)*100,0)</f>
        <v>-15.705667999048256</v>
      </c>
      <c r="CN109" s="26">
        <f>IF(AND(CO$6-CN$6 &lt;&gt; 0,CN35&lt;&gt;0,CO35&lt;&gt;0),(EXP(LN(CO35/CN35)/(CO$6-CN$6))-1)*100,0)</f>
        <v>-1.2050863114390964</v>
      </c>
      <c r="CO109" s="26">
        <f>IF(AND(CP$6-CO$6 &lt;&gt; 0,CO35&lt;&gt;0,CP35&lt;&gt;0),(EXP(LN(CP35/CO35)/(CP$6-CO$6))-1)*100,0)</f>
        <v>-3.2429138352772169</v>
      </c>
      <c r="CP109" s="26">
        <f>IF(AND(CP$6-CM$6 &lt;&gt; 0,CM35&lt;&gt;0,CP35&lt;&gt;0),(EXP(LN(CP35/CM35)/(CP$6-CM$6))-1)*100,0)</f>
        <v>-3.4463502817176361</v>
      </c>
      <c r="CR109" s="26">
        <f t="shared" ref="CR109" si="295">IF($F$6-$D$6 &lt;&gt; 0,(EXP(LN(1+(CR72/100))/($F$6-$D$6))-1)*100,0)</f>
        <v>-2.5683517720757387</v>
      </c>
      <c r="CS109" s="26">
        <f t="shared" ref="CS109" si="296">IF(CN35&gt;0,((1+(CS35/CN35))^(1/($F$6-$D$6))-1)*100,0)</f>
        <v>1.6759445411743012</v>
      </c>
      <c r="CT109" s="26">
        <f t="shared" ref="CT109" si="297">IF($F$6-$D$6 &lt;&gt; 0,(EXP(LN(1+(CT72/100))/($F$6-$D$6))-1)*100,0)</f>
        <v>-0.2717727974714812</v>
      </c>
    </row>
    <row r="112" spans="1:98" ht="47.25" customHeight="1" x14ac:dyDescent="0.2">
      <c r="A112" s="381" t="str">
        <f>CONCATENATE(A$1," (Continued)")</f>
        <v>Basic Table 2  Employment Change by Occupation and Replacement Demand, RQF8 Doctorate, 2015-2035, Greater Lincolnshire (Continued)</v>
      </c>
      <c r="B112" s="381"/>
      <c r="C112" s="381"/>
      <c r="D112" s="381"/>
      <c r="E112" s="381"/>
      <c r="F112" s="381"/>
      <c r="G112" s="381"/>
      <c r="H112" s="381"/>
      <c r="I112" s="381"/>
      <c r="J112" s="381"/>
      <c r="L112" s="381" t="str">
        <f>CONCATENATE(L$1," (Continued)")</f>
        <v>Basic Table 2.1  Employment Change by Occupation and Replacement Demand, RQF7 Other higher degree, 2015-2035, Greater Lincolnshire (Continued)</v>
      </c>
      <c r="M112" s="381"/>
      <c r="N112" s="381"/>
      <c r="O112" s="381"/>
      <c r="P112" s="381"/>
      <c r="Q112" s="381"/>
      <c r="R112" s="381"/>
      <c r="S112" s="381"/>
      <c r="T112" s="381"/>
      <c r="U112" s="381"/>
      <c r="W112" s="381" t="str">
        <f>CONCATENATE(W$1," (Continued)")</f>
        <v>Basic Table 2.2  Employment Change by Occupation and Replacement Demand, RQF6 First degree, 2015-2035, Greater Lincolnshire (Continued)</v>
      </c>
      <c r="X112" s="381"/>
      <c r="Y112" s="381"/>
      <c r="Z112" s="381"/>
      <c r="AA112" s="381"/>
      <c r="AB112" s="381"/>
      <c r="AC112" s="381"/>
      <c r="AD112" s="381"/>
      <c r="AE112" s="381"/>
      <c r="AF112" s="381"/>
      <c r="AH112" s="381" t="str">
        <f>CONCATENATE(AH$1," (Continued)")</f>
        <v>Basic Table 2.3  Employment Change by Occupation and Replacement Demand, RQF5 Foundation degree;Nursing;Teaching, 2015-2035, Greater Lincolnshire (Continued)</v>
      </c>
      <c r="AI112" s="381"/>
      <c r="AJ112" s="381"/>
      <c r="AK112" s="381"/>
      <c r="AL112" s="381"/>
      <c r="AM112" s="381"/>
      <c r="AN112" s="381"/>
      <c r="AO112" s="381"/>
      <c r="AP112" s="381"/>
      <c r="AQ112" s="381"/>
      <c r="AS112" s="381" t="str">
        <f>CONCATENATE(AS$1," (Continued)")</f>
        <v>Basic Table 2.4  Employment Change by Occupation and Replacement Demand, RQF4 HE below degree level, 2015-2035, Greater Lincolnshire (Continued)</v>
      </c>
      <c r="AT112" s="381"/>
      <c r="AU112" s="381"/>
      <c r="AV112" s="381"/>
      <c r="AW112" s="381"/>
      <c r="AX112" s="381"/>
      <c r="AY112" s="381"/>
      <c r="AZ112" s="381"/>
      <c r="BA112" s="381"/>
      <c r="BB112" s="381"/>
      <c r="BD112" s="381" t="str">
        <f>CONCATENATE(BD$1," (Continued)")</f>
        <v>Basic Table 2.5  Employment Change by Occupation and Replacement Demand, RQF3 A level &amp; equivalent, 2015-2035, Greater Lincolnshire (Continued)</v>
      </c>
      <c r="BE112" s="381"/>
      <c r="BF112" s="381"/>
      <c r="BG112" s="381"/>
      <c r="BH112" s="381"/>
      <c r="BI112" s="381"/>
      <c r="BJ112" s="381"/>
      <c r="BK112" s="381"/>
      <c r="BL112" s="381"/>
      <c r="BM112" s="381"/>
      <c r="BO112" s="381" t="str">
        <f>CONCATENATE(BO$1," (Continued)")</f>
        <v>Basic Table 2.6  Employment Change by Occupation and Replacement Demand, RQF2 GCSE(A-C) &amp; equivalent, 2015-2035, Greater Lincolnshire (Continued)</v>
      </c>
      <c r="BP112" s="381"/>
      <c r="BQ112" s="381"/>
      <c r="BR112" s="381"/>
      <c r="BS112" s="381"/>
      <c r="BT112" s="381"/>
      <c r="BU112" s="381"/>
      <c r="BV112" s="381"/>
      <c r="BW112" s="381"/>
      <c r="BX112" s="381"/>
      <c r="BZ112" s="381" t="str">
        <f>CONCATENATE(BZ$1," (Continued)")</f>
        <v>Basic Table 2.7  Employment Change by Occupation and Replacement Demand, RQF1 GCSE(below grade C) &amp; equivalent, 2015-2035, Greater Lincolnshire (Continued)</v>
      </c>
      <c r="CA112" s="381"/>
      <c r="CB112" s="381"/>
      <c r="CC112" s="381"/>
      <c r="CD112" s="381"/>
      <c r="CE112" s="381"/>
      <c r="CF112" s="381"/>
      <c r="CG112" s="381"/>
      <c r="CH112" s="381"/>
      <c r="CI112" s="381"/>
      <c r="CK112" s="381" t="str">
        <f>CONCATENATE(CK$1," (Continued)")</f>
        <v>Basic Table 2.8  Employment Change by Occupation and Replacement Demand, No Qualification, 2015-2035, Greater Lincolnshire (Continued)</v>
      </c>
      <c r="CL112" s="381"/>
      <c r="CM112" s="381"/>
      <c r="CN112" s="381"/>
      <c r="CO112" s="381"/>
      <c r="CP112" s="381"/>
      <c r="CQ112" s="381"/>
      <c r="CR112" s="381"/>
      <c r="CS112" s="381"/>
      <c r="CT112" s="381"/>
    </row>
    <row r="114" spans="1:94" x14ac:dyDescent="0.2">
      <c r="F114" s="16" t="s">
        <v>36</v>
      </c>
      <c r="Q114" s="16" t="s">
        <v>36</v>
      </c>
      <c r="AB114" s="16" t="s">
        <v>36</v>
      </c>
      <c r="AM114" s="16" t="s">
        <v>36</v>
      </c>
      <c r="AX114" s="16" t="s">
        <v>36</v>
      </c>
      <c r="BI114" s="16" t="s">
        <v>36</v>
      </c>
      <c r="BT114" s="16" t="s">
        <v>36</v>
      </c>
      <c r="CE114" s="16" t="s">
        <v>36</v>
      </c>
      <c r="CP114" s="16" t="s">
        <v>36</v>
      </c>
    </row>
    <row r="115" spans="1:94" x14ac:dyDescent="0.2">
      <c r="A115" s="36"/>
      <c r="B115" s="36"/>
      <c r="C115" s="36"/>
      <c r="D115" s="36"/>
      <c r="E115" s="36"/>
      <c r="F115" s="36"/>
      <c r="L115" s="36"/>
      <c r="M115" s="36"/>
      <c r="N115" s="36"/>
      <c r="O115" s="36"/>
      <c r="P115" s="36"/>
      <c r="Q115" s="36"/>
      <c r="W115" s="36"/>
      <c r="X115" s="36"/>
      <c r="Y115" s="36"/>
      <c r="Z115" s="36"/>
      <c r="AA115" s="36"/>
      <c r="AB115" s="36"/>
      <c r="AH115" s="36"/>
      <c r="AI115" s="36"/>
      <c r="AJ115" s="36"/>
      <c r="AK115" s="36"/>
      <c r="AL115" s="36"/>
      <c r="AM115" s="36"/>
      <c r="AS115" s="36"/>
      <c r="AT115" s="36"/>
      <c r="AU115" s="36"/>
      <c r="AV115" s="36"/>
      <c r="AW115" s="36"/>
      <c r="AX115" s="36"/>
      <c r="BD115" s="36"/>
      <c r="BE115" s="36"/>
      <c r="BF115" s="36"/>
      <c r="BG115" s="36"/>
      <c r="BH115" s="36"/>
      <c r="BI115" s="36"/>
      <c r="BO115" s="36"/>
      <c r="BP115" s="36"/>
      <c r="BQ115" s="36"/>
      <c r="BR115" s="36"/>
      <c r="BS115" s="36"/>
      <c r="BT115" s="36"/>
      <c r="BZ115" s="36"/>
      <c r="CA115" s="36"/>
      <c r="CB115" s="36"/>
      <c r="CC115" s="36"/>
      <c r="CD115" s="36"/>
      <c r="CE115" s="36"/>
      <c r="CK115" s="36"/>
      <c r="CL115" s="36"/>
      <c r="CM115" s="36"/>
      <c r="CN115" s="36"/>
      <c r="CO115" s="36"/>
      <c r="CP115" s="36"/>
    </row>
    <row r="117" spans="1:94" x14ac:dyDescent="0.2">
      <c r="A117" s="41" t="s">
        <v>19</v>
      </c>
      <c r="B117" s="64" t="str">
        <f>CONCATENATE(B$6,"-",C$6)</f>
        <v>2015-2019</v>
      </c>
      <c r="C117" s="64" t="str">
        <f>CONCATENATE(C$6,"-",D$6)</f>
        <v>2019-2020</v>
      </c>
      <c r="D117" s="64" t="str">
        <f>CONCATENATE(D$6,"-",E$6)</f>
        <v>2020-2025</v>
      </c>
      <c r="E117" s="64" t="str">
        <f>CONCATENATE(E$6,"-",F$6)</f>
        <v>2025-2035</v>
      </c>
      <c r="F117" s="64" t="str">
        <f>CONCATENATE(D$6,"-",F$6)</f>
        <v>2020-2035</v>
      </c>
      <c r="L117" s="41" t="s">
        <v>19</v>
      </c>
      <c r="M117" s="64" t="str">
        <f>CONCATENATE(M$6,"-",N$6)</f>
        <v>2015-2019</v>
      </c>
      <c r="N117" s="64" t="str">
        <f>CONCATENATE(N$6,"-",O$6)</f>
        <v>2019-2020</v>
      </c>
      <c r="O117" s="64" t="str">
        <f>CONCATENATE(O$6,"-",P$6)</f>
        <v>2020-2025</v>
      </c>
      <c r="P117" s="64" t="str">
        <f>CONCATENATE(P$6,"-",Q$6)</f>
        <v>2025-2035</v>
      </c>
      <c r="Q117" s="64" t="str">
        <f>CONCATENATE(O$6,"-",Q$6)</f>
        <v>2020-2035</v>
      </c>
      <c r="W117" s="41" t="s">
        <v>19</v>
      </c>
      <c r="X117" s="64" t="str">
        <f>CONCATENATE(X$6,"-",Y$6)</f>
        <v>2015-2019</v>
      </c>
      <c r="Y117" s="64" t="str">
        <f>CONCATENATE(Y$6,"-",Z$6)</f>
        <v>2019-2020</v>
      </c>
      <c r="Z117" s="64" t="str">
        <f>CONCATENATE(Z$6,"-",AA$6)</f>
        <v>2020-2025</v>
      </c>
      <c r="AA117" s="64" t="str">
        <f>CONCATENATE(AA$6,"-",AB$6)</f>
        <v>2025-2035</v>
      </c>
      <c r="AB117" s="64" t="str">
        <f>CONCATENATE(Z$6,"-",AB$6)</f>
        <v>2020-2035</v>
      </c>
      <c r="AH117" s="41" t="s">
        <v>19</v>
      </c>
      <c r="AI117" s="64" t="str">
        <f>CONCATENATE(AI$6,"-",AJ$6)</f>
        <v>2015-2019</v>
      </c>
      <c r="AJ117" s="64" t="str">
        <f>CONCATENATE(AJ$6,"-",AK$6)</f>
        <v>2019-2020</v>
      </c>
      <c r="AK117" s="64" t="str">
        <f>CONCATENATE(AK$6,"-",AL$6)</f>
        <v>2020-2025</v>
      </c>
      <c r="AL117" s="64" t="str">
        <f>CONCATENATE(AL$6,"-",AM$6)</f>
        <v>2025-2035</v>
      </c>
      <c r="AM117" s="64" t="str">
        <f>CONCATENATE(AK$6,"-",AM$6)</f>
        <v>2020-2035</v>
      </c>
      <c r="AS117" s="41" t="s">
        <v>19</v>
      </c>
      <c r="AT117" s="64" t="str">
        <f>CONCATENATE(AT$6,"-",AU$6)</f>
        <v>2015-2019</v>
      </c>
      <c r="AU117" s="64" t="str">
        <f>CONCATENATE(AU$6,"-",AV$6)</f>
        <v>2019-2020</v>
      </c>
      <c r="AV117" s="64" t="str">
        <f>CONCATENATE(AV$6,"-",AW$6)</f>
        <v>2020-2025</v>
      </c>
      <c r="AW117" s="64" t="str">
        <f>CONCATENATE(AW$6,"-",AX$6)</f>
        <v>2025-2035</v>
      </c>
      <c r="AX117" s="64" t="str">
        <f>CONCATENATE(AV$6,"-",AX$6)</f>
        <v>2020-2035</v>
      </c>
      <c r="BD117" s="41" t="s">
        <v>19</v>
      </c>
      <c r="BE117" s="64" t="str">
        <f>CONCATENATE(BE$6,"-",BF$6)</f>
        <v>2015-2019</v>
      </c>
      <c r="BF117" s="64" t="str">
        <f>CONCATENATE(BF$6,"-",BG$6)</f>
        <v>2019-2020</v>
      </c>
      <c r="BG117" s="64" t="str">
        <f>CONCATENATE(BG$6,"-",BH$6)</f>
        <v>2020-2025</v>
      </c>
      <c r="BH117" s="64" t="str">
        <f>CONCATENATE(BH$6,"-",BI$6)</f>
        <v>2025-2035</v>
      </c>
      <c r="BI117" s="64" t="str">
        <f>CONCATENATE(BG$6,"-",BI$6)</f>
        <v>2020-2035</v>
      </c>
      <c r="BO117" s="41" t="s">
        <v>19</v>
      </c>
      <c r="BP117" s="64" t="str">
        <f>CONCATENATE(BP$6,"-",BQ$6)</f>
        <v>2015-2019</v>
      </c>
      <c r="BQ117" s="64" t="str">
        <f>CONCATENATE(BQ$6,"-",BR$6)</f>
        <v>2019-2020</v>
      </c>
      <c r="BR117" s="64" t="str">
        <f>CONCATENATE(BR$6,"-",BS$6)</f>
        <v>2020-2025</v>
      </c>
      <c r="BS117" s="64" t="str">
        <f>CONCATENATE(BS$6,"-",BT$6)</f>
        <v>2025-2035</v>
      </c>
      <c r="BT117" s="64" t="str">
        <f>CONCATENATE(BR$6,"-",BT$6)</f>
        <v>2020-2035</v>
      </c>
      <c r="BZ117" s="41" t="s">
        <v>19</v>
      </c>
      <c r="CA117" s="64" t="str">
        <f>CONCATENATE(CA$6,"-",CB$6)</f>
        <v>2015-2019</v>
      </c>
      <c r="CB117" s="64" t="str">
        <f>CONCATENATE(CB$6,"-",CC$6)</f>
        <v>2019-2020</v>
      </c>
      <c r="CC117" s="64" t="str">
        <f>CONCATENATE(CC$6,"-",CD$6)</f>
        <v>2020-2025</v>
      </c>
      <c r="CD117" s="64" t="str">
        <f>CONCATENATE(CD$6,"-",CE$6)</f>
        <v>2025-2035</v>
      </c>
      <c r="CE117" s="64" t="str">
        <f>CONCATENATE(CC$6,"-",CE$6)</f>
        <v>2020-2035</v>
      </c>
      <c r="CK117" s="41" t="s">
        <v>19</v>
      </c>
      <c r="CL117" s="64" t="str">
        <f>CONCATENATE(CL$6,"-",CM$6)</f>
        <v>2015-2019</v>
      </c>
      <c r="CM117" s="64" t="str">
        <f>CONCATENATE(CM$6,"-",CN$6)</f>
        <v>2019-2020</v>
      </c>
      <c r="CN117" s="64" t="str">
        <f>CONCATENATE(CN$6,"-",CO$6)</f>
        <v>2020-2025</v>
      </c>
      <c r="CO117" s="64" t="str">
        <f>CONCATENATE(CO$6,"-",CP$6)</f>
        <v>2025-2035</v>
      </c>
      <c r="CP117" s="64" t="str">
        <f>CONCATENATE(CN$6,"-",CP$6)</f>
        <v>2020-2035</v>
      </c>
    </row>
    <row r="118" spans="1:94" x14ac:dyDescent="0.2">
      <c r="B118" s="20"/>
      <c r="C118" s="20"/>
      <c r="D118" s="20"/>
      <c r="E118" s="20"/>
      <c r="F118" s="20"/>
      <c r="M118" s="20"/>
      <c r="N118" s="20"/>
      <c r="O118" s="20"/>
      <c r="P118" s="20"/>
      <c r="Q118" s="20"/>
      <c r="X118" s="20"/>
      <c r="Y118" s="20"/>
      <c r="Z118" s="20"/>
      <c r="AA118" s="20"/>
      <c r="AB118" s="20"/>
      <c r="AI118" s="20"/>
      <c r="AJ118" s="20"/>
      <c r="AK118" s="20"/>
      <c r="AL118" s="20"/>
      <c r="AM118" s="20"/>
      <c r="AT118" s="20"/>
      <c r="AU118" s="20"/>
      <c r="AV118" s="20"/>
      <c r="AW118" s="20"/>
      <c r="AX118" s="20"/>
      <c r="BE118" s="20"/>
      <c r="BF118" s="20"/>
      <c r="BG118" s="20"/>
      <c r="BH118" s="20"/>
      <c r="BI118" s="20"/>
      <c r="BP118" s="20"/>
      <c r="BQ118" s="20"/>
      <c r="BR118" s="20"/>
      <c r="BS118" s="20"/>
      <c r="BT118" s="20"/>
      <c r="CA118" s="20"/>
      <c r="CB118" s="20"/>
      <c r="CC118" s="20"/>
      <c r="CD118" s="20"/>
      <c r="CE118" s="20"/>
      <c r="CL118" s="20"/>
      <c r="CM118" s="20"/>
      <c r="CN118" s="20"/>
      <c r="CO118" s="20"/>
      <c r="CP118" s="20"/>
    </row>
    <row r="119" spans="1:94" x14ac:dyDescent="0.2">
      <c r="A119" t="str">
        <f t="shared" ref="A119:A144" si="298">A8</f>
        <v>11 Corporate managers and directors</v>
      </c>
      <c r="B119" s="27">
        <f t="shared" ref="B119:E144" si="299">C8-B8</f>
        <v>9.4169914176678915E-2</v>
      </c>
      <c r="C119" s="27">
        <f t="shared" si="299"/>
        <v>7.1828452994677217E-3</v>
      </c>
      <c r="D119" s="27">
        <f t="shared" si="299"/>
        <v>3.6691869245119968E-2</v>
      </c>
      <c r="E119" s="27">
        <f t="shared" si="299"/>
        <v>0.14788877045712751</v>
      </c>
      <c r="F119" s="27">
        <f t="shared" ref="F119:F144" si="300">F8-D8</f>
        <v>0.18458063970224747</v>
      </c>
      <c r="L119" t="str">
        <f>A119</f>
        <v>11 Corporate managers and directors</v>
      </c>
      <c r="M119" s="27">
        <f t="shared" ref="M119:P144" si="301">N8-M8</f>
        <v>1.2106885234395715</v>
      </c>
      <c r="N119" s="27">
        <f t="shared" si="301"/>
        <v>-0.26878994065697537</v>
      </c>
      <c r="O119" s="27">
        <f t="shared" si="301"/>
        <v>0.22327722068027489</v>
      </c>
      <c r="P119" s="27">
        <f t="shared" si="301"/>
        <v>1.1578761560134772</v>
      </c>
      <c r="Q119" s="27">
        <f t="shared" ref="Q119:Q144" si="302">Q8-O8</f>
        <v>1.381153376693752</v>
      </c>
      <c r="W119" t="str">
        <f>A119</f>
        <v>11 Corporate managers and directors</v>
      </c>
      <c r="X119" s="27">
        <f t="shared" ref="X119:AA144" si="303">Y8-X8</f>
        <v>0.97039022127113927</v>
      </c>
      <c r="Y119" s="27">
        <f t="shared" si="303"/>
        <v>1.2272431578379788</v>
      </c>
      <c r="Z119" s="27">
        <f t="shared" si="303"/>
        <v>-0.52668057920263678</v>
      </c>
      <c r="AA119" s="27">
        <f t="shared" si="303"/>
        <v>1.9048603322770585</v>
      </c>
      <c r="AB119" s="27">
        <f t="shared" ref="AB119:AB144" si="304">AB8-Z8</f>
        <v>1.3781797530744218</v>
      </c>
      <c r="AH119" t="str">
        <f>L119</f>
        <v>11 Corporate managers and directors</v>
      </c>
      <c r="AI119" s="27">
        <f t="shared" ref="AI119:AL144" si="305">AJ8-AI8</f>
        <v>0.12802433087531329</v>
      </c>
      <c r="AJ119" s="27">
        <f t="shared" si="305"/>
        <v>0.21820626830358569</v>
      </c>
      <c r="AK119" s="27">
        <f t="shared" si="305"/>
        <v>-0.19659619557897545</v>
      </c>
      <c r="AL119" s="27">
        <f t="shared" si="305"/>
        <v>0.2165793867509318</v>
      </c>
      <c r="AM119" s="27">
        <f t="shared" ref="AM119:AM144" si="306">AM8-AK8</f>
        <v>1.9983191171956349E-2</v>
      </c>
      <c r="AS119" t="str">
        <f>W119</f>
        <v>11 Corporate managers and directors</v>
      </c>
      <c r="AT119" s="27">
        <f t="shared" ref="AT119:AW144" si="307">AU8-AT8</f>
        <v>6.7992989043071272E-2</v>
      </c>
      <c r="AU119" s="27">
        <f t="shared" si="307"/>
        <v>0.50333107910674713</v>
      </c>
      <c r="AV119" s="27">
        <f t="shared" si="307"/>
        <v>-0.38452281440716973</v>
      </c>
      <c r="AW119" s="27">
        <f t="shared" si="307"/>
        <v>0.36976178907055735</v>
      </c>
      <c r="AX119" s="27">
        <f t="shared" ref="AX119:AX144" si="308">AX8-AV8</f>
        <v>-1.4761025336612388E-2</v>
      </c>
      <c r="BD119" t="str">
        <f>AH119</f>
        <v>11 Corporate managers and directors</v>
      </c>
      <c r="BE119" s="27">
        <f t="shared" ref="BE119:BH144" si="309">BF8-BE8</f>
        <v>1.6357649419554798</v>
      </c>
      <c r="BF119" s="27">
        <f t="shared" si="309"/>
        <v>6.3410159793237497E-2</v>
      </c>
      <c r="BG119" s="27">
        <f t="shared" si="309"/>
        <v>-0.98134694588495996</v>
      </c>
      <c r="BH119" s="27">
        <f t="shared" si="309"/>
        <v>0.62886332731828087</v>
      </c>
      <c r="BI119" s="27">
        <f t="shared" ref="BI119:BI144" si="310">BI8-BG8</f>
        <v>-0.35248361856667909</v>
      </c>
      <c r="BO119" t="str">
        <f>AS119</f>
        <v>11 Corporate managers and directors</v>
      </c>
      <c r="BP119" s="27">
        <f t="shared" ref="BP119:BS144" si="311">BQ8-BP8</f>
        <v>0.71568838497549603</v>
      </c>
      <c r="BQ119" s="27">
        <f t="shared" si="311"/>
        <v>-5.5127726799091725E-2</v>
      </c>
      <c r="BR119" s="27">
        <f t="shared" si="311"/>
        <v>-1.3473953118727051</v>
      </c>
      <c r="BS119" s="27">
        <f t="shared" si="311"/>
        <v>-0.94665272236539844</v>
      </c>
      <c r="BT119" s="27">
        <f t="shared" ref="BT119:BT144" si="312">BT8-BR8</f>
        <v>-2.2940480342381036</v>
      </c>
      <c r="BZ119" t="str">
        <f>BD119</f>
        <v>11 Corporate managers and directors</v>
      </c>
      <c r="CA119" s="68">
        <f t="shared" ref="CA119:CD144" si="313">CB8-CA8</f>
        <v>0.19839343137143661</v>
      </c>
      <c r="CB119" s="68">
        <f t="shared" si="313"/>
        <v>0.26785965654061794</v>
      </c>
      <c r="CC119" s="68">
        <f t="shared" si="313"/>
        <v>-0.83287999029805215</v>
      </c>
      <c r="CD119" s="68">
        <f t="shared" si="313"/>
        <v>-0.9021320746463517</v>
      </c>
      <c r="CE119" s="68">
        <f t="shared" ref="CE119:CE144" si="314">CE8-CC8</f>
        <v>-1.7350120649444039</v>
      </c>
      <c r="CK119" t="str">
        <f>BO119</f>
        <v>11 Corporate managers and directors</v>
      </c>
      <c r="CL119" s="68">
        <f t="shared" ref="CL119:CO144" si="315">CM8-CL8</f>
        <v>0.16649280298508895</v>
      </c>
      <c r="CM119" s="68">
        <f t="shared" si="315"/>
        <v>-0.11335448899010581</v>
      </c>
      <c r="CN119" s="68">
        <f t="shared" si="315"/>
        <v>-2.1471445752710761E-2</v>
      </c>
      <c r="CO119" s="68">
        <f t="shared" si="315"/>
        <v>-5.8358246438443451E-2</v>
      </c>
      <c r="CP119" s="68">
        <f t="shared" ref="CP119:CP144" si="316">CP8-CN8</f>
        <v>-7.9829692191154211E-2</v>
      </c>
    </row>
    <row r="120" spans="1:94" x14ac:dyDescent="0.2">
      <c r="A120" t="str">
        <f t="shared" si="298"/>
        <v>12 Other managers and proprietors</v>
      </c>
      <c r="B120" s="27">
        <f t="shared" si="299"/>
        <v>4.4852525882995792E-2</v>
      </c>
      <c r="C120" s="27">
        <f t="shared" si="299"/>
        <v>-2.1464034050802133E-2</v>
      </c>
      <c r="D120" s="27">
        <f t="shared" si="299"/>
        <v>4.2688216902518367E-2</v>
      </c>
      <c r="E120" s="27">
        <f t="shared" si="299"/>
        <v>8.8291145322192899E-2</v>
      </c>
      <c r="F120" s="27">
        <f t="shared" si="300"/>
        <v>0.13097936222471127</v>
      </c>
      <c r="L120" t="str">
        <f t="shared" ref="L120:L143" si="317">A120</f>
        <v>12 Other managers and proprietors</v>
      </c>
      <c r="M120" s="27">
        <f t="shared" si="301"/>
        <v>0.42912089431143929</v>
      </c>
      <c r="N120" s="27">
        <f t="shared" si="301"/>
        <v>-0.1187753963565128</v>
      </c>
      <c r="O120" s="27">
        <f t="shared" si="301"/>
        <v>0.3204467335170833</v>
      </c>
      <c r="P120" s="27">
        <f t="shared" si="301"/>
        <v>0.78435956613543256</v>
      </c>
      <c r="Q120" s="27">
        <f t="shared" si="302"/>
        <v>1.1048062996525159</v>
      </c>
      <c r="W120" t="str">
        <f t="shared" ref="W120:W143" si="318">A120</f>
        <v>12 Other managers and proprietors</v>
      </c>
      <c r="X120" s="27">
        <f t="shared" si="303"/>
        <v>0.17364625835980796</v>
      </c>
      <c r="Y120" s="27">
        <f t="shared" si="303"/>
        <v>0.41694451935060783</v>
      </c>
      <c r="Z120" s="27">
        <f t="shared" si="303"/>
        <v>0.36303825631562781</v>
      </c>
      <c r="AA120" s="27">
        <f t="shared" si="303"/>
        <v>1.129814323793207</v>
      </c>
      <c r="AB120" s="27">
        <f t="shared" si="304"/>
        <v>1.4928525801088348</v>
      </c>
      <c r="AH120" t="str">
        <f t="shared" ref="AH120:AH143" si="319">L120</f>
        <v>12 Other managers and proprietors</v>
      </c>
      <c r="AI120" s="27">
        <f t="shared" si="305"/>
        <v>4.5951623274005704E-2</v>
      </c>
      <c r="AJ120" s="27">
        <f t="shared" si="305"/>
        <v>0.14726133393897378</v>
      </c>
      <c r="AK120" s="27">
        <f t="shared" si="305"/>
        <v>2.5013146296344324E-3</v>
      </c>
      <c r="AL120" s="27">
        <f t="shared" si="305"/>
        <v>0.26338441685730651</v>
      </c>
      <c r="AM120" s="27">
        <f t="shared" si="306"/>
        <v>0.26588573148694095</v>
      </c>
      <c r="AS120" t="str">
        <f t="shared" ref="AS120:AS143" si="320">W120</f>
        <v>12 Other managers and proprietors</v>
      </c>
      <c r="AT120" s="27">
        <f t="shared" si="307"/>
        <v>9.4566363869439396E-3</v>
      </c>
      <c r="AU120" s="27">
        <f t="shared" si="307"/>
        <v>0.17303096098397752</v>
      </c>
      <c r="AV120" s="27">
        <f t="shared" si="307"/>
        <v>9.3576987674920842E-2</v>
      </c>
      <c r="AW120" s="27">
        <f t="shared" si="307"/>
        <v>0.28791316002921175</v>
      </c>
      <c r="AX120" s="27">
        <f t="shared" si="308"/>
        <v>0.38149014770413259</v>
      </c>
      <c r="BD120" t="str">
        <f t="shared" ref="BD120:BD143" si="321">AH120</f>
        <v>12 Other managers and proprietors</v>
      </c>
      <c r="BE120" s="27">
        <f t="shared" si="309"/>
        <v>0.25520596768467874</v>
      </c>
      <c r="BF120" s="27">
        <f t="shared" si="309"/>
        <v>0.27145652409117416</v>
      </c>
      <c r="BG120" s="27">
        <f t="shared" si="309"/>
        <v>2.5954052352974877E-2</v>
      </c>
      <c r="BH120" s="27">
        <f t="shared" si="309"/>
        <v>0.4171318051282662</v>
      </c>
      <c r="BI120" s="27">
        <f t="shared" si="310"/>
        <v>0.44308585748124107</v>
      </c>
      <c r="BO120" t="str">
        <f t="shared" ref="BO120:BO143" si="322">AS120</f>
        <v>12 Other managers and proprietors</v>
      </c>
      <c r="BP120" s="27">
        <f t="shared" si="311"/>
        <v>0.37081477698189858</v>
      </c>
      <c r="BQ120" s="27">
        <f t="shared" si="311"/>
        <v>-6.7366059735197492E-2</v>
      </c>
      <c r="BR120" s="27">
        <f t="shared" si="311"/>
        <v>-0.23981711213988843</v>
      </c>
      <c r="BS120" s="27">
        <f t="shared" si="311"/>
        <v>-0.38361615104101565</v>
      </c>
      <c r="BT120" s="27">
        <f t="shared" si="312"/>
        <v>-0.62343326318090408</v>
      </c>
      <c r="BZ120" t="str">
        <f t="shared" ref="BZ120:BZ143" si="323">BD120</f>
        <v>12 Other managers and proprietors</v>
      </c>
      <c r="CA120" s="68">
        <f t="shared" si="313"/>
        <v>-0.13253637433477339</v>
      </c>
      <c r="CB120" s="68">
        <f t="shared" si="313"/>
        <v>0.13384249831719996</v>
      </c>
      <c r="CC120" s="68">
        <f t="shared" si="313"/>
        <v>-0.23398882177278102</v>
      </c>
      <c r="CD120" s="68">
        <f t="shared" si="313"/>
        <v>-0.63443810183515414</v>
      </c>
      <c r="CE120" s="68">
        <f t="shared" si="314"/>
        <v>-0.86842692360793516</v>
      </c>
      <c r="CK120" t="str">
        <f t="shared" ref="CK120:CK143" si="324">BO120</f>
        <v>12 Other managers and proprietors</v>
      </c>
      <c r="CL120" s="68">
        <f t="shared" si="315"/>
        <v>0.10200127980540075</v>
      </c>
      <c r="CM120" s="68">
        <f t="shared" si="315"/>
        <v>-9.3318723847332974E-2</v>
      </c>
      <c r="CN120" s="68">
        <f t="shared" si="315"/>
        <v>0.13465755085230047</v>
      </c>
      <c r="CO120" s="68">
        <f t="shared" si="315"/>
        <v>8.5560793812315294E-2</v>
      </c>
      <c r="CP120" s="68">
        <f t="shared" si="316"/>
        <v>0.22021834466461576</v>
      </c>
    </row>
    <row r="121" spans="1:94" x14ac:dyDescent="0.2">
      <c r="A121" t="str">
        <f t="shared" si="298"/>
        <v>21 Science, research, engineering and technology professionals</v>
      </c>
      <c r="B121" s="27">
        <f t="shared" si="299"/>
        <v>0.32806581889238484</v>
      </c>
      <c r="C121" s="27">
        <f t="shared" si="299"/>
        <v>-2.9698009651661916E-2</v>
      </c>
      <c r="D121" s="27">
        <f t="shared" si="299"/>
        <v>0.44595931354384621</v>
      </c>
      <c r="E121" s="27">
        <f t="shared" si="299"/>
        <v>0.5580563114130499</v>
      </c>
      <c r="F121" s="27">
        <f t="shared" si="300"/>
        <v>1.0040156249568961</v>
      </c>
      <c r="L121" t="str">
        <f t="shared" si="317"/>
        <v>21 Science, research, engineering and technology professionals</v>
      </c>
      <c r="M121" s="27">
        <f t="shared" si="301"/>
        <v>1.2122579564162281</v>
      </c>
      <c r="N121" s="27">
        <f t="shared" si="301"/>
        <v>-6.2633587118834377E-2</v>
      </c>
      <c r="O121" s="27">
        <f t="shared" si="301"/>
        <v>2.0968721958134315</v>
      </c>
      <c r="P121" s="27">
        <f t="shared" si="301"/>
        <v>2.4700691956851619</v>
      </c>
      <c r="Q121" s="27">
        <f t="shared" si="302"/>
        <v>4.5669413914985935</v>
      </c>
      <c r="W121" t="str">
        <f t="shared" si="318"/>
        <v>21 Science, research, engineering and technology professionals</v>
      </c>
      <c r="X121" s="27">
        <f t="shared" si="303"/>
        <v>0.10808851242741735</v>
      </c>
      <c r="Y121" s="27">
        <f t="shared" si="303"/>
        <v>1.0846358426604592</v>
      </c>
      <c r="Z121" s="27">
        <f t="shared" si="303"/>
        <v>1.7299601713362005</v>
      </c>
      <c r="AA121" s="27">
        <f t="shared" si="303"/>
        <v>1.4978340246084692</v>
      </c>
      <c r="AB121" s="27">
        <f t="shared" si="304"/>
        <v>3.2277941959446697</v>
      </c>
      <c r="AH121" t="str">
        <f t="shared" si="319"/>
        <v>21 Science, research, engineering and technology professionals</v>
      </c>
      <c r="AI121" s="27">
        <f t="shared" si="305"/>
        <v>-1.2041645740469398E-2</v>
      </c>
      <c r="AJ121" s="27">
        <f t="shared" si="305"/>
        <v>0.17022536694250479</v>
      </c>
      <c r="AK121" s="27">
        <f t="shared" si="305"/>
        <v>0.19110116064197835</v>
      </c>
      <c r="AL121" s="27">
        <f t="shared" si="305"/>
        <v>0.24482797900300612</v>
      </c>
      <c r="AM121" s="27">
        <f t="shared" si="306"/>
        <v>0.43592913964498448</v>
      </c>
      <c r="AS121" t="str">
        <f t="shared" si="320"/>
        <v>21 Science, research, engineering and technology professionals</v>
      </c>
      <c r="AT121" s="27">
        <f t="shared" si="307"/>
        <v>-0.19323628930895476</v>
      </c>
      <c r="AU121" s="27">
        <f t="shared" si="307"/>
        <v>0.51798733393630458</v>
      </c>
      <c r="AV121" s="27">
        <f t="shared" si="307"/>
        <v>0.32569445490274562</v>
      </c>
      <c r="AW121" s="27">
        <f t="shared" si="307"/>
        <v>0.33644192424332475</v>
      </c>
      <c r="AX121" s="27">
        <f t="shared" si="308"/>
        <v>0.66213637914607038</v>
      </c>
      <c r="BD121" t="str">
        <f t="shared" si="321"/>
        <v>21 Science, research, engineering and technology professionals</v>
      </c>
      <c r="BE121" s="27">
        <f t="shared" si="309"/>
        <v>1.0600402927277681</v>
      </c>
      <c r="BF121" s="27">
        <f t="shared" si="309"/>
        <v>5.6182828006360097E-2</v>
      </c>
      <c r="BG121" s="27">
        <f t="shared" si="309"/>
        <v>1.1485931316914524</v>
      </c>
      <c r="BH121" s="27">
        <f t="shared" si="309"/>
        <v>0.82538579149044544</v>
      </c>
      <c r="BI121" s="27">
        <f t="shared" si="310"/>
        <v>1.9739789231818978</v>
      </c>
      <c r="BO121" t="str">
        <f t="shared" si="322"/>
        <v>21 Science, research, engineering and technology professionals</v>
      </c>
      <c r="BP121" s="27">
        <f t="shared" si="311"/>
        <v>0.27699548428298915</v>
      </c>
      <c r="BQ121" s="27">
        <f t="shared" si="311"/>
        <v>6.304391180745883E-2</v>
      </c>
      <c r="BR121" s="27">
        <f t="shared" si="311"/>
        <v>0.23456733655834849</v>
      </c>
      <c r="BS121" s="27">
        <f t="shared" si="311"/>
        <v>-0.26329554806702715</v>
      </c>
      <c r="BT121" s="27">
        <f t="shared" si="312"/>
        <v>-2.8728211508678658E-2</v>
      </c>
      <c r="BZ121" t="str">
        <f t="shared" si="323"/>
        <v>21 Science, research, engineering and technology professionals</v>
      </c>
      <c r="CA121" s="68">
        <f t="shared" si="313"/>
        <v>8.0588674698666596E-2</v>
      </c>
      <c r="CB121" s="68">
        <f t="shared" si="313"/>
        <v>0.11023218355231634</v>
      </c>
      <c r="CC121" s="68">
        <f t="shared" si="313"/>
        <v>4.56077043826697E-2</v>
      </c>
      <c r="CD121" s="68">
        <f t="shared" si="313"/>
        <v>-0.54665797598621624</v>
      </c>
      <c r="CE121" s="68">
        <f t="shared" si="314"/>
        <v>-0.50105027160354654</v>
      </c>
      <c r="CK121" t="str">
        <f t="shared" si="324"/>
        <v>21 Science, research, engineering and technology professionals</v>
      </c>
      <c r="CL121" s="68">
        <f t="shared" si="315"/>
        <v>7.4845435610432942E-2</v>
      </c>
      <c r="CM121" s="68">
        <f t="shared" si="315"/>
        <v>-1.7211703214029372E-2</v>
      </c>
      <c r="CN121" s="68">
        <f t="shared" si="315"/>
        <v>0.18733920413789712</v>
      </c>
      <c r="CO121" s="68">
        <f t="shared" si="315"/>
        <v>-2.3651227741863012E-2</v>
      </c>
      <c r="CP121" s="68">
        <f t="shared" si="316"/>
        <v>0.16368797639603411</v>
      </c>
    </row>
    <row r="122" spans="1:94" x14ac:dyDescent="0.2">
      <c r="A122" t="str">
        <f t="shared" si="298"/>
        <v>22 Health professionals</v>
      </c>
      <c r="B122" s="27">
        <f t="shared" si="299"/>
        <v>0.43468938057580164</v>
      </c>
      <c r="C122" s="27">
        <f t="shared" si="299"/>
        <v>-0.1288802612386224</v>
      </c>
      <c r="D122" s="27">
        <f t="shared" si="299"/>
        <v>0.28928115822085299</v>
      </c>
      <c r="E122" s="27">
        <f t="shared" si="299"/>
        <v>0.44287606499613696</v>
      </c>
      <c r="F122" s="27">
        <f t="shared" si="300"/>
        <v>0.73215722321698995</v>
      </c>
      <c r="L122" t="str">
        <f t="shared" si="317"/>
        <v>22 Health professionals</v>
      </c>
      <c r="M122" s="27">
        <f t="shared" si="301"/>
        <v>1.414233964507416</v>
      </c>
      <c r="N122" s="27">
        <f t="shared" si="301"/>
        <v>-0.55184590237504505</v>
      </c>
      <c r="O122" s="27">
        <f t="shared" si="301"/>
        <v>0.4312817897178256</v>
      </c>
      <c r="P122" s="27">
        <f t="shared" si="301"/>
        <v>0.93174073936296686</v>
      </c>
      <c r="Q122" s="27">
        <f t="shared" si="302"/>
        <v>1.3630225290807925</v>
      </c>
      <c r="W122" t="str">
        <f t="shared" si="318"/>
        <v>22 Health professionals</v>
      </c>
      <c r="X122" s="27">
        <f t="shared" si="303"/>
        <v>1.0596283559513973</v>
      </c>
      <c r="Y122" s="27">
        <f t="shared" si="303"/>
        <v>0.56214045249006794</v>
      </c>
      <c r="Z122" s="27">
        <f t="shared" si="303"/>
        <v>0.22988127888753418</v>
      </c>
      <c r="AA122" s="27">
        <f t="shared" si="303"/>
        <v>1.3808112249502713</v>
      </c>
      <c r="AB122" s="27">
        <f t="shared" si="304"/>
        <v>1.6106925038378055</v>
      </c>
      <c r="AH122" t="str">
        <f t="shared" si="319"/>
        <v>22 Health professionals</v>
      </c>
      <c r="AI122" s="27">
        <f t="shared" si="305"/>
        <v>-0.79046012556100864</v>
      </c>
      <c r="AJ122" s="27">
        <f t="shared" si="305"/>
        <v>-7.1114306264446814E-2</v>
      </c>
      <c r="AK122" s="27">
        <f t="shared" si="305"/>
        <v>-1.2399755879386056</v>
      </c>
      <c r="AL122" s="27">
        <f t="shared" si="305"/>
        <v>-0.84260802022134418</v>
      </c>
      <c r="AM122" s="27">
        <f t="shared" si="306"/>
        <v>-2.0825836081599496</v>
      </c>
      <c r="AS122" t="str">
        <f t="shared" si="320"/>
        <v>22 Health professionals</v>
      </c>
      <c r="AT122" s="27">
        <f t="shared" si="307"/>
        <v>8.310952445085229E-2</v>
      </c>
      <c r="AU122" s="27">
        <f t="shared" si="307"/>
        <v>8.5918098630114681E-2</v>
      </c>
      <c r="AV122" s="27">
        <f t="shared" si="307"/>
        <v>1.7979066911024577E-2</v>
      </c>
      <c r="AW122" s="27">
        <f t="shared" si="307"/>
        <v>0.10196620221592845</v>
      </c>
      <c r="AX122" s="27">
        <f t="shared" si="308"/>
        <v>0.11994526912695302</v>
      </c>
      <c r="BD122" t="str">
        <f t="shared" si="321"/>
        <v>22 Health professionals</v>
      </c>
      <c r="BE122" s="27">
        <f t="shared" si="309"/>
        <v>0.43287238410252304</v>
      </c>
      <c r="BF122" s="27">
        <f t="shared" si="309"/>
        <v>0.20446966208420214</v>
      </c>
      <c r="BG122" s="27">
        <f t="shared" si="309"/>
        <v>-4.2804523743658507E-2</v>
      </c>
      <c r="BH122" s="27">
        <f t="shared" si="309"/>
        <v>0.10728192842030415</v>
      </c>
      <c r="BI122" s="27">
        <f t="shared" si="310"/>
        <v>6.4477404676645644E-2</v>
      </c>
      <c r="BO122" t="str">
        <f t="shared" si="322"/>
        <v>22 Health professionals</v>
      </c>
      <c r="BP122" s="27">
        <f t="shared" si="311"/>
        <v>0.22785255162474494</v>
      </c>
      <c r="BQ122" s="27">
        <f t="shared" si="311"/>
        <v>0.10586518915874454</v>
      </c>
      <c r="BR122" s="27">
        <f t="shared" si="311"/>
        <v>-0.22181533295019595</v>
      </c>
      <c r="BS122" s="27">
        <f t="shared" si="311"/>
        <v>-0.31896693948236798</v>
      </c>
      <c r="BT122" s="27">
        <f t="shared" si="312"/>
        <v>-0.54078227243256394</v>
      </c>
      <c r="BZ122" t="str">
        <f t="shared" si="323"/>
        <v>22 Health professionals</v>
      </c>
      <c r="CA122" s="68">
        <f t="shared" si="313"/>
        <v>-4.2546473678064967E-2</v>
      </c>
      <c r="CB122" s="68">
        <f t="shared" si="313"/>
        <v>9.1438815605114909E-3</v>
      </c>
      <c r="CC122" s="68">
        <f t="shared" si="313"/>
        <v>4.1522336669160054E-2</v>
      </c>
      <c r="CD122" s="68">
        <f t="shared" si="313"/>
        <v>-0.32241712072274076</v>
      </c>
      <c r="CE122" s="68">
        <f t="shared" si="314"/>
        <v>-0.2808947840535807</v>
      </c>
      <c r="CK122" t="str">
        <f t="shared" si="324"/>
        <v>22 Health professionals</v>
      </c>
      <c r="CL122" s="68">
        <f t="shared" si="315"/>
        <v>2.7244486611665217E-2</v>
      </c>
      <c r="CM122" s="68">
        <f t="shared" si="315"/>
        <v>-6.4335238786824844E-3</v>
      </c>
      <c r="CN122" s="68">
        <f t="shared" si="315"/>
        <v>1.5758222957946669E-2</v>
      </c>
      <c r="CO122" s="68">
        <f t="shared" si="315"/>
        <v>-3.1619405020586605E-3</v>
      </c>
      <c r="CP122" s="68">
        <f t="shared" si="316"/>
        <v>1.2596282455888008E-2</v>
      </c>
    </row>
    <row r="123" spans="1:94" x14ac:dyDescent="0.2">
      <c r="A123" t="str">
        <f t="shared" si="298"/>
        <v>23 Teaching and other educational professionals</v>
      </c>
      <c r="B123" s="27">
        <f t="shared" si="299"/>
        <v>0.20009953827439819</v>
      </c>
      <c r="C123" s="27">
        <f t="shared" si="299"/>
        <v>-3.8231876759291517E-2</v>
      </c>
      <c r="D123" s="27">
        <f t="shared" si="299"/>
        <v>9.432812090481657E-2</v>
      </c>
      <c r="E123" s="27">
        <f t="shared" si="299"/>
        <v>0.22898287474582379</v>
      </c>
      <c r="F123" s="27">
        <f t="shared" si="300"/>
        <v>0.32331099565064036</v>
      </c>
      <c r="L123" t="str">
        <f t="shared" si="317"/>
        <v>23 Teaching and other educational professionals</v>
      </c>
      <c r="M123" s="27">
        <f t="shared" si="301"/>
        <v>1.5520701079035515</v>
      </c>
      <c r="N123" s="27">
        <f t="shared" si="301"/>
        <v>-0.32821718303780045</v>
      </c>
      <c r="O123" s="27">
        <f t="shared" si="301"/>
        <v>0.36768553627910805</v>
      </c>
      <c r="P123" s="27">
        <f t="shared" si="301"/>
        <v>1.2084409126829438</v>
      </c>
      <c r="Q123" s="27">
        <f t="shared" si="302"/>
        <v>1.5761264489620519</v>
      </c>
      <c r="W123" t="str">
        <f t="shared" si="318"/>
        <v>23 Teaching and other educational professionals</v>
      </c>
      <c r="X123" s="27">
        <f t="shared" si="303"/>
        <v>-1.0334066144061289</v>
      </c>
      <c r="Y123" s="27">
        <f t="shared" si="303"/>
        <v>0.80843832785509306</v>
      </c>
      <c r="Z123" s="27">
        <f t="shared" si="303"/>
        <v>-1.2699390930852923</v>
      </c>
      <c r="AA123" s="27">
        <f t="shared" si="303"/>
        <v>-0.78099648446286229</v>
      </c>
      <c r="AB123" s="27">
        <f t="shared" si="304"/>
        <v>-2.0509355775481546</v>
      </c>
      <c r="AH123" t="str">
        <f t="shared" si="319"/>
        <v>23 Teaching and other educational professionals</v>
      </c>
      <c r="AI123" s="27">
        <f t="shared" si="305"/>
        <v>-0.38118685865166108</v>
      </c>
      <c r="AJ123" s="27">
        <f t="shared" si="305"/>
        <v>5.7428010192840939E-3</v>
      </c>
      <c r="AK123" s="27">
        <f t="shared" si="305"/>
        <v>-0.22050699508513194</v>
      </c>
      <c r="AL123" s="27">
        <f t="shared" si="305"/>
        <v>7.1498581516477311E-3</v>
      </c>
      <c r="AM123" s="27">
        <f t="shared" si="306"/>
        <v>-0.21335713693348421</v>
      </c>
      <c r="AS123" t="str">
        <f t="shared" si="320"/>
        <v>23 Teaching and other educational professionals</v>
      </c>
      <c r="AT123" s="27">
        <f t="shared" si="307"/>
        <v>-3.3419729165722389E-2</v>
      </c>
      <c r="AU123" s="27">
        <f t="shared" si="307"/>
        <v>5.5089084618895889E-2</v>
      </c>
      <c r="AV123" s="27">
        <f t="shared" si="307"/>
        <v>-5.1005413363766516E-2</v>
      </c>
      <c r="AW123" s="27">
        <f t="shared" si="307"/>
        <v>-1.4478155233754314E-2</v>
      </c>
      <c r="AX123" s="27">
        <f t="shared" si="308"/>
        <v>-6.548356859752083E-2</v>
      </c>
      <c r="BD123" t="str">
        <f t="shared" si="321"/>
        <v>23 Teaching and other educational professionals</v>
      </c>
      <c r="BE123" s="27">
        <f t="shared" si="309"/>
        <v>7.9941302978665529E-2</v>
      </c>
      <c r="BF123" s="27">
        <f t="shared" si="309"/>
        <v>0.14051977411367766</v>
      </c>
      <c r="BG123" s="27">
        <f t="shared" si="309"/>
        <v>-0.11033157063745136</v>
      </c>
      <c r="BH123" s="27">
        <f t="shared" si="309"/>
        <v>0.14579872797168647</v>
      </c>
      <c r="BI123" s="27">
        <f t="shared" si="310"/>
        <v>3.5467157334235111E-2</v>
      </c>
      <c r="BO123" t="str">
        <f t="shared" si="322"/>
        <v>23 Teaching and other educational professionals</v>
      </c>
      <c r="BP123" s="27">
        <f t="shared" si="311"/>
        <v>-1.9102934557961415E-2</v>
      </c>
      <c r="BQ123" s="27">
        <f t="shared" si="311"/>
        <v>9.5948918824334761E-2</v>
      </c>
      <c r="BR123" s="27">
        <f t="shared" si="311"/>
        <v>-0.16117473199925336</v>
      </c>
      <c r="BS123" s="27">
        <f t="shared" si="311"/>
        <v>-0.11653781569987098</v>
      </c>
      <c r="BT123" s="27">
        <f t="shared" si="312"/>
        <v>-0.27771254769912435</v>
      </c>
      <c r="BZ123" t="str">
        <f t="shared" si="323"/>
        <v>23 Teaching and other educational professionals</v>
      </c>
      <c r="CA123" s="68">
        <f t="shared" si="313"/>
        <v>-7.8156504275893934E-2</v>
      </c>
      <c r="CB123" s="68">
        <f t="shared" si="313"/>
        <v>8.9328940121445877E-2</v>
      </c>
      <c r="CC123" s="68">
        <f t="shared" si="313"/>
        <v>-6.6573096562329903E-2</v>
      </c>
      <c r="CD123" s="68">
        <f t="shared" si="313"/>
        <v>-0.14784457235931725</v>
      </c>
      <c r="CE123" s="68">
        <f t="shared" si="314"/>
        <v>-0.21441766892164715</v>
      </c>
      <c r="CK123" t="str">
        <f t="shared" si="324"/>
        <v>23 Teaching and other educational professionals</v>
      </c>
      <c r="CL123" s="68">
        <f t="shared" si="315"/>
        <v>3.0198132646586787E-2</v>
      </c>
      <c r="CM123" s="68">
        <f t="shared" si="315"/>
        <v>2.1114207408870656E-2</v>
      </c>
      <c r="CN123" s="68">
        <f t="shared" si="315"/>
        <v>2.1991100891581961E-2</v>
      </c>
      <c r="CO123" s="68">
        <f t="shared" si="315"/>
        <v>-3.1157003858491572E-3</v>
      </c>
      <c r="CP123" s="68">
        <f t="shared" si="316"/>
        <v>1.8875400505732803E-2</v>
      </c>
    </row>
    <row r="124" spans="1:94" x14ac:dyDescent="0.2">
      <c r="A124" t="str">
        <f t="shared" si="298"/>
        <v>24 Business, media and public service professionals</v>
      </c>
      <c r="B124" s="27">
        <f t="shared" si="299"/>
        <v>0.12153796809208123</v>
      </c>
      <c r="C124" s="27">
        <f t="shared" si="299"/>
        <v>8.9585500006152397E-3</v>
      </c>
      <c r="D124" s="27">
        <f t="shared" si="299"/>
        <v>0.10361759206852467</v>
      </c>
      <c r="E124" s="27">
        <f t="shared" si="299"/>
        <v>0.1986703940242226</v>
      </c>
      <c r="F124" s="27">
        <f t="shared" si="300"/>
        <v>0.30228798609274726</v>
      </c>
      <c r="L124" t="str">
        <f t="shared" si="317"/>
        <v>24 Business, media and public service professionals</v>
      </c>
      <c r="M124" s="27">
        <f t="shared" si="301"/>
        <v>1.8570385656290487</v>
      </c>
      <c r="N124" s="27">
        <f t="shared" si="301"/>
        <v>5.1523289228608604E-2</v>
      </c>
      <c r="O124" s="27">
        <f t="shared" si="301"/>
        <v>1.0528275922798631</v>
      </c>
      <c r="P124" s="27">
        <f t="shared" si="301"/>
        <v>2.0247522758508332</v>
      </c>
      <c r="Q124" s="27">
        <f t="shared" si="302"/>
        <v>3.0775798681306963</v>
      </c>
      <c r="W124" t="str">
        <f t="shared" si="318"/>
        <v>24 Business, media and public service professionals</v>
      </c>
      <c r="X124" s="27">
        <f t="shared" si="303"/>
        <v>0.58700923656400406</v>
      </c>
      <c r="Y124" s="27">
        <f t="shared" si="303"/>
        <v>2.1360074725038061</v>
      </c>
      <c r="Z124" s="27">
        <f t="shared" si="303"/>
        <v>0.3381652458718829</v>
      </c>
      <c r="AA124" s="27">
        <f t="shared" si="303"/>
        <v>1.6693493295186279</v>
      </c>
      <c r="AB124" s="27">
        <f t="shared" si="304"/>
        <v>2.0075145753905108</v>
      </c>
      <c r="AH124" t="str">
        <f t="shared" si="319"/>
        <v>24 Business, media and public service professionals</v>
      </c>
      <c r="AI124" s="27">
        <f t="shared" si="305"/>
        <v>-0.10159186021227318</v>
      </c>
      <c r="AJ124" s="27">
        <f t="shared" si="305"/>
        <v>0.18620691414652368</v>
      </c>
      <c r="AK124" s="27">
        <f t="shared" si="305"/>
        <v>-9.0961754459475186E-2</v>
      </c>
      <c r="AL124" s="27">
        <f t="shared" si="305"/>
        <v>0.13486647182721456</v>
      </c>
      <c r="AM124" s="27">
        <f t="shared" si="306"/>
        <v>4.3904717367739376E-2</v>
      </c>
      <c r="AS124" t="str">
        <f t="shared" si="320"/>
        <v>24 Business, media and public service professionals</v>
      </c>
      <c r="AT124" s="27">
        <f t="shared" si="307"/>
        <v>-4.2612869105597362E-2</v>
      </c>
      <c r="AU124" s="27">
        <f t="shared" si="307"/>
        <v>0.43164464919862056</v>
      </c>
      <c r="AV124" s="27">
        <f t="shared" si="307"/>
        <v>2.8374611366955405E-2</v>
      </c>
      <c r="AW124" s="27">
        <f t="shared" si="307"/>
        <v>0.31476085266575748</v>
      </c>
      <c r="AX124" s="27">
        <f t="shared" si="308"/>
        <v>0.34313546403271289</v>
      </c>
      <c r="BD124" t="str">
        <f t="shared" si="321"/>
        <v>24 Business, media and public service professionals</v>
      </c>
      <c r="BE124" s="27">
        <f t="shared" si="309"/>
        <v>0.87466734065429064</v>
      </c>
      <c r="BF124" s="27">
        <f t="shared" si="309"/>
        <v>0.40520965155116517</v>
      </c>
      <c r="BG124" s="27">
        <f t="shared" si="309"/>
        <v>0.1383310367387125</v>
      </c>
      <c r="BH124" s="27">
        <f t="shared" si="309"/>
        <v>0.56194465029701046</v>
      </c>
      <c r="BI124" s="27">
        <f t="shared" si="310"/>
        <v>0.70027568703572296</v>
      </c>
      <c r="BO124" t="str">
        <f t="shared" si="322"/>
        <v>24 Business, media and public service professionals</v>
      </c>
      <c r="BP124" s="27">
        <f t="shared" si="311"/>
        <v>0.24921499288410809</v>
      </c>
      <c r="BQ124" s="27">
        <f t="shared" si="311"/>
        <v>0.31079097679582635</v>
      </c>
      <c r="BR124" s="27">
        <f t="shared" si="311"/>
        <v>-0.36206400521961335</v>
      </c>
      <c r="BS124" s="27">
        <f t="shared" si="311"/>
        <v>-0.46437215217005701</v>
      </c>
      <c r="BT124" s="27">
        <f t="shared" si="312"/>
        <v>-0.82643615738967036</v>
      </c>
      <c r="BZ124" t="str">
        <f t="shared" si="323"/>
        <v>24 Business, media and public service professionals</v>
      </c>
      <c r="CA124" s="68">
        <f t="shared" si="313"/>
        <v>5.6543169430838036E-2</v>
      </c>
      <c r="CB124" s="68">
        <f t="shared" si="313"/>
        <v>0.33246018805449196</v>
      </c>
      <c r="CC124" s="68">
        <f t="shared" si="313"/>
        <v>-0.14521940972736114</v>
      </c>
      <c r="CD124" s="68">
        <f t="shared" si="313"/>
        <v>-0.64444628048090591</v>
      </c>
      <c r="CE124" s="68">
        <f t="shared" si="314"/>
        <v>-0.78966569020826705</v>
      </c>
      <c r="CK124" t="str">
        <f t="shared" si="324"/>
        <v>24 Business, media and public service professionals</v>
      </c>
      <c r="CL124" s="68">
        <f t="shared" si="315"/>
        <v>9.3471098303013811E-2</v>
      </c>
      <c r="CM124" s="68">
        <f t="shared" si="315"/>
        <v>-3.9364026706330546E-3</v>
      </c>
      <c r="CN124" s="68">
        <f t="shared" si="315"/>
        <v>7.2032883983638107E-2</v>
      </c>
      <c r="CO124" s="68">
        <f t="shared" si="315"/>
        <v>-4.8347942435147118E-2</v>
      </c>
      <c r="CP124" s="68">
        <f t="shared" si="316"/>
        <v>2.368494154849099E-2</v>
      </c>
    </row>
    <row r="125" spans="1:94" x14ac:dyDescent="0.2">
      <c r="A125" t="str">
        <f t="shared" si="298"/>
        <v>31 Science, engineering and technology associate professionals</v>
      </c>
      <c r="B125" s="27">
        <f t="shared" si="299"/>
        <v>4.8096245185566752E-2</v>
      </c>
      <c r="C125" s="27">
        <f t="shared" si="299"/>
        <v>1.4353327047737785E-3</v>
      </c>
      <c r="D125" s="27">
        <f t="shared" si="299"/>
        <v>2.6208440009518108E-2</v>
      </c>
      <c r="E125" s="27">
        <f t="shared" si="299"/>
        <v>8.202611455148226E-2</v>
      </c>
      <c r="F125" s="27">
        <f t="shared" si="300"/>
        <v>0.10823455456100037</v>
      </c>
      <c r="L125" t="str">
        <f t="shared" si="317"/>
        <v>31 Science, engineering and technology associate professionals</v>
      </c>
      <c r="M125" s="27">
        <f t="shared" si="301"/>
        <v>0.25068584651785419</v>
      </c>
      <c r="N125" s="27">
        <f t="shared" si="301"/>
        <v>1.8597080936786026E-2</v>
      </c>
      <c r="O125" s="27">
        <f t="shared" si="301"/>
        <v>0.12512287638647468</v>
      </c>
      <c r="P125" s="27">
        <f t="shared" si="301"/>
        <v>0.3969158300913822</v>
      </c>
      <c r="Q125" s="27">
        <f t="shared" si="302"/>
        <v>0.52203870647785688</v>
      </c>
      <c r="W125" t="str">
        <f t="shared" si="318"/>
        <v>31 Science, engineering and technology associate professionals</v>
      </c>
      <c r="X125" s="27">
        <f t="shared" si="303"/>
        <v>0.16593609264675657</v>
      </c>
      <c r="Y125" s="27">
        <f t="shared" si="303"/>
        <v>0.32924622566886397</v>
      </c>
      <c r="Z125" s="27">
        <f t="shared" si="303"/>
        <v>-4.7882781599233315E-2</v>
      </c>
      <c r="AA125" s="27">
        <f t="shared" si="303"/>
        <v>0.33705362611398781</v>
      </c>
      <c r="AB125" s="27">
        <f t="shared" si="304"/>
        <v>0.2891708445147545</v>
      </c>
      <c r="AH125" t="str">
        <f t="shared" si="319"/>
        <v>31 Science, engineering and technology associate professionals</v>
      </c>
      <c r="AI125" s="27">
        <f t="shared" si="305"/>
        <v>7.3375807758455092E-3</v>
      </c>
      <c r="AJ125" s="27">
        <f t="shared" si="305"/>
        <v>7.8172964097697417E-2</v>
      </c>
      <c r="AK125" s="27">
        <f t="shared" si="305"/>
        <v>1.7346044790248261E-2</v>
      </c>
      <c r="AL125" s="27">
        <f t="shared" si="305"/>
        <v>0.13818212379365064</v>
      </c>
      <c r="AM125" s="27">
        <f t="shared" si="306"/>
        <v>0.1555281685838989</v>
      </c>
      <c r="AS125" t="str">
        <f t="shared" si="320"/>
        <v>31 Science, engineering and technology associate professionals</v>
      </c>
      <c r="AT125" s="27">
        <f t="shared" si="307"/>
        <v>-7.4603691135845862E-2</v>
      </c>
      <c r="AU125" s="27">
        <f t="shared" si="307"/>
        <v>0.20343815716362912</v>
      </c>
      <c r="AV125" s="27">
        <f t="shared" si="307"/>
        <v>-0.16349510064927386</v>
      </c>
      <c r="AW125" s="27">
        <f t="shared" si="307"/>
        <v>5.9588993093953713E-2</v>
      </c>
      <c r="AX125" s="27">
        <f t="shared" si="308"/>
        <v>-0.10390610755532015</v>
      </c>
      <c r="BD125" t="str">
        <f t="shared" si="321"/>
        <v>31 Science, engineering and technology associate professionals</v>
      </c>
      <c r="BE125" s="27">
        <f t="shared" si="309"/>
        <v>0.40626356827250443</v>
      </c>
      <c r="BF125" s="27">
        <f t="shared" si="309"/>
        <v>0.16323183575136824</v>
      </c>
      <c r="BG125" s="27">
        <f t="shared" si="309"/>
        <v>-0.2794246477183755</v>
      </c>
      <c r="BH125" s="27">
        <f t="shared" si="309"/>
        <v>-4.6750250356132561E-2</v>
      </c>
      <c r="BI125" s="27">
        <f t="shared" si="310"/>
        <v>-0.32617489807450806</v>
      </c>
      <c r="BO125" t="str">
        <f t="shared" si="322"/>
        <v>31 Science, engineering and technology associate professionals</v>
      </c>
      <c r="BP125" s="27">
        <f t="shared" si="311"/>
        <v>0.21300793826473008</v>
      </c>
      <c r="BQ125" s="27">
        <f t="shared" si="311"/>
        <v>0.11517542280775594</v>
      </c>
      <c r="BR125" s="27">
        <f t="shared" si="311"/>
        <v>-0.22663373742471959</v>
      </c>
      <c r="BS125" s="27">
        <f t="shared" si="311"/>
        <v>-6.674710800823358E-2</v>
      </c>
      <c r="BT125" s="27">
        <f t="shared" si="312"/>
        <v>-0.29338084543295317</v>
      </c>
      <c r="BZ125" t="str">
        <f t="shared" si="323"/>
        <v>31 Science, engineering and technology associate professionals</v>
      </c>
      <c r="CA125" s="68">
        <f t="shared" si="313"/>
        <v>0.1099967466574896</v>
      </c>
      <c r="CB125" s="68">
        <f t="shared" si="313"/>
        <v>0.21064979084266544</v>
      </c>
      <c r="CC125" s="68">
        <f t="shared" si="313"/>
        <v>-0.2482123637206215</v>
      </c>
      <c r="CD125" s="68">
        <f t="shared" si="313"/>
        <v>-0.21256347303225787</v>
      </c>
      <c r="CE125" s="68">
        <f t="shared" si="314"/>
        <v>-0.46077583675287936</v>
      </c>
      <c r="CK125" t="str">
        <f t="shared" si="324"/>
        <v>31 Science, engineering and technology associate professionals</v>
      </c>
      <c r="CL125" s="68">
        <f t="shared" si="315"/>
        <v>5.8474260815328138E-2</v>
      </c>
      <c r="CM125" s="68">
        <f t="shared" si="315"/>
        <v>2.7088764508560209E-2</v>
      </c>
      <c r="CN125" s="68">
        <f t="shared" si="315"/>
        <v>4.2463218447813894E-2</v>
      </c>
      <c r="CO125" s="68">
        <f t="shared" si="315"/>
        <v>1.4651978581285252E-2</v>
      </c>
      <c r="CP125" s="68">
        <f t="shared" si="316"/>
        <v>5.7115197029099146E-2</v>
      </c>
    </row>
    <row r="126" spans="1:94" x14ac:dyDescent="0.2">
      <c r="A126" t="str">
        <f t="shared" si="298"/>
        <v>32 Health and social care associate professionals</v>
      </c>
      <c r="B126" s="27">
        <f t="shared" si="299"/>
        <v>2.0939911619333174E-2</v>
      </c>
      <c r="C126" s="27">
        <f t="shared" si="299"/>
        <v>-1.4756507913321712E-2</v>
      </c>
      <c r="D126" s="27">
        <f t="shared" si="299"/>
        <v>3.3756953616535627E-2</v>
      </c>
      <c r="E126" s="27">
        <f t="shared" si="299"/>
        <v>4.2609248064336011E-2</v>
      </c>
      <c r="F126" s="27">
        <f t="shared" si="300"/>
        <v>7.6366201680871632E-2</v>
      </c>
      <c r="L126" t="str">
        <f t="shared" si="317"/>
        <v>32 Health and social care associate professionals</v>
      </c>
      <c r="M126" s="27">
        <f t="shared" si="301"/>
        <v>0.40727752933254646</v>
      </c>
      <c r="N126" s="27">
        <f t="shared" si="301"/>
        <v>-0.14734702290224022</v>
      </c>
      <c r="O126" s="27">
        <f t="shared" si="301"/>
        <v>0.84681007010749787</v>
      </c>
      <c r="P126" s="27">
        <f t="shared" si="301"/>
        <v>0.88849650966799665</v>
      </c>
      <c r="Q126" s="27">
        <f t="shared" si="302"/>
        <v>1.7353065797754945</v>
      </c>
      <c r="W126" t="str">
        <f t="shared" si="318"/>
        <v>32 Health and social care associate professionals</v>
      </c>
      <c r="X126" s="27">
        <f t="shared" si="303"/>
        <v>0.45717657430975978</v>
      </c>
      <c r="Y126" s="27">
        <f t="shared" si="303"/>
        <v>0.11164389702548405</v>
      </c>
      <c r="Z126" s="27">
        <f t="shared" si="303"/>
        <v>2.2675643491989783</v>
      </c>
      <c r="AA126" s="27">
        <f t="shared" si="303"/>
        <v>2.0557860701447215</v>
      </c>
      <c r="AB126" s="27">
        <f t="shared" si="304"/>
        <v>4.3233504193436998</v>
      </c>
      <c r="AH126" t="str">
        <f t="shared" si="319"/>
        <v>32 Health and social care associate professionals</v>
      </c>
      <c r="AI126" s="27">
        <f t="shared" si="305"/>
        <v>-0.20685272767999185</v>
      </c>
      <c r="AJ126" s="27">
        <f t="shared" si="305"/>
        <v>-2.6917519278120139E-3</v>
      </c>
      <c r="AK126" s="27">
        <f t="shared" si="305"/>
        <v>0.24266332388242051</v>
      </c>
      <c r="AL126" s="27">
        <f t="shared" si="305"/>
        <v>-0.59733631936438325</v>
      </c>
      <c r="AM126" s="27">
        <f t="shared" si="306"/>
        <v>-0.35467299548196274</v>
      </c>
      <c r="AS126" t="str">
        <f t="shared" si="320"/>
        <v>32 Health and social care associate professionals</v>
      </c>
      <c r="AT126" s="27">
        <f t="shared" si="307"/>
        <v>6.2210046632749816E-2</v>
      </c>
      <c r="AU126" s="27">
        <f t="shared" si="307"/>
        <v>4.6616268477184697E-2</v>
      </c>
      <c r="AV126" s="27">
        <f t="shared" si="307"/>
        <v>0.23032912279870638</v>
      </c>
      <c r="AW126" s="27">
        <f t="shared" si="307"/>
        <v>0.16989414946048909</v>
      </c>
      <c r="AX126" s="27">
        <f t="shared" si="308"/>
        <v>0.40022327225919546</v>
      </c>
      <c r="BD126" t="str">
        <f t="shared" si="321"/>
        <v>32 Health and social care associate professionals</v>
      </c>
      <c r="BE126" s="27">
        <f t="shared" si="309"/>
        <v>0.36679043397451871</v>
      </c>
      <c r="BF126" s="27">
        <f t="shared" si="309"/>
        <v>0.17602595637773066</v>
      </c>
      <c r="BG126" s="27">
        <f t="shared" si="309"/>
        <v>1.2158990788863955</v>
      </c>
      <c r="BH126" s="27">
        <f t="shared" si="309"/>
        <v>0.66914510207207112</v>
      </c>
      <c r="BI126" s="27">
        <f t="shared" si="310"/>
        <v>1.8850441809584666</v>
      </c>
      <c r="BO126" t="str">
        <f t="shared" si="322"/>
        <v>32 Health and social care associate professionals</v>
      </c>
      <c r="BP126" s="27">
        <f t="shared" si="311"/>
        <v>0.16835394218047162</v>
      </c>
      <c r="BQ126" s="27">
        <f t="shared" si="311"/>
        <v>4.063199982386001E-2</v>
      </c>
      <c r="BR126" s="27">
        <f t="shared" si="311"/>
        <v>0.55952645902883291</v>
      </c>
      <c r="BS126" s="27">
        <f t="shared" si="311"/>
        <v>-0.35671374981921256</v>
      </c>
      <c r="BT126" s="27">
        <f t="shared" si="312"/>
        <v>0.20281270920962036</v>
      </c>
      <c r="BZ126" t="str">
        <f t="shared" si="323"/>
        <v>32 Health and social care associate professionals</v>
      </c>
      <c r="CA126" s="68">
        <f t="shared" si="313"/>
        <v>-0.14084222615279396</v>
      </c>
      <c r="CB126" s="68">
        <f t="shared" si="313"/>
        <v>4.1678896777362362E-3</v>
      </c>
      <c r="CC126" s="68">
        <f t="shared" si="313"/>
        <v>0.2038721487316259</v>
      </c>
      <c r="CD126" s="68">
        <f t="shared" si="313"/>
        <v>-0.19706899267754346</v>
      </c>
      <c r="CE126" s="68">
        <f t="shared" si="314"/>
        <v>6.8031560540824376E-3</v>
      </c>
      <c r="CK126" t="str">
        <f t="shared" si="324"/>
        <v>32 Health and social care associate professionals</v>
      </c>
      <c r="CL126" s="68">
        <f t="shared" si="315"/>
        <v>6.3575079383034125E-3</v>
      </c>
      <c r="CM126" s="68">
        <f t="shared" si="315"/>
        <v>-1.7331055863056138E-3</v>
      </c>
      <c r="CN126" s="68">
        <f t="shared" si="315"/>
        <v>4.5570774582979381E-2</v>
      </c>
      <c r="CO126" s="68">
        <f t="shared" si="315"/>
        <v>1.378933336268591E-2</v>
      </c>
      <c r="CP126" s="68">
        <f t="shared" si="316"/>
        <v>5.9360107945665291E-2</v>
      </c>
    </row>
    <row r="127" spans="1:94" x14ac:dyDescent="0.2">
      <c r="A127" t="str">
        <f t="shared" si="298"/>
        <v>33 Protective service occupations</v>
      </c>
      <c r="B127" s="27">
        <f t="shared" si="299"/>
        <v>5.5123036971000197E-3</v>
      </c>
      <c r="C127" s="27">
        <f t="shared" si="299"/>
        <v>-1.3127323597642189E-3</v>
      </c>
      <c r="D127" s="27">
        <f t="shared" si="299"/>
        <v>3.2440556542114619E-3</v>
      </c>
      <c r="E127" s="27">
        <f t="shared" si="299"/>
        <v>1.3182792845471039E-2</v>
      </c>
      <c r="F127" s="27">
        <f t="shared" si="300"/>
        <v>1.6426848499682501E-2</v>
      </c>
      <c r="L127" t="str">
        <f t="shared" si="317"/>
        <v>33 Protective service occupations</v>
      </c>
      <c r="M127" s="27">
        <f t="shared" si="301"/>
        <v>5.4679181304892494E-2</v>
      </c>
      <c r="N127" s="27">
        <f t="shared" si="301"/>
        <v>3.1419691506351377E-3</v>
      </c>
      <c r="O127" s="27">
        <f t="shared" si="301"/>
        <v>1.654950368093816E-2</v>
      </c>
      <c r="P127" s="27">
        <f t="shared" si="301"/>
        <v>0.1450970377061076</v>
      </c>
      <c r="Q127" s="27">
        <f t="shared" si="302"/>
        <v>0.16164654138704576</v>
      </c>
      <c r="W127" t="str">
        <f t="shared" si="318"/>
        <v>33 Protective service occupations</v>
      </c>
      <c r="X127" s="27">
        <f t="shared" si="303"/>
        <v>2.4020256088276071E-2</v>
      </c>
      <c r="Y127" s="27">
        <f t="shared" si="303"/>
        <v>0.22567869972500487</v>
      </c>
      <c r="Z127" s="27">
        <f t="shared" si="303"/>
        <v>-0.10478402474949622</v>
      </c>
      <c r="AA127" s="27">
        <f t="shared" si="303"/>
        <v>0.44976661870491141</v>
      </c>
      <c r="AB127" s="27">
        <f t="shared" si="304"/>
        <v>0.3449825939554152</v>
      </c>
      <c r="AH127" t="str">
        <f t="shared" si="319"/>
        <v>33 Protective service occupations</v>
      </c>
      <c r="AI127" s="27">
        <f t="shared" si="305"/>
        <v>-4.550794355139276E-3</v>
      </c>
      <c r="AJ127" s="27">
        <f t="shared" si="305"/>
        <v>7.5499149846947555E-2</v>
      </c>
      <c r="AK127" s="27">
        <f t="shared" si="305"/>
        <v>-3.1939571377086529E-2</v>
      </c>
      <c r="AL127" s="27">
        <f t="shared" si="305"/>
        <v>9.8235756479349234E-2</v>
      </c>
      <c r="AM127" s="27">
        <f t="shared" si="306"/>
        <v>6.6296185102262706E-2</v>
      </c>
      <c r="AS127" t="str">
        <f t="shared" si="320"/>
        <v>33 Protective service occupations</v>
      </c>
      <c r="AT127" s="27">
        <f t="shared" si="307"/>
        <v>-4.932237437042325E-2</v>
      </c>
      <c r="AU127" s="27">
        <f t="shared" si="307"/>
        <v>4.0609189523884259E-2</v>
      </c>
      <c r="AV127" s="27">
        <f t="shared" si="307"/>
        <v>-6.5176953058584369E-2</v>
      </c>
      <c r="AW127" s="27">
        <f t="shared" si="307"/>
        <v>2.2121284265842894E-2</v>
      </c>
      <c r="AX127" s="27">
        <f t="shared" si="308"/>
        <v>-4.3055668792741475E-2</v>
      </c>
      <c r="BD127" t="str">
        <f t="shared" si="321"/>
        <v>33 Protective service occupations</v>
      </c>
      <c r="BE127" s="27">
        <f t="shared" si="309"/>
        <v>5.2248607170361838E-2</v>
      </c>
      <c r="BF127" s="27">
        <f t="shared" si="309"/>
        <v>-4.7225686915300491E-2</v>
      </c>
      <c r="BG127" s="27">
        <f t="shared" si="309"/>
        <v>-0.11382086253475698</v>
      </c>
      <c r="BH127" s="27">
        <f t="shared" si="309"/>
        <v>-1.4868083551615063E-2</v>
      </c>
      <c r="BI127" s="27">
        <f t="shared" si="310"/>
        <v>-0.12868894608637205</v>
      </c>
      <c r="BO127" t="str">
        <f t="shared" si="322"/>
        <v>33 Protective service occupations</v>
      </c>
      <c r="BP127" s="27">
        <f t="shared" si="311"/>
        <v>2.0702534889801338E-2</v>
      </c>
      <c r="BQ127" s="27">
        <f t="shared" si="311"/>
        <v>-4.2500564902930416E-2</v>
      </c>
      <c r="BR127" s="27">
        <f t="shared" si="311"/>
        <v>-0.30108382998606187</v>
      </c>
      <c r="BS127" s="27">
        <f t="shared" si="311"/>
        <v>-0.2250616290230697</v>
      </c>
      <c r="BT127" s="27">
        <f t="shared" si="312"/>
        <v>-0.52614545900913157</v>
      </c>
      <c r="BZ127" t="str">
        <f t="shared" si="323"/>
        <v>33 Protective service occupations</v>
      </c>
      <c r="CA127" s="68">
        <f t="shared" si="313"/>
        <v>-9.8808019575416406E-2</v>
      </c>
      <c r="CB127" s="68">
        <f t="shared" si="313"/>
        <v>4.1787097355987179E-2</v>
      </c>
      <c r="CC127" s="68">
        <f t="shared" si="313"/>
        <v>-0.16916092325822951</v>
      </c>
      <c r="CD127" s="68">
        <f t="shared" si="313"/>
        <v>-0.15876693673456393</v>
      </c>
      <c r="CE127" s="68">
        <f t="shared" si="314"/>
        <v>-0.32792785999279345</v>
      </c>
      <c r="CK127" t="str">
        <f t="shared" si="324"/>
        <v>33 Protective service occupations</v>
      </c>
      <c r="CL127" s="68">
        <f t="shared" si="315"/>
        <v>-1.7270476924995337E-2</v>
      </c>
      <c r="CM127" s="68">
        <f t="shared" si="315"/>
        <v>-1.314713425726316E-2</v>
      </c>
      <c r="CN127" s="68">
        <f t="shared" si="315"/>
        <v>-1.3366379059747524E-2</v>
      </c>
      <c r="CO127" s="68">
        <f t="shared" si="315"/>
        <v>-4.9170795822875882E-2</v>
      </c>
      <c r="CP127" s="68">
        <f t="shared" si="316"/>
        <v>-6.2537174882623406E-2</v>
      </c>
    </row>
    <row r="128" spans="1:94" x14ac:dyDescent="0.2">
      <c r="A128" t="str">
        <f t="shared" si="298"/>
        <v>34 Culture, media and sports occupations</v>
      </c>
      <c r="B128" s="27">
        <f t="shared" si="299"/>
        <v>3.0102446515894138E-2</v>
      </c>
      <c r="C128" s="27">
        <f t="shared" si="299"/>
        <v>4.6340184383588251E-3</v>
      </c>
      <c r="D128" s="27">
        <f t="shared" si="299"/>
        <v>5.0663072853895236E-3</v>
      </c>
      <c r="E128" s="27">
        <f t="shared" si="299"/>
        <v>2.5366997728306084E-2</v>
      </c>
      <c r="F128" s="27">
        <f t="shared" si="300"/>
        <v>3.0433305013695608E-2</v>
      </c>
      <c r="L128" t="str">
        <f t="shared" si="317"/>
        <v>34 Culture, media and sports occupations</v>
      </c>
      <c r="M128" s="27">
        <f t="shared" si="301"/>
        <v>0.35848608960523665</v>
      </c>
      <c r="N128" s="27">
        <f t="shared" si="301"/>
        <v>-0.10288100105765485</v>
      </c>
      <c r="O128" s="27">
        <f t="shared" si="301"/>
        <v>-2.4236833399576829E-2</v>
      </c>
      <c r="P128" s="27">
        <f t="shared" si="301"/>
        <v>0.28909079405201998</v>
      </c>
      <c r="Q128" s="27">
        <f t="shared" si="302"/>
        <v>0.26485396065244315</v>
      </c>
      <c r="W128" t="str">
        <f t="shared" si="318"/>
        <v>34 Culture, media and sports occupations</v>
      </c>
      <c r="X128" s="27">
        <f t="shared" si="303"/>
        <v>-0.17579386444244172</v>
      </c>
      <c r="Y128" s="27">
        <f t="shared" si="303"/>
        <v>0.27461255296137299</v>
      </c>
      <c r="Z128" s="27">
        <f t="shared" si="303"/>
        <v>-0.3350855349480617</v>
      </c>
      <c r="AA128" s="27">
        <f t="shared" si="303"/>
        <v>0.15465021399252921</v>
      </c>
      <c r="AB128" s="27">
        <f t="shared" si="304"/>
        <v>-0.1804353209555325</v>
      </c>
      <c r="AH128" t="str">
        <f t="shared" si="319"/>
        <v>34 Culture, media and sports occupations</v>
      </c>
      <c r="AI128" s="27">
        <f t="shared" si="305"/>
        <v>4.0835710823421967E-3</v>
      </c>
      <c r="AJ128" s="27">
        <f t="shared" si="305"/>
        <v>6.4431530906404966E-2</v>
      </c>
      <c r="AK128" s="27">
        <f t="shared" si="305"/>
        <v>-4.5100053980069943E-2</v>
      </c>
      <c r="AL128" s="27">
        <f t="shared" si="305"/>
        <v>8.6773364014373633E-2</v>
      </c>
      <c r="AM128" s="27">
        <f t="shared" si="306"/>
        <v>4.167331003430369E-2</v>
      </c>
      <c r="AS128" t="str">
        <f t="shared" si="320"/>
        <v>34 Culture, media and sports occupations</v>
      </c>
      <c r="AT128" s="27">
        <f t="shared" si="307"/>
        <v>-3.6138093208343158E-2</v>
      </c>
      <c r="AU128" s="27">
        <f t="shared" si="307"/>
        <v>3.9509333297078286E-2</v>
      </c>
      <c r="AV128" s="27">
        <f t="shared" si="307"/>
        <v>-7.4015043898662092E-2</v>
      </c>
      <c r="AW128" s="27">
        <f t="shared" si="307"/>
        <v>1.0376239870091564E-2</v>
      </c>
      <c r="AX128" s="27">
        <f t="shared" si="308"/>
        <v>-6.3638804028570528E-2</v>
      </c>
      <c r="BD128" t="str">
        <f t="shared" si="321"/>
        <v>34 Culture, media and sports occupations</v>
      </c>
      <c r="BE128" s="27">
        <f t="shared" si="309"/>
        <v>3.4362323836201414E-2</v>
      </c>
      <c r="BF128" s="27">
        <f t="shared" si="309"/>
        <v>-3.4830940650911968E-2</v>
      </c>
      <c r="BG128" s="27">
        <f t="shared" si="309"/>
        <v>-0.24847691212942813</v>
      </c>
      <c r="BH128" s="27">
        <f t="shared" si="309"/>
        <v>2.8515488865881178E-2</v>
      </c>
      <c r="BI128" s="27">
        <f t="shared" si="310"/>
        <v>-0.21996142326354695</v>
      </c>
      <c r="BO128" t="str">
        <f t="shared" si="322"/>
        <v>34 Culture, media and sports occupations</v>
      </c>
      <c r="BP128" s="27">
        <f t="shared" si="311"/>
        <v>-0.1056129940160172</v>
      </c>
      <c r="BQ128" s="27">
        <f t="shared" si="311"/>
        <v>-3.0405888745174581E-2</v>
      </c>
      <c r="BR128" s="27">
        <f t="shared" si="311"/>
        <v>-0.17631325300115436</v>
      </c>
      <c r="BS128" s="27">
        <f t="shared" si="311"/>
        <v>-0.1238229816729948</v>
      </c>
      <c r="BT128" s="27">
        <f t="shared" si="312"/>
        <v>-0.30013623467414918</v>
      </c>
      <c r="BZ128" t="str">
        <f t="shared" si="323"/>
        <v>34 Culture, media and sports occupations</v>
      </c>
      <c r="CA128" s="68">
        <f t="shared" si="313"/>
        <v>-7.5360364611875064E-2</v>
      </c>
      <c r="CB128" s="68">
        <f t="shared" si="313"/>
        <v>6.9144534961765314E-3</v>
      </c>
      <c r="CC128" s="68">
        <f t="shared" si="313"/>
        <v>-0.11424211021985786</v>
      </c>
      <c r="CD128" s="68">
        <f t="shared" si="313"/>
        <v>-0.12904860584269601</v>
      </c>
      <c r="CE128" s="68">
        <f t="shared" si="314"/>
        <v>-0.24329071606255387</v>
      </c>
      <c r="CK128" t="str">
        <f t="shared" si="324"/>
        <v>34 Culture, media and sports occupations</v>
      </c>
      <c r="CL128" s="68">
        <f t="shared" si="315"/>
        <v>3.4668807039778343E-2</v>
      </c>
      <c r="CM128" s="68">
        <f t="shared" si="315"/>
        <v>-1.1858106452161982E-2</v>
      </c>
      <c r="CN128" s="68">
        <f t="shared" si="315"/>
        <v>3.3932974181668241E-3</v>
      </c>
      <c r="CO128" s="68">
        <f t="shared" si="315"/>
        <v>-1.985896042621807E-2</v>
      </c>
      <c r="CP128" s="68">
        <f t="shared" si="316"/>
        <v>-1.6465663008051246E-2</v>
      </c>
    </row>
    <row r="129" spans="1:94" x14ac:dyDescent="0.2">
      <c r="A129" t="str">
        <f t="shared" si="298"/>
        <v>35 Business and public service associate professionals</v>
      </c>
      <c r="B129" s="27">
        <f t="shared" si="299"/>
        <v>6.0027868887645774E-2</v>
      </c>
      <c r="C129" s="27">
        <f t="shared" si="299"/>
        <v>-9.8086574759030376E-3</v>
      </c>
      <c r="D129" s="27">
        <f t="shared" si="299"/>
        <v>6.4723667327268697E-2</v>
      </c>
      <c r="E129" s="27">
        <f t="shared" si="299"/>
        <v>0.13181589240363317</v>
      </c>
      <c r="F129" s="27">
        <f t="shared" si="300"/>
        <v>0.19653955973090187</v>
      </c>
      <c r="L129" t="str">
        <f t="shared" si="317"/>
        <v>35 Business and public service associate professionals</v>
      </c>
      <c r="M129" s="27">
        <f t="shared" si="301"/>
        <v>0.91499221633866812</v>
      </c>
      <c r="N129" s="27">
        <f t="shared" si="301"/>
        <v>-0.17965566122305177</v>
      </c>
      <c r="O129" s="27">
        <f t="shared" si="301"/>
        <v>0.6195561775710039</v>
      </c>
      <c r="P129" s="27">
        <f t="shared" si="301"/>
        <v>1.1258549147072059</v>
      </c>
      <c r="Q129" s="27">
        <f t="shared" si="302"/>
        <v>1.7454110922782098</v>
      </c>
      <c r="W129" t="str">
        <f t="shared" si="318"/>
        <v>35 Business and public service associate professionals</v>
      </c>
      <c r="X129" s="27">
        <f t="shared" si="303"/>
        <v>6.4631235899786255E-2</v>
      </c>
      <c r="Y129" s="27">
        <f t="shared" si="303"/>
        <v>0.79538799992237585</v>
      </c>
      <c r="Z129" s="27">
        <f t="shared" si="303"/>
        <v>0.32148025680654957</v>
      </c>
      <c r="AA129" s="27">
        <f t="shared" si="303"/>
        <v>0.96483554170095154</v>
      </c>
      <c r="AB129" s="27">
        <f t="shared" si="304"/>
        <v>1.2863157985075011</v>
      </c>
      <c r="AH129" t="str">
        <f t="shared" si="319"/>
        <v>35 Business and public service associate professionals</v>
      </c>
      <c r="AI129" s="27">
        <f t="shared" si="305"/>
        <v>1.2625710220560471E-2</v>
      </c>
      <c r="AJ129" s="27">
        <f t="shared" si="305"/>
        <v>0.33721766526857078</v>
      </c>
      <c r="AK129" s="27">
        <f t="shared" si="305"/>
        <v>0.14016952814904959</v>
      </c>
      <c r="AL129" s="27">
        <f t="shared" si="305"/>
        <v>0.49530037418986606</v>
      </c>
      <c r="AM129" s="27">
        <f t="shared" si="306"/>
        <v>0.63546990233891565</v>
      </c>
      <c r="AS129" t="str">
        <f t="shared" si="320"/>
        <v>35 Business and public service associate professionals</v>
      </c>
      <c r="AT129" s="27">
        <f t="shared" si="307"/>
        <v>-7.1498968691152909E-2</v>
      </c>
      <c r="AU129" s="27">
        <f t="shared" si="307"/>
        <v>0.31073645673347694</v>
      </c>
      <c r="AV129" s="27">
        <f t="shared" si="307"/>
        <v>5.2454681064729503E-2</v>
      </c>
      <c r="AW129" s="27">
        <f t="shared" si="307"/>
        <v>0.35873341173053586</v>
      </c>
      <c r="AX129" s="27">
        <f t="shared" si="308"/>
        <v>0.41118809279526536</v>
      </c>
      <c r="BD129" t="str">
        <f t="shared" si="321"/>
        <v>35 Business and public service associate professionals</v>
      </c>
      <c r="BE129" s="27">
        <f t="shared" si="309"/>
        <v>0.5605727378371137</v>
      </c>
      <c r="BF129" s="27">
        <f t="shared" si="309"/>
        <v>0.32956727149732057</v>
      </c>
      <c r="BG129" s="27">
        <f t="shared" si="309"/>
        <v>-0.24597805706083697</v>
      </c>
      <c r="BH129" s="27">
        <f t="shared" si="309"/>
        <v>1.3275344890529617E-2</v>
      </c>
      <c r="BI129" s="27">
        <f t="shared" si="310"/>
        <v>-0.23270271217030736</v>
      </c>
      <c r="BO129" t="str">
        <f t="shared" si="322"/>
        <v>35 Business and public service associate professionals</v>
      </c>
      <c r="BP129" s="27">
        <f t="shared" si="311"/>
        <v>9.5978926230199768E-2</v>
      </c>
      <c r="BQ129" s="27">
        <f t="shared" si="311"/>
        <v>0.17064268721375697</v>
      </c>
      <c r="BR129" s="27">
        <f t="shared" si="311"/>
        <v>-0.60782526653255253</v>
      </c>
      <c r="BS129" s="27">
        <f t="shared" si="311"/>
        <v>-0.76483557476047004</v>
      </c>
      <c r="BT129" s="27">
        <f t="shared" si="312"/>
        <v>-1.3726608412930226</v>
      </c>
      <c r="BZ129" t="str">
        <f t="shared" si="323"/>
        <v>35 Business and public service associate professionals</v>
      </c>
      <c r="CA129" s="68">
        <f t="shared" si="313"/>
        <v>-0.22500056887565778</v>
      </c>
      <c r="CB129" s="68">
        <f t="shared" si="313"/>
        <v>0.1005760805791156</v>
      </c>
      <c r="CC129" s="68">
        <f t="shared" si="313"/>
        <v>-0.41043804008191698</v>
      </c>
      <c r="CD129" s="68">
        <f t="shared" si="313"/>
        <v>-0.88331869393967488</v>
      </c>
      <c r="CE129" s="68">
        <f t="shared" si="314"/>
        <v>-1.2937567340215919</v>
      </c>
      <c r="CK129" t="str">
        <f t="shared" si="324"/>
        <v>35 Business and public service associate professionals</v>
      </c>
      <c r="CL129" s="68">
        <f t="shared" si="315"/>
        <v>6.9867303079865217E-2</v>
      </c>
      <c r="CM129" s="68">
        <f t="shared" si="315"/>
        <v>-6.1236463572386324E-2</v>
      </c>
      <c r="CN129" s="68">
        <f t="shared" si="315"/>
        <v>-5.1444927691047471E-2</v>
      </c>
      <c r="CO129" s="68">
        <f t="shared" si="315"/>
        <v>-5.9299100523978299E-2</v>
      </c>
      <c r="CP129" s="68">
        <f t="shared" si="316"/>
        <v>-0.11074402821502577</v>
      </c>
    </row>
    <row r="130" spans="1:94" x14ac:dyDescent="0.2">
      <c r="A130" t="str">
        <f t="shared" si="298"/>
        <v>41 Administrative occupations</v>
      </c>
      <c r="B130" s="27">
        <f t="shared" si="299"/>
        <v>5.4480685199789547E-2</v>
      </c>
      <c r="C130" s="27">
        <f t="shared" si="299"/>
        <v>-2.2532772544792967E-2</v>
      </c>
      <c r="D130" s="27">
        <f t="shared" si="299"/>
        <v>5.6080332080014339E-2</v>
      </c>
      <c r="E130" s="27">
        <f t="shared" si="299"/>
        <v>0.10252216390416347</v>
      </c>
      <c r="F130" s="27">
        <f t="shared" si="300"/>
        <v>0.1586024959841778</v>
      </c>
      <c r="L130" t="str">
        <f t="shared" si="317"/>
        <v>41 Administrative occupations</v>
      </c>
      <c r="M130" s="27">
        <f t="shared" si="301"/>
        <v>0.76060916401331724</v>
      </c>
      <c r="N130" s="27">
        <f t="shared" si="301"/>
        <v>-0.26840492526162674</v>
      </c>
      <c r="O130" s="27">
        <f t="shared" si="301"/>
        <v>0.75720280531424544</v>
      </c>
      <c r="P130" s="27">
        <f t="shared" si="301"/>
        <v>1.1879324117918646</v>
      </c>
      <c r="Q130" s="27">
        <f t="shared" si="302"/>
        <v>1.94513521710611</v>
      </c>
      <c r="W130" t="str">
        <f t="shared" si="318"/>
        <v>41 Administrative occupations</v>
      </c>
      <c r="X130" s="27">
        <f t="shared" si="303"/>
        <v>0.34828515015909289</v>
      </c>
      <c r="Y130" s="27">
        <f t="shared" si="303"/>
        <v>0.52446654422824412</v>
      </c>
      <c r="Z130" s="27">
        <f t="shared" si="303"/>
        <v>1.4688397781792402</v>
      </c>
      <c r="AA130" s="27">
        <f t="shared" si="303"/>
        <v>2.1911696724492327</v>
      </c>
      <c r="AB130" s="27">
        <f t="shared" si="304"/>
        <v>3.6600094506284728</v>
      </c>
      <c r="AH130" t="str">
        <f t="shared" si="319"/>
        <v>41 Administrative occupations</v>
      </c>
      <c r="AI130" s="27">
        <f t="shared" si="305"/>
        <v>0.2017468296418663</v>
      </c>
      <c r="AJ130" s="27">
        <f t="shared" si="305"/>
        <v>0.13577363281602173</v>
      </c>
      <c r="AK130" s="27">
        <f t="shared" si="305"/>
        <v>0.49454118537136527</v>
      </c>
      <c r="AL130" s="27">
        <f t="shared" si="305"/>
        <v>0.83916733664186793</v>
      </c>
      <c r="AM130" s="27">
        <f t="shared" si="306"/>
        <v>1.3337085220132332</v>
      </c>
      <c r="AS130" t="str">
        <f t="shared" si="320"/>
        <v>41 Administrative occupations</v>
      </c>
      <c r="AT130" s="27">
        <f t="shared" si="307"/>
        <v>0.12151043626852465</v>
      </c>
      <c r="AU130" s="27">
        <f t="shared" si="307"/>
        <v>0.14481874936775707</v>
      </c>
      <c r="AV130" s="27">
        <f t="shared" si="307"/>
        <v>0.27753792036056346</v>
      </c>
      <c r="AW130" s="27">
        <f t="shared" si="307"/>
        <v>0.63274371883828096</v>
      </c>
      <c r="AX130" s="27">
        <f t="shared" si="308"/>
        <v>0.91028163919884442</v>
      </c>
      <c r="BD130" t="str">
        <f t="shared" si="321"/>
        <v>41 Administrative occupations</v>
      </c>
      <c r="BE130" s="27">
        <f t="shared" si="309"/>
        <v>0.15752090882235414</v>
      </c>
      <c r="BF130" s="27">
        <f t="shared" si="309"/>
        <v>0.79077350771740029</v>
      </c>
      <c r="BG130" s="27">
        <f t="shared" si="309"/>
        <v>-9.3439164528712482E-2</v>
      </c>
      <c r="BH130" s="27">
        <f t="shared" si="309"/>
        <v>-0.56258863154292627</v>
      </c>
      <c r="BI130" s="27">
        <f t="shared" si="310"/>
        <v>-0.65602779607163875</v>
      </c>
      <c r="BO130" t="str">
        <f t="shared" si="322"/>
        <v>41 Administrative occupations</v>
      </c>
      <c r="BP130" s="27">
        <f t="shared" si="311"/>
        <v>-0.75052461570297879</v>
      </c>
      <c r="BQ130" s="27">
        <f t="shared" si="311"/>
        <v>0.52656395843806614</v>
      </c>
      <c r="BR130" s="27">
        <f t="shared" si="311"/>
        <v>-1.2295929250120832</v>
      </c>
      <c r="BS130" s="27">
        <f t="shared" si="311"/>
        <v>-2.6779627139453845</v>
      </c>
      <c r="BT130" s="27">
        <f t="shared" si="312"/>
        <v>-3.9075556389574677</v>
      </c>
      <c r="BZ130" t="str">
        <f t="shared" si="323"/>
        <v>41 Administrative occupations</v>
      </c>
      <c r="CA130" s="68">
        <f t="shared" si="313"/>
        <v>-1.9302530673110194</v>
      </c>
      <c r="CB130" s="68">
        <f t="shared" si="313"/>
        <v>0.102248674630113</v>
      </c>
      <c r="CC130" s="68">
        <f t="shared" si="313"/>
        <v>-1.081508429468764</v>
      </c>
      <c r="CD130" s="68">
        <f t="shared" si="313"/>
        <v>-2.1910283861604696</v>
      </c>
      <c r="CE130" s="68">
        <f t="shared" si="314"/>
        <v>-3.2725368156292336</v>
      </c>
      <c r="CK130" t="str">
        <f t="shared" si="324"/>
        <v>41 Administrative occupations</v>
      </c>
      <c r="CL130" s="68">
        <f t="shared" si="315"/>
        <v>-8.5014110984354074E-2</v>
      </c>
      <c r="CM130" s="68">
        <f t="shared" si="315"/>
        <v>-0.1602292919053917</v>
      </c>
      <c r="CN130" s="68">
        <f t="shared" si="315"/>
        <v>-8.7657948424286203E-2</v>
      </c>
      <c r="CO130" s="68">
        <f t="shared" si="315"/>
        <v>-0.31043259946142165</v>
      </c>
      <c r="CP130" s="68">
        <f t="shared" si="316"/>
        <v>-0.39809054788570786</v>
      </c>
    </row>
    <row r="131" spans="1:94" x14ac:dyDescent="0.2">
      <c r="A131" t="str">
        <f t="shared" si="298"/>
        <v>42 Secretarial and related occupations</v>
      </c>
      <c r="B131" s="27">
        <f t="shared" si="299"/>
        <v>7.7858727161937095E-3</v>
      </c>
      <c r="C131" s="27">
        <f t="shared" si="299"/>
        <v>-2.5526799964618388E-3</v>
      </c>
      <c r="D131" s="27">
        <f t="shared" si="299"/>
        <v>1.0559183582996356E-2</v>
      </c>
      <c r="E131" s="27">
        <f t="shared" si="299"/>
        <v>1.8238890911560023E-2</v>
      </c>
      <c r="F131" s="27">
        <f t="shared" si="300"/>
        <v>2.8798074494556378E-2</v>
      </c>
      <c r="L131" t="str">
        <f t="shared" si="317"/>
        <v>42 Secretarial and related occupations</v>
      </c>
      <c r="M131" s="27">
        <f t="shared" si="301"/>
        <v>0.12787333356835384</v>
      </c>
      <c r="N131" s="27">
        <f t="shared" si="301"/>
        <v>-7.9363005928699271E-2</v>
      </c>
      <c r="O131" s="27">
        <f t="shared" si="301"/>
        <v>0.1762554895988509</v>
      </c>
      <c r="P131" s="27">
        <f t="shared" si="301"/>
        <v>0.15986190032787773</v>
      </c>
      <c r="Q131" s="27">
        <f t="shared" si="302"/>
        <v>0.33611738992672863</v>
      </c>
      <c r="W131" t="str">
        <f t="shared" si="318"/>
        <v>42 Secretarial and related occupations</v>
      </c>
      <c r="X131" s="27">
        <f t="shared" si="303"/>
        <v>9.9713834240880761E-2</v>
      </c>
      <c r="Y131" s="27">
        <f t="shared" si="303"/>
        <v>7.7788669948675171E-4</v>
      </c>
      <c r="Z131" s="27">
        <f t="shared" si="303"/>
        <v>0.37840062615254322</v>
      </c>
      <c r="AA131" s="27">
        <f t="shared" si="303"/>
        <v>0.59140345590972032</v>
      </c>
      <c r="AB131" s="27">
        <f t="shared" si="304"/>
        <v>0.96980408206226354</v>
      </c>
      <c r="AH131" t="str">
        <f t="shared" si="319"/>
        <v>42 Secretarial and related occupations</v>
      </c>
      <c r="AI131" s="27">
        <f t="shared" si="305"/>
        <v>3.1313455648915522E-2</v>
      </c>
      <c r="AJ131" s="27">
        <f t="shared" si="305"/>
        <v>1.3828311114446046E-2</v>
      </c>
      <c r="AK131" s="27">
        <f t="shared" si="305"/>
        <v>9.2200083619170758E-2</v>
      </c>
      <c r="AL131" s="27">
        <f t="shared" si="305"/>
        <v>3.336763156944933E-2</v>
      </c>
      <c r="AM131" s="27">
        <f t="shared" si="306"/>
        <v>0.12556771518862009</v>
      </c>
      <c r="AS131" t="str">
        <f t="shared" si="320"/>
        <v>42 Secretarial and related occupations</v>
      </c>
      <c r="AT131" s="27">
        <f t="shared" si="307"/>
        <v>6.9279474424823739E-3</v>
      </c>
      <c r="AU131" s="27">
        <f t="shared" si="307"/>
        <v>7.5836139111416512E-3</v>
      </c>
      <c r="AV131" s="27">
        <f t="shared" si="307"/>
        <v>6.4296693786555892E-2</v>
      </c>
      <c r="AW131" s="27">
        <f t="shared" si="307"/>
        <v>-5.1813906019320954E-2</v>
      </c>
      <c r="AX131" s="27">
        <f t="shared" si="308"/>
        <v>1.2482787767234937E-2</v>
      </c>
      <c r="BD131" t="str">
        <f t="shared" si="321"/>
        <v>42 Secretarial and related occupations</v>
      </c>
      <c r="BE131" s="27">
        <f t="shared" si="309"/>
        <v>-3.5886628080535665E-2</v>
      </c>
      <c r="BF131" s="27">
        <f t="shared" si="309"/>
        <v>-3.3264483791706212E-3</v>
      </c>
      <c r="BG131" s="27">
        <f t="shared" si="309"/>
        <v>-0.138520724416753</v>
      </c>
      <c r="BH131" s="27">
        <f t="shared" si="309"/>
        <v>-1.0156065659166453</v>
      </c>
      <c r="BI131" s="27">
        <f t="shared" si="310"/>
        <v>-1.1541272903333983</v>
      </c>
      <c r="BO131" t="str">
        <f t="shared" si="322"/>
        <v>42 Secretarial and related occupations</v>
      </c>
      <c r="BP131" s="27">
        <f t="shared" si="311"/>
        <v>-0.33648827831351014</v>
      </c>
      <c r="BQ131" s="27">
        <f t="shared" si="311"/>
        <v>-1.9328205071672766E-2</v>
      </c>
      <c r="BR131" s="27">
        <f t="shared" si="311"/>
        <v>-0.57608864413105509</v>
      </c>
      <c r="BS131" s="27">
        <f t="shared" si="311"/>
        <v>-1.0681549162648558</v>
      </c>
      <c r="BT131" s="27">
        <f t="shared" si="312"/>
        <v>-1.6442435603959109</v>
      </c>
      <c r="BZ131" t="str">
        <f t="shared" si="323"/>
        <v>42 Secretarial and related occupations</v>
      </c>
      <c r="CA131" s="68">
        <f t="shared" si="313"/>
        <v>-0.61873103602933566</v>
      </c>
      <c r="CB131" s="68">
        <f t="shared" si="313"/>
        <v>-5.0333782079110767E-2</v>
      </c>
      <c r="CC131" s="68">
        <f t="shared" si="313"/>
        <v>-0.72093294447999101</v>
      </c>
      <c r="CD131" s="68">
        <f t="shared" si="313"/>
        <v>-0.68869079414110734</v>
      </c>
      <c r="CE131" s="68">
        <f t="shared" si="314"/>
        <v>-1.4096237386210984</v>
      </c>
      <c r="CK131" t="str">
        <f t="shared" si="324"/>
        <v>42 Secretarial and related occupations</v>
      </c>
      <c r="CL131" s="68">
        <f t="shared" si="315"/>
        <v>1.8650032205866085E-2</v>
      </c>
      <c r="CM131" s="68">
        <f t="shared" si="315"/>
        <v>-3.4553714288274695E-2</v>
      </c>
      <c r="CN131" s="68">
        <f t="shared" si="315"/>
        <v>2.9654145262467624E-2</v>
      </c>
      <c r="CO131" s="68">
        <f t="shared" si="315"/>
        <v>-4.3470254470281466E-2</v>
      </c>
      <c r="CP131" s="68">
        <f t="shared" si="316"/>
        <v>-1.3816109207813843E-2</v>
      </c>
    </row>
    <row r="132" spans="1:94" x14ac:dyDescent="0.2">
      <c r="A132" t="str">
        <f t="shared" si="298"/>
        <v>51 Skilled agricultural and related trades</v>
      </c>
      <c r="B132" s="27">
        <f t="shared" si="299"/>
        <v>3.0679030181697351E-2</v>
      </c>
      <c r="C132" s="27">
        <f t="shared" si="299"/>
        <v>-2.9659061759519181E-2</v>
      </c>
      <c r="D132" s="27">
        <f t="shared" si="299"/>
        <v>3.1658701405982079E-3</v>
      </c>
      <c r="E132" s="27">
        <f t="shared" si="299"/>
        <v>5.7303434800419981E-3</v>
      </c>
      <c r="F132" s="27">
        <f t="shared" si="300"/>
        <v>8.8962136206402059E-3</v>
      </c>
      <c r="L132" t="str">
        <f t="shared" si="317"/>
        <v>51 Skilled agricultural and related trades</v>
      </c>
      <c r="M132" s="27">
        <f t="shared" si="301"/>
        <v>1.498771064318738E-2</v>
      </c>
      <c r="N132" s="27">
        <f t="shared" si="301"/>
        <v>-2.1781437427073475E-2</v>
      </c>
      <c r="O132" s="27">
        <f t="shared" si="301"/>
        <v>-2.7991491197455892E-3</v>
      </c>
      <c r="P132" s="27">
        <f t="shared" si="301"/>
        <v>3.6859509034796387E-2</v>
      </c>
      <c r="Q132" s="27">
        <f t="shared" si="302"/>
        <v>3.4060359915050797E-2</v>
      </c>
      <c r="W132" t="str">
        <f t="shared" si="318"/>
        <v>51 Skilled agricultural and related trades</v>
      </c>
      <c r="X132" s="27">
        <f t="shared" si="303"/>
        <v>0.1371442693228806</v>
      </c>
      <c r="Y132" s="27">
        <f t="shared" si="303"/>
        <v>0.41143482125727804</v>
      </c>
      <c r="Z132" s="27">
        <f t="shared" si="303"/>
        <v>0.14388526745985164</v>
      </c>
      <c r="AA132" s="27">
        <f t="shared" si="303"/>
        <v>0.64499923339590715</v>
      </c>
      <c r="AB132" s="27">
        <f t="shared" si="304"/>
        <v>0.78888450085575879</v>
      </c>
      <c r="AH132" t="str">
        <f t="shared" si="319"/>
        <v>51 Skilled agricultural and related trades</v>
      </c>
      <c r="AI132" s="27">
        <f t="shared" si="305"/>
        <v>4.3024531677775923E-2</v>
      </c>
      <c r="AJ132" s="27">
        <f t="shared" si="305"/>
        <v>3.4052205826360482E-2</v>
      </c>
      <c r="AK132" s="27">
        <f t="shared" si="305"/>
        <v>3.8734574800647348E-4</v>
      </c>
      <c r="AL132" s="27">
        <f t="shared" si="305"/>
        <v>0.11835336447498057</v>
      </c>
      <c r="AM132" s="27">
        <f t="shared" si="306"/>
        <v>0.11874071022298704</v>
      </c>
      <c r="AS132" t="str">
        <f t="shared" si="320"/>
        <v>51 Skilled agricultural and related trades</v>
      </c>
      <c r="AT132" s="27">
        <f t="shared" si="307"/>
        <v>-9.6841851776070409E-2</v>
      </c>
      <c r="AU132" s="27">
        <f t="shared" si="307"/>
        <v>0.24950056672545218</v>
      </c>
      <c r="AV132" s="27">
        <f t="shared" si="307"/>
        <v>-5.2407754609276047E-3</v>
      </c>
      <c r="AW132" s="27">
        <f t="shared" si="307"/>
        <v>0.23127890194362621</v>
      </c>
      <c r="AX132" s="27">
        <f t="shared" si="308"/>
        <v>0.22603812648269861</v>
      </c>
      <c r="BD132" t="str">
        <f t="shared" si="321"/>
        <v>51 Skilled agricultural and related trades</v>
      </c>
      <c r="BE132" s="27">
        <f t="shared" si="309"/>
        <v>4.5276745360980364E-3</v>
      </c>
      <c r="BF132" s="27">
        <f t="shared" si="309"/>
        <v>0.18875487678041325</v>
      </c>
      <c r="BG132" s="27">
        <f t="shared" si="309"/>
        <v>-0.18368795270344029</v>
      </c>
      <c r="BH132" s="27">
        <f t="shared" si="309"/>
        <v>-5.7597247677935837E-2</v>
      </c>
      <c r="BI132" s="27">
        <f t="shared" si="310"/>
        <v>-0.24128520038137613</v>
      </c>
      <c r="BO132" t="str">
        <f t="shared" si="322"/>
        <v>51 Skilled agricultural and related trades</v>
      </c>
      <c r="BP132" s="27">
        <f t="shared" si="311"/>
        <v>0.10715558432735994</v>
      </c>
      <c r="BQ132" s="27">
        <f t="shared" si="311"/>
        <v>0.18737853959618977</v>
      </c>
      <c r="BR132" s="27">
        <f t="shared" si="311"/>
        <v>-0.24189120357966631</v>
      </c>
      <c r="BS132" s="27">
        <f t="shared" si="311"/>
        <v>-0.15074902128578183</v>
      </c>
      <c r="BT132" s="27">
        <f t="shared" si="312"/>
        <v>-0.39264022486544814</v>
      </c>
      <c r="BZ132" t="str">
        <f t="shared" si="323"/>
        <v>51 Skilled agricultural and related trades</v>
      </c>
      <c r="CA132" s="68">
        <f t="shared" si="313"/>
        <v>-0.37603010012111082</v>
      </c>
      <c r="CB132" s="68">
        <f t="shared" si="313"/>
        <v>0.25434370008517893</v>
      </c>
      <c r="CC132" s="68">
        <f t="shared" si="313"/>
        <v>-0.45745715857689961</v>
      </c>
      <c r="CD132" s="68">
        <f t="shared" si="313"/>
        <v>-0.49997217936114402</v>
      </c>
      <c r="CE132" s="68">
        <f t="shared" si="314"/>
        <v>-0.95742933793804363</v>
      </c>
      <c r="CK132" t="str">
        <f t="shared" si="324"/>
        <v>51 Skilled agricultural and related trades</v>
      </c>
      <c r="CL132" s="68">
        <f t="shared" si="315"/>
        <v>-0.2070509507540943</v>
      </c>
      <c r="CM132" s="68">
        <f t="shared" si="315"/>
        <v>0.16914522312172231</v>
      </c>
      <c r="CN132" s="68">
        <f t="shared" si="315"/>
        <v>1.5348652717506628E-2</v>
      </c>
      <c r="CO132" s="68">
        <f t="shared" si="315"/>
        <v>-0.40411224921370448</v>
      </c>
      <c r="CP132" s="68">
        <f t="shared" si="316"/>
        <v>-0.38876359649619785</v>
      </c>
    </row>
    <row r="133" spans="1:94" x14ac:dyDescent="0.2">
      <c r="A133" t="str">
        <f t="shared" si="298"/>
        <v>52 Skilled metal, electrical and electronic trades</v>
      </c>
      <c r="B133" s="27">
        <f t="shared" si="299"/>
        <v>1.3172864183244593E-5</v>
      </c>
      <c r="C133" s="27">
        <f t="shared" si="299"/>
        <v>2.2169091200323933E-3</v>
      </c>
      <c r="D133" s="27">
        <f t="shared" si="299"/>
        <v>3.7516607456690755E-3</v>
      </c>
      <c r="E133" s="27">
        <f t="shared" si="299"/>
        <v>8.1555431369128156E-3</v>
      </c>
      <c r="F133" s="27">
        <f t="shared" si="300"/>
        <v>1.1907203882581891E-2</v>
      </c>
      <c r="L133" t="str">
        <f t="shared" si="317"/>
        <v>52 Skilled metal, electrical and electronic trades</v>
      </c>
      <c r="M133" s="27">
        <f t="shared" si="301"/>
        <v>6.5765243434969312E-2</v>
      </c>
      <c r="N133" s="27">
        <f t="shared" si="301"/>
        <v>-6.6107536504028452E-2</v>
      </c>
      <c r="O133" s="27">
        <f t="shared" si="301"/>
        <v>0.1139640239299135</v>
      </c>
      <c r="P133" s="27">
        <f t="shared" si="301"/>
        <v>0.20268797022817414</v>
      </c>
      <c r="Q133" s="27">
        <f t="shared" si="302"/>
        <v>0.31665199415808765</v>
      </c>
      <c r="W133" t="str">
        <f t="shared" si="318"/>
        <v>52 Skilled metal, electrical and electronic trades</v>
      </c>
      <c r="X133" s="27">
        <f t="shared" si="303"/>
        <v>-6.6746039958535897E-2</v>
      </c>
      <c r="Y133" s="27">
        <f t="shared" si="303"/>
        <v>3.0974401265255636E-2</v>
      </c>
      <c r="Z133" s="27">
        <f t="shared" si="303"/>
        <v>0.13092947227317886</v>
      </c>
      <c r="AA133" s="27">
        <f t="shared" si="303"/>
        <v>0.2697682973829123</v>
      </c>
      <c r="AB133" s="27">
        <f t="shared" si="304"/>
        <v>0.40069776965609116</v>
      </c>
      <c r="AH133" t="str">
        <f t="shared" si="319"/>
        <v>52 Skilled metal, electrical and electronic trades</v>
      </c>
      <c r="AI133" s="27">
        <f t="shared" si="305"/>
        <v>-6.4059562968227013E-2</v>
      </c>
      <c r="AJ133" s="27">
        <f t="shared" si="305"/>
        <v>4.0235802805990484E-2</v>
      </c>
      <c r="AK133" s="27">
        <f t="shared" si="305"/>
        <v>3.6939247475489601E-2</v>
      </c>
      <c r="AL133" s="27">
        <f t="shared" si="305"/>
        <v>0.10825779486254372</v>
      </c>
      <c r="AM133" s="27">
        <f t="shared" si="306"/>
        <v>0.14519704233803332</v>
      </c>
      <c r="AS133" t="str">
        <f t="shared" si="320"/>
        <v>52 Skilled metal, electrical and electronic trades</v>
      </c>
      <c r="AT133" s="27">
        <f t="shared" si="307"/>
        <v>-0.29214730242506648</v>
      </c>
      <c r="AU133" s="27">
        <f t="shared" si="307"/>
        <v>9.4792090431121689E-2</v>
      </c>
      <c r="AV133" s="27">
        <f t="shared" si="307"/>
        <v>4.624794849574787E-3</v>
      </c>
      <c r="AW133" s="27">
        <f t="shared" si="307"/>
        <v>0.19025808248697262</v>
      </c>
      <c r="AX133" s="27">
        <f t="shared" si="308"/>
        <v>0.19488287733654741</v>
      </c>
      <c r="BD133" t="str">
        <f t="shared" si="321"/>
        <v>52 Skilled metal, electrical and electronic trades</v>
      </c>
      <c r="BE133" s="27">
        <f t="shared" si="309"/>
        <v>0.41170527892586684</v>
      </c>
      <c r="BF133" s="27">
        <f t="shared" si="309"/>
        <v>-1.4425308230052085</v>
      </c>
      <c r="BG133" s="27">
        <f t="shared" si="309"/>
        <v>-2.4344817336702462E-2</v>
      </c>
      <c r="BH133" s="27">
        <f t="shared" si="309"/>
        <v>-0.3215829616525836</v>
      </c>
      <c r="BI133" s="27">
        <f t="shared" si="310"/>
        <v>-0.34592777898928606</v>
      </c>
      <c r="BO133" t="str">
        <f t="shared" si="322"/>
        <v>52 Skilled metal, electrical and electronic trades</v>
      </c>
      <c r="BP133" s="27">
        <f t="shared" si="311"/>
        <v>-0.16952996127046482</v>
      </c>
      <c r="BQ133" s="27">
        <f t="shared" si="311"/>
        <v>-0.68735990540905334</v>
      </c>
      <c r="BR133" s="27">
        <f t="shared" si="311"/>
        <v>-0.4209311753483127</v>
      </c>
      <c r="BS133" s="27">
        <f t="shared" si="311"/>
        <v>-0.73601552986564656</v>
      </c>
      <c r="BT133" s="27">
        <f t="shared" si="312"/>
        <v>-1.1569467052139593</v>
      </c>
      <c r="BZ133" t="str">
        <f t="shared" si="323"/>
        <v>52 Skilled metal, electrical and electronic trades</v>
      </c>
      <c r="CA133" s="68">
        <f t="shared" si="313"/>
        <v>-0.46622160772880505</v>
      </c>
      <c r="CB133" s="68">
        <f t="shared" si="313"/>
        <v>-0.17427487480476289</v>
      </c>
      <c r="CC133" s="68">
        <f t="shared" si="313"/>
        <v>-0.47097407184554907</v>
      </c>
      <c r="CD133" s="68">
        <f t="shared" si="313"/>
        <v>-0.7786941073949436</v>
      </c>
      <c r="CE133" s="68">
        <f t="shared" si="314"/>
        <v>-1.2496681792404927</v>
      </c>
      <c r="CK133" t="str">
        <f t="shared" si="324"/>
        <v>52 Skilled metal, electrical and electronic trades</v>
      </c>
      <c r="CL133" s="68">
        <f t="shared" si="315"/>
        <v>2.2612550598116732E-2</v>
      </c>
      <c r="CM133" s="68">
        <f t="shared" si="315"/>
        <v>-0.15478990663694614</v>
      </c>
      <c r="CN133" s="68">
        <f t="shared" si="315"/>
        <v>3.791375854665191E-2</v>
      </c>
      <c r="CO133" s="68">
        <f t="shared" si="315"/>
        <v>-0.22368339851370067</v>
      </c>
      <c r="CP133" s="68">
        <f t="shared" si="316"/>
        <v>-0.18576963996704876</v>
      </c>
    </row>
    <row r="134" spans="1:94" x14ac:dyDescent="0.2">
      <c r="A134" t="str">
        <f t="shared" si="298"/>
        <v>53 Skilled construction and building trades</v>
      </c>
      <c r="B134" s="27">
        <f t="shared" si="299"/>
        <v>-2.3485183074236039E-3</v>
      </c>
      <c r="C134" s="27">
        <f t="shared" si="299"/>
        <v>-8.8764120302880622E-4</v>
      </c>
      <c r="D134" s="27">
        <f t="shared" si="299"/>
        <v>1.767389143151929E-3</v>
      </c>
      <c r="E134" s="27">
        <f t="shared" si="299"/>
        <v>1.4296700154830567E-4</v>
      </c>
      <c r="F134" s="27">
        <f t="shared" si="300"/>
        <v>1.9103561447002346E-3</v>
      </c>
      <c r="L134" t="str">
        <f t="shared" si="317"/>
        <v>53 Skilled construction and building trades</v>
      </c>
      <c r="M134" s="27">
        <f t="shared" si="301"/>
        <v>4.4591950017052323E-3</v>
      </c>
      <c r="N134" s="27">
        <f t="shared" si="301"/>
        <v>-2.0725399005091072E-2</v>
      </c>
      <c r="O134" s="27">
        <f t="shared" si="301"/>
        <v>2.3697792905984782E-2</v>
      </c>
      <c r="P134" s="27">
        <f t="shared" si="301"/>
        <v>2.9587026529322741E-2</v>
      </c>
      <c r="Q134" s="27">
        <f t="shared" si="302"/>
        <v>5.3284819435307523E-2</v>
      </c>
      <c r="W134" t="str">
        <f t="shared" si="318"/>
        <v>53 Skilled construction and building trades</v>
      </c>
      <c r="X134" s="27">
        <f t="shared" si="303"/>
        <v>-0.11799500983417838</v>
      </c>
      <c r="Y134" s="27">
        <f t="shared" si="303"/>
        <v>1.2678014896471079E-2</v>
      </c>
      <c r="Z134" s="27">
        <f t="shared" si="303"/>
        <v>4.9522210750168327E-2</v>
      </c>
      <c r="AA134" s="27">
        <f t="shared" si="303"/>
        <v>7.8955977090916452E-2</v>
      </c>
      <c r="AB134" s="27">
        <f t="shared" si="304"/>
        <v>0.12847818784108478</v>
      </c>
      <c r="AH134" t="str">
        <f t="shared" si="319"/>
        <v>53 Skilled construction and building trades</v>
      </c>
      <c r="AI134" s="27">
        <f t="shared" si="305"/>
        <v>-2.4278519706984858E-2</v>
      </c>
      <c r="AJ134" s="27">
        <f t="shared" si="305"/>
        <v>4.8887341459457057E-3</v>
      </c>
      <c r="AK134" s="27">
        <f t="shared" si="305"/>
        <v>3.0135967632882343E-2</v>
      </c>
      <c r="AL134" s="27">
        <f t="shared" si="305"/>
        <v>5.4525137978157556E-2</v>
      </c>
      <c r="AM134" s="27">
        <f t="shared" si="306"/>
        <v>8.46611056110399E-2</v>
      </c>
      <c r="AS134" t="str">
        <f t="shared" si="320"/>
        <v>53 Skilled construction and building trades</v>
      </c>
      <c r="AT134" s="27">
        <f t="shared" si="307"/>
        <v>-7.3026592172527438E-2</v>
      </c>
      <c r="AU134" s="27">
        <f t="shared" si="307"/>
        <v>-6.5416335991881902E-3</v>
      </c>
      <c r="AV134" s="27">
        <f t="shared" si="307"/>
        <v>4.6584079619766738E-2</v>
      </c>
      <c r="AW134" s="27">
        <f t="shared" si="307"/>
        <v>5.2840210447710589E-2</v>
      </c>
      <c r="AX134" s="27">
        <f t="shared" si="308"/>
        <v>9.9424290067477328E-2</v>
      </c>
      <c r="BD134" t="str">
        <f t="shared" si="321"/>
        <v>53 Skilled construction and building trades</v>
      </c>
      <c r="BE134" s="27">
        <f t="shared" si="309"/>
        <v>-0.22223424325149654</v>
      </c>
      <c r="BF134" s="27">
        <f t="shared" si="309"/>
        <v>-1.0053900035539503</v>
      </c>
      <c r="BG134" s="27">
        <f t="shared" si="309"/>
        <v>-0.12161748311455867</v>
      </c>
      <c r="BH134" s="27">
        <f t="shared" si="309"/>
        <v>-0.46712288970760873</v>
      </c>
      <c r="BI134" s="27">
        <f t="shared" si="310"/>
        <v>-0.5887403728221674</v>
      </c>
      <c r="BO134" t="str">
        <f t="shared" si="322"/>
        <v>53 Skilled construction and building trades</v>
      </c>
      <c r="BP134" s="27">
        <f t="shared" si="311"/>
        <v>6.1560965809932533E-2</v>
      </c>
      <c r="BQ134" s="27">
        <f t="shared" si="311"/>
        <v>-0.87982452511096598</v>
      </c>
      <c r="BR134" s="27">
        <f t="shared" si="311"/>
        <v>-8.0600424339749566E-2</v>
      </c>
      <c r="BS134" s="27">
        <f t="shared" si="311"/>
        <v>-0.3134694092978787</v>
      </c>
      <c r="BT134" s="27">
        <f t="shared" si="312"/>
        <v>-0.39406983363762826</v>
      </c>
      <c r="BZ134" t="str">
        <f t="shared" si="323"/>
        <v>53 Skilled construction and building trades</v>
      </c>
      <c r="CA134" s="68">
        <f t="shared" si="313"/>
        <v>-0.33707031050148251</v>
      </c>
      <c r="CB134" s="68">
        <f t="shared" si="313"/>
        <v>-0.30071968282571282</v>
      </c>
      <c r="CC134" s="68">
        <f t="shared" si="313"/>
        <v>-0.30681384989352001</v>
      </c>
      <c r="CD134" s="68">
        <f t="shared" si="313"/>
        <v>-0.48332448759971602</v>
      </c>
      <c r="CE134" s="68">
        <f t="shared" si="314"/>
        <v>-0.79013833749323603</v>
      </c>
      <c r="CK134" t="str">
        <f t="shared" si="324"/>
        <v>53 Skilled construction and building trades</v>
      </c>
      <c r="CL134" s="68">
        <f t="shared" si="315"/>
        <v>-0.1033934697168537</v>
      </c>
      <c r="CM134" s="68">
        <f t="shared" si="315"/>
        <v>-0.29731246685986756</v>
      </c>
      <c r="CN134" s="68">
        <f t="shared" si="315"/>
        <v>-7.7663448826910342E-2</v>
      </c>
      <c r="CO134" s="68">
        <f t="shared" si="315"/>
        <v>-0.47167599887204692</v>
      </c>
      <c r="CP134" s="68">
        <f t="shared" si="316"/>
        <v>-0.54933944769895726</v>
      </c>
    </row>
    <row r="135" spans="1:94" x14ac:dyDescent="0.2">
      <c r="A135" t="str">
        <f t="shared" si="298"/>
        <v>54 Textiles, printing and other skilled trades</v>
      </c>
      <c r="B135" s="27">
        <f t="shared" si="299"/>
        <v>1.9689391048230351E-3</v>
      </c>
      <c r="C135" s="27">
        <f t="shared" si="299"/>
        <v>-4.4246362494688267E-3</v>
      </c>
      <c r="D135" s="27">
        <f t="shared" si="299"/>
        <v>1.2947117879114355E-2</v>
      </c>
      <c r="E135" s="27">
        <f t="shared" si="299"/>
        <v>1.6904207783476712E-2</v>
      </c>
      <c r="F135" s="27">
        <f t="shared" si="300"/>
        <v>2.9851325662591067E-2</v>
      </c>
      <c r="L135" t="str">
        <f t="shared" si="317"/>
        <v>54 Textiles, printing and other skilled trades</v>
      </c>
      <c r="M135" s="27">
        <f t="shared" si="301"/>
        <v>0.11763831738679592</v>
      </c>
      <c r="N135" s="27">
        <f t="shared" si="301"/>
        <v>-7.3692302185052738E-2</v>
      </c>
      <c r="O135" s="27">
        <f t="shared" si="301"/>
        <v>7.2261230979174806E-2</v>
      </c>
      <c r="P135" s="27">
        <f t="shared" si="301"/>
        <v>0.15270472146924868</v>
      </c>
      <c r="Q135" s="27">
        <f t="shared" si="302"/>
        <v>0.22496595244842349</v>
      </c>
      <c r="W135" t="str">
        <f t="shared" si="318"/>
        <v>54 Textiles, printing and other skilled trades</v>
      </c>
      <c r="X135" s="27">
        <f t="shared" si="303"/>
        <v>-3.1733530249780317E-2</v>
      </c>
      <c r="Y135" s="27">
        <f t="shared" si="303"/>
        <v>-1.3087125127139276E-2</v>
      </c>
      <c r="Z135" s="27">
        <f t="shared" si="303"/>
        <v>0.15262218535489036</v>
      </c>
      <c r="AA135" s="27">
        <f t="shared" si="303"/>
        <v>0.23701025981375501</v>
      </c>
      <c r="AB135" s="27">
        <f t="shared" si="304"/>
        <v>0.38963244516864537</v>
      </c>
      <c r="AH135" t="str">
        <f t="shared" si="319"/>
        <v>54 Textiles, printing and other skilled trades</v>
      </c>
      <c r="AI135" s="27">
        <f t="shared" si="305"/>
        <v>-3.7903732620652109E-2</v>
      </c>
      <c r="AJ135" s="27">
        <f t="shared" si="305"/>
        <v>2.8910148864301155E-2</v>
      </c>
      <c r="AK135" s="27">
        <f t="shared" si="305"/>
        <v>3.802308372542712E-2</v>
      </c>
      <c r="AL135" s="27">
        <f t="shared" si="305"/>
        <v>0.1128484864789398</v>
      </c>
      <c r="AM135" s="27">
        <f t="shared" si="306"/>
        <v>0.15087157020436692</v>
      </c>
      <c r="AS135" t="str">
        <f t="shared" si="320"/>
        <v>54 Textiles, printing and other skilled trades</v>
      </c>
      <c r="AT135" s="27">
        <f t="shared" si="307"/>
        <v>-2.7526596022420524E-2</v>
      </c>
      <c r="AU135" s="27">
        <f t="shared" si="307"/>
        <v>4.8750518887805128E-3</v>
      </c>
      <c r="AV135" s="27">
        <f t="shared" si="307"/>
        <v>5.5467549494924773E-2</v>
      </c>
      <c r="AW135" s="27">
        <f t="shared" si="307"/>
        <v>9.2051925777340504E-2</v>
      </c>
      <c r="AX135" s="27">
        <f t="shared" si="308"/>
        <v>0.14751947527226528</v>
      </c>
      <c r="BD135" t="str">
        <f t="shared" si="321"/>
        <v>54 Textiles, printing and other skilled trades</v>
      </c>
      <c r="BE135" s="27">
        <f t="shared" si="309"/>
        <v>-0.19636642168061202</v>
      </c>
      <c r="BF135" s="27">
        <f t="shared" si="309"/>
        <v>-0.11708096209136154</v>
      </c>
      <c r="BG135" s="27">
        <f t="shared" si="309"/>
        <v>7.5531231494289974E-2</v>
      </c>
      <c r="BH135" s="27">
        <f t="shared" si="309"/>
        <v>-0.11105031262441001</v>
      </c>
      <c r="BI135" s="27">
        <f t="shared" si="310"/>
        <v>-3.5519081130120034E-2</v>
      </c>
      <c r="BO135" t="str">
        <f t="shared" si="322"/>
        <v>54 Textiles, printing and other skilled trades</v>
      </c>
      <c r="BP135" s="27">
        <f t="shared" si="311"/>
        <v>-0.59229129604295006</v>
      </c>
      <c r="BQ135" s="27">
        <f t="shared" si="311"/>
        <v>-9.6719977588733297E-2</v>
      </c>
      <c r="BR135" s="27">
        <f t="shared" si="311"/>
        <v>-0.21457926323078969</v>
      </c>
      <c r="BS135" s="27">
        <f t="shared" si="311"/>
        <v>-0.41071459263628518</v>
      </c>
      <c r="BT135" s="27">
        <f t="shared" si="312"/>
        <v>-0.62529385586707487</v>
      </c>
      <c r="BZ135" t="str">
        <f t="shared" si="323"/>
        <v>54 Textiles, printing and other skilled trades</v>
      </c>
      <c r="CA135" s="68">
        <f t="shared" si="313"/>
        <v>-0.66741328093636731</v>
      </c>
      <c r="CB135" s="68">
        <f t="shared" si="313"/>
        <v>6.1375601986014328E-2</v>
      </c>
      <c r="CC135" s="68">
        <f t="shared" si="313"/>
        <v>-6.6367023164717764E-2</v>
      </c>
      <c r="CD135" s="68">
        <f t="shared" si="313"/>
        <v>-0.52942813539836742</v>
      </c>
      <c r="CE135" s="68">
        <f t="shared" si="314"/>
        <v>-0.59579515856308518</v>
      </c>
      <c r="CK135" t="str">
        <f t="shared" si="324"/>
        <v>54 Textiles, printing and other skilled trades</v>
      </c>
      <c r="CL135" s="68">
        <f t="shared" si="315"/>
        <v>-0.18578563122924197</v>
      </c>
      <c r="CM135" s="68">
        <f t="shared" si="315"/>
        <v>-8.7021778111637249E-2</v>
      </c>
      <c r="CN135" s="68">
        <f t="shared" si="315"/>
        <v>-0.11734428196435698</v>
      </c>
      <c r="CO135" s="68">
        <f t="shared" si="315"/>
        <v>-0.23993582004748826</v>
      </c>
      <c r="CP135" s="68">
        <f t="shared" si="316"/>
        <v>-0.35728010201184524</v>
      </c>
    </row>
    <row r="136" spans="1:94" x14ac:dyDescent="0.2">
      <c r="A136" t="str">
        <f t="shared" si="298"/>
        <v>61 Caring personal service occupations</v>
      </c>
      <c r="B136" s="27">
        <f t="shared" si="299"/>
        <v>7.7230199055230604E-3</v>
      </c>
      <c r="C136" s="27">
        <f t="shared" si="299"/>
        <v>-6.7137904451737597E-3</v>
      </c>
      <c r="D136" s="27">
        <f t="shared" si="299"/>
        <v>1.2208381224918446E-2</v>
      </c>
      <c r="E136" s="27">
        <f t="shared" si="299"/>
        <v>1.8233117367132068E-2</v>
      </c>
      <c r="F136" s="27">
        <f t="shared" si="300"/>
        <v>3.0441498592050514E-2</v>
      </c>
      <c r="L136" t="str">
        <f t="shared" si="317"/>
        <v>61 Caring personal service occupations</v>
      </c>
      <c r="M136" s="27">
        <f t="shared" si="301"/>
        <v>0.61126776247435144</v>
      </c>
      <c r="N136" s="27">
        <f t="shared" si="301"/>
        <v>-0.35657362538547588</v>
      </c>
      <c r="O136" s="27">
        <f t="shared" si="301"/>
        <v>0.6286448117435357</v>
      </c>
      <c r="P136" s="27">
        <f t="shared" si="301"/>
        <v>0.97015555245008001</v>
      </c>
      <c r="Q136" s="27">
        <f t="shared" si="302"/>
        <v>1.5988003641936157</v>
      </c>
      <c r="W136" t="str">
        <f t="shared" si="318"/>
        <v>61 Caring personal service occupations</v>
      </c>
      <c r="X136" s="27">
        <f t="shared" si="303"/>
        <v>0.55924950262380069</v>
      </c>
      <c r="Y136" s="27">
        <f t="shared" si="303"/>
        <v>-8.9855661780993579E-2</v>
      </c>
      <c r="Z136" s="27">
        <f t="shared" si="303"/>
        <v>1.1759232633735053</v>
      </c>
      <c r="AA136" s="27">
        <f t="shared" si="303"/>
        <v>2.0037671185694386</v>
      </c>
      <c r="AB136" s="27">
        <f t="shared" si="304"/>
        <v>3.1796903819429438</v>
      </c>
      <c r="AH136" t="str">
        <f t="shared" si="319"/>
        <v>61 Caring personal service occupations</v>
      </c>
      <c r="AI136" s="27">
        <f t="shared" si="305"/>
        <v>-8.6661140267285219E-2</v>
      </c>
      <c r="AJ136" s="27">
        <f t="shared" si="305"/>
        <v>-0.16000449319108334</v>
      </c>
      <c r="AK136" s="27">
        <f t="shared" si="305"/>
        <v>0.17921743319436345</v>
      </c>
      <c r="AL136" s="27">
        <f t="shared" si="305"/>
        <v>0.3629944817473687</v>
      </c>
      <c r="AM136" s="27">
        <f t="shared" si="306"/>
        <v>0.54221191494173215</v>
      </c>
      <c r="AS136" t="str">
        <f t="shared" si="320"/>
        <v>61 Caring personal service occupations</v>
      </c>
      <c r="AT136" s="27">
        <f t="shared" si="307"/>
        <v>0.20847568783530646</v>
      </c>
      <c r="AU136" s="27">
        <f t="shared" si="307"/>
        <v>-0.12624270767446699</v>
      </c>
      <c r="AV136" s="27">
        <f t="shared" si="307"/>
        <v>0.17932506531635273</v>
      </c>
      <c r="AW136" s="27">
        <f t="shared" si="307"/>
        <v>0.39763591311440427</v>
      </c>
      <c r="AX136" s="27">
        <f t="shared" si="308"/>
        <v>0.576960978430757</v>
      </c>
      <c r="BD136" t="str">
        <f t="shared" si="321"/>
        <v>61 Caring personal service occupations</v>
      </c>
      <c r="BE136" s="27">
        <f t="shared" si="309"/>
        <v>1.7941309603562896</v>
      </c>
      <c r="BF136" s="27">
        <f t="shared" si="309"/>
        <v>0.11132648824628077</v>
      </c>
      <c r="BG136" s="27">
        <f t="shared" si="309"/>
        <v>0.80199403770578925</v>
      </c>
      <c r="BH136" s="27">
        <f t="shared" si="309"/>
        <v>2.0113219068792496</v>
      </c>
      <c r="BI136" s="27">
        <f t="shared" si="310"/>
        <v>2.8133159445850389</v>
      </c>
      <c r="BO136" t="str">
        <f t="shared" si="322"/>
        <v>61 Caring personal service occupations</v>
      </c>
      <c r="BP136" s="27">
        <f t="shared" si="311"/>
        <v>-0.32421040969755133</v>
      </c>
      <c r="BQ136" s="27">
        <f t="shared" si="311"/>
        <v>-0.62611606543407561</v>
      </c>
      <c r="BR136" s="27">
        <f t="shared" si="311"/>
        <v>-1.0123526326072021</v>
      </c>
      <c r="BS136" s="27">
        <f t="shared" si="311"/>
        <v>-2.4103155775931562</v>
      </c>
      <c r="BT136" s="27">
        <f t="shared" si="312"/>
        <v>-3.4226682102003583</v>
      </c>
      <c r="BZ136" t="str">
        <f t="shared" si="323"/>
        <v>61 Caring personal service occupations</v>
      </c>
      <c r="CA136" s="68">
        <f t="shared" si="313"/>
        <v>-2.1050794322602027</v>
      </c>
      <c r="CB136" s="68">
        <f t="shared" si="313"/>
        <v>-0.10031252729729401</v>
      </c>
      <c r="CC136" s="68">
        <f t="shared" si="313"/>
        <v>-0.55587391256217944</v>
      </c>
      <c r="CD136" s="68">
        <f t="shared" si="313"/>
        <v>-0.3461601557133599</v>
      </c>
      <c r="CE136" s="68">
        <f t="shared" si="314"/>
        <v>-0.90203406827553934</v>
      </c>
      <c r="CK136" t="str">
        <f t="shared" si="324"/>
        <v>61 Caring personal service occupations</v>
      </c>
      <c r="CL136" s="68">
        <f t="shared" si="315"/>
        <v>-3.5210154656891646E-2</v>
      </c>
      <c r="CM136" s="68">
        <f t="shared" si="315"/>
        <v>-4.649435590805473E-2</v>
      </c>
      <c r="CN136" s="68">
        <f t="shared" si="315"/>
        <v>0.14076277615895333</v>
      </c>
      <c r="CO136" s="68">
        <f t="shared" si="315"/>
        <v>5.5879956982375856E-2</v>
      </c>
      <c r="CP136" s="68">
        <f t="shared" si="316"/>
        <v>0.19664273314132918</v>
      </c>
    </row>
    <row r="137" spans="1:94" x14ac:dyDescent="0.2">
      <c r="A137" t="str">
        <f t="shared" si="298"/>
        <v>62 Leisure, travel and related personal service occupations</v>
      </c>
      <c r="B137" s="27">
        <f t="shared" si="299"/>
        <v>7.7371962979141118E-3</v>
      </c>
      <c r="C137" s="27">
        <f t="shared" si="299"/>
        <v>-6.1744319012402779E-3</v>
      </c>
      <c r="D137" s="27">
        <f t="shared" si="299"/>
        <v>3.3265782421631161E-3</v>
      </c>
      <c r="E137" s="27">
        <f t="shared" si="299"/>
        <v>8.2436672491148395E-3</v>
      </c>
      <c r="F137" s="27">
        <f t="shared" si="300"/>
        <v>1.1570245491277956E-2</v>
      </c>
      <c r="L137" t="str">
        <f t="shared" si="317"/>
        <v>62 Leisure, travel and related personal service occupations</v>
      </c>
      <c r="M137" s="27">
        <f t="shared" si="301"/>
        <v>0.15100941132735518</v>
      </c>
      <c r="N137" s="27">
        <f t="shared" si="301"/>
        <v>-8.4458041804009953E-2</v>
      </c>
      <c r="O137" s="27">
        <f t="shared" si="301"/>
        <v>3.5692018713098905E-2</v>
      </c>
      <c r="P137" s="27">
        <f t="shared" si="301"/>
        <v>0.10008974890739897</v>
      </c>
      <c r="Q137" s="27">
        <f t="shared" si="302"/>
        <v>0.13578176762049787</v>
      </c>
      <c r="W137" t="str">
        <f t="shared" si="318"/>
        <v>62 Leisure, travel and related personal service occupations</v>
      </c>
      <c r="X137" s="27">
        <f t="shared" si="303"/>
        <v>0.33876559693435682</v>
      </c>
      <c r="Y137" s="27">
        <f t="shared" si="303"/>
        <v>-7.795113312504931E-3</v>
      </c>
      <c r="Z137" s="27">
        <f t="shared" si="303"/>
        <v>0.18770618495513136</v>
      </c>
      <c r="AA137" s="27">
        <f t="shared" si="303"/>
        <v>0.577877408559204</v>
      </c>
      <c r="AB137" s="27">
        <f t="shared" si="304"/>
        <v>0.76558359351433536</v>
      </c>
      <c r="AH137" t="str">
        <f t="shared" si="319"/>
        <v>62 Leisure, travel and related personal service occupations</v>
      </c>
      <c r="AI137" s="27">
        <f t="shared" si="305"/>
        <v>0.27113816168915339</v>
      </c>
      <c r="AJ137" s="27">
        <f t="shared" si="305"/>
        <v>-1.9787698869361825E-2</v>
      </c>
      <c r="AK137" s="27">
        <f t="shared" si="305"/>
        <v>5.8287688768719925E-2</v>
      </c>
      <c r="AL137" s="27">
        <f t="shared" si="305"/>
        <v>0.35477230799319059</v>
      </c>
      <c r="AM137" s="27">
        <f t="shared" si="306"/>
        <v>0.41305999676191052</v>
      </c>
      <c r="AS137" t="str">
        <f t="shared" si="320"/>
        <v>62 Leisure, travel and related personal service occupations</v>
      </c>
      <c r="AT137" s="27">
        <f t="shared" si="307"/>
        <v>0.31615198264076327</v>
      </c>
      <c r="AU137" s="27">
        <f t="shared" si="307"/>
        <v>9.528631803607801E-2</v>
      </c>
      <c r="AV137" s="27">
        <f t="shared" si="307"/>
        <v>9.2424482777149874E-2</v>
      </c>
      <c r="AW137" s="27">
        <f t="shared" si="307"/>
        <v>0.56773193432314217</v>
      </c>
      <c r="AX137" s="27">
        <f t="shared" si="308"/>
        <v>0.66015641710029205</v>
      </c>
      <c r="BD137" t="str">
        <f t="shared" si="321"/>
        <v>62 Leisure, travel and related personal service occupations</v>
      </c>
      <c r="BE137" s="27">
        <f t="shared" si="309"/>
        <v>0.80922408982563043</v>
      </c>
      <c r="BF137" s="27">
        <f t="shared" si="309"/>
        <v>-4.2990016229862871E-2</v>
      </c>
      <c r="BG137" s="27">
        <f t="shared" si="309"/>
        <v>-0.48009483010488019</v>
      </c>
      <c r="BH137" s="27">
        <f t="shared" si="309"/>
        <v>-0.22188739298343618</v>
      </c>
      <c r="BI137" s="27">
        <f t="shared" si="310"/>
        <v>-0.70198222308831637</v>
      </c>
      <c r="BO137" t="str">
        <f t="shared" si="322"/>
        <v>62 Leisure, travel and related personal service occupations</v>
      </c>
      <c r="BP137" s="27">
        <f t="shared" si="311"/>
        <v>0.6927555768999345</v>
      </c>
      <c r="BQ137" s="27">
        <f t="shared" si="311"/>
        <v>-0.16218338436658986</v>
      </c>
      <c r="BR137" s="27">
        <f t="shared" si="311"/>
        <v>-0.75923658557141316</v>
      </c>
      <c r="BS137" s="27">
        <f t="shared" si="311"/>
        <v>-0.58944549613954633</v>
      </c>
      <c r="BT137" s="27">
        <f t="shared" si="312"/>
        <v>-1.3486820817109595</v>
      </c>
      <c r="BZ137" t="str">
        <f t="shared" si="323"/>
        <v>62 Leisure, travel and related personal service occupations</v>
      </c>
      <c r="CA137" s="68">
        <f t="shared" si="313"/>
        <v>0.20736263220093143</v>
      </c>
      <c r="CB137" s="68">
        <f t="shared" si="313"/>
        <v>-5.8765042324627981E-2</v>
      </c>
      <c r="CC137" s="68">
        <f t="shared" si="313"/>
        <v>-4.2610771191061492E-2</v>
      </c>
      <c r="CD137" s="68">
        <f t="shared" si="313"/>
        <v>-0.53671450264129361</v>
      </c>
      <c r="CE137" s="68">
        <f t="shared" si="314"/>
        <v>-0.5793252738323551</v>
      </c>
      <c r="CK137" t="str">
        <f t="shared" si="324"/>
        <v>62 Leisure, travel and related personal service occupations</v>
      </c>
      <c r="CL137" s="68">
        <f t="shared" si="315"/>
        <v>-2.748692524213725E-4</v>
      </c>
      <c r="CM137" s="68">
        <f t="shared" si="315"/>
        <v>-0.13017904524345508</v>
      </c>
      <c r="CN137" s="68">
        <f t="shared" si="315"/>
        <v>-0.12315920172490047</v>
      </c>
      <c r="CO137" s="68">
        <f t="shared" si="315"/>
        <v>-0.1849436176248645</v>
      </c>
      <c r="CP137" s="68">
        <f t="shared" si="316"/>
        <v>-0.30810281934976497</v>
      </c>
    </row>
    <row r="138" spans="1:94" x14ac:dyDescent="0.2">
      <c r="A138" t="str">
        <f t="shared" si="298"/>
        <v>63 Community and civil enforcement occupations</v>
      </c>
      <c r="B138" s="27">
        <f t="shared" si="299"/>
        <v>4.3980624364961659E-4</v>
      </c>
      <c r="C138" s="27">
        <f t="shared" si="299"/>
        <v>-3.5110378807031209E-4</v>
      </c>
      <c r="D138" s="27">
        <f t="shared" si="299"/>
        <v>5.3382566172773091E-4</v>
      </c>
      <c r="E138" s="27">
        <f t="shared" si="299"/>
        <v>6.9280947828216665E-4</v>
      </c>
      <c r="F138" s="27">
        <f t="shared" si="300"/>
        <v>1.2266351400098976E-3</v>
      </c>
      <c r="L138" t="str">
        <f t="shared" si="317"/>
        <v>63 Community and civil enforcement occupations</v>
      </c>
      <c r="M138" s="27">
        <f t="shared" si="301"/>
        <v>1.114328694204976E-3</v>
      </c>
      <c r="N138" s="27">
        <f t="shared" si="301"/>
        <v>1.0864970053253396E-3</v>
      </c>
      <c r="O138" s="27">
        <f t="shared" si="301"/>
        <v>1.1454421825306468E-3</v>
      </c>
      <c r="P138" s="27">
        <f t="shared" si="301"/>
        <v>9.3857367563196827E-3</v>
      </c>
      <c r="Q138" s="27">
        <f t="shared" si="302"/>
        <v>1.0531178938850329E-2</v>
      </c>
      <c r="W138" t="str">
        <f t="shared" si="318"/>
        <v>63 Community and civil enforcement occupations</v>
      </c>
      <c r="X138" s="27">
        <f t="shared" si="303"/>
        <v>-3.6060766141077921E-3</v>
      </c>
      <c r="Y138" s="27">
        <f t="shared" si="303"/>
        <v>1.2305032813321959E-2</v>
      </c>
      <c r="Z138" s="27">
        <f t="shared" si="303"/>
        <v>2.2453025615318395E-3</v>
      </c>
      <c r="AA138" s="27">
        <f t="shared" si="303"/>
        <v>3.0933020521007562E-2</v>
      </c>
      <c r="AB138" s="27">
        <f t="shared" si="304"/>
        <v>3.3178323082539402E-2</v>
      </c>
      <c r="AH138" t="str">
        <f t="shared" si="319"/>
        <v>63 Community and civil enforcement occupations</v>
      </c>
      <c r="AI138" s="27">
        <f t="shared" si="305"/>
        <v>-3.2349987183257489E-3</v>
      </c>
      <c r="AJ138" s="27">
        <f t="shared" si="305"/>
        <v>7.6300717180043179E-3</v>
      </c>
      <c r="AK138" s="27">
        <f t="shared" si="305"/>
        <v>-4.4369137899410716E-3</v>
      </c>
      <c r="AL138" s="27">
        <f t="shared" si="305"/>
        <v>7.6604094111060103E-3</v>
      </c>
      <c r="AM138" s="27">
        <f t="shared" si="306"/>
        <v>3.2234956211649388E-3</v>
      </c>
      <c r="AS138" t="str">
        <f t="shared" si="320"/>
        <v>63 Community and civil enforcement occupations</v>
      </c>
      <c r="AT138" s="27">
        <f t="shared" si="307"/>
        <v>-4.733374122196668E-3</v>
      </c>
      <c r="AU138" s="27">
        <f t="shared" si="307"/>
        <v>5.2689446860128518E-3</v>
      </c>
      <c r="AV138" s="27">
        <f t="shared" si="307"/>
        <v>-5.6906700016348503E-3</v>
      </c>
      <c r="AW138" s="27">
        <f t="shared" si="307"/>
        <v>2.6465532396394431E-3</v>
      </c>
      <c r="AX138" s="27">
        <f t="shared" si="308"/>
        <v>-3.0441167619954072E-3</v>
      </c>
      <c r="BD138" t="str">
        <f t="shared" si="321"/>
        <v>63 Community and civil enforcement occupations</v>
      </c>
      <c r="BE138" s="27">
        <f t="shared" si="309"/>
        <v>-2.5418949076109879E-2</v>
      </c>
      <c r="BF138" s="27">
        <f t="shared" si="309"/>
        <v>2.444658346623578E-2</v>
      </c>
      <c r="BG138" s="27">
        <f t="shared" si="309"/>
        <v>-3.0991101913846034E-2</v>
      </c>
      <c r="BH138" s="27">
        <f t="shared" si="309"/>
        <v>1.8284317280985452E-2</v>
      </c>
      <c r="BI138" s="27">
        <f t="shared" si="310"/>
        <v>-1.2706784632860582E-2</v>
      </c>
      <c r="BO138" t="str">
        <f t="shared" si="322"/>
        <v>63 Community and civil enforcement occupations</v>
      </c>
      <c r="BP138" s="27">
        <f t="shared" si="311"/>
        <v>-2.2122741747666985E-2</v>
      </c>
      <c r="BQ138" s="27">
        <f t="shared" si="311"/>
        <v>2.793316311133251E-2</v>
      </c>
      <c r="BR138" s="27">
        <f t="shared" si="311"/>
        <v>-4.0728809955924122E-2</v>
      </c>
      <c r="BS138" s="27">
        <f t="shared" si="311"/>
        <v>4.1721596257760785E-3</v>
      </c>
      <c r="BT138" s="27">
        <f t="shared" si="312"/>
        <v>-3.6556650330148044E-2</v>
      </c>
      <c r="BZ138" t="str">
        <f t="shared" si="323"/>
        <v>63 Community and civil enforcement occupations</v>
      </c>
      <c r="CA138" s="68">
        <f t="shared" si="313"/>
        <v>-2.7392341478518337E-2</v>
      </c>
      <c r="CB138" s="68">
        <f t="shared" si="313"/>
        <v>3.3927510619667395E-2</v>
      </c>
      <c r="CC138" s="68">
        <f t="shared" si="313"/>
        <v>-3.9388365005466358E-2</v>
      </c>
      <c r="CD138" s="68">
        <f t="shared" si="313"/>
        <v>-1.8775990794851233E-2</v>
      </c>
      <c r="CE138" s="68">
        <f t="shared" si="314"/>
        <v>-5.8164355800317591E-2</v>
      </c>
      <c r="CK138" t="str">
        <f t="shared" si="324"/>
        <v>63 Community and civil enforcement occupations</v>
      </c>
      <c r="CL138" s="68">
        <f t="shared" si="315"/>
        <v>-1.1620928262348937E-2</v>
      </c>
      <c r="CM138" s="68">
        <f t="shared" si="315"/>
        <v>4.1294092233216569E-3</v>
      </c>
      <c r="CN138" s="68">
        <f t="shared" si="315"/>
        <v>-1.3793018976010103E-2</v>
      </c>
      <c r="CO138" s="68">
        <f t="shared" si="315"/>
        <v>-4.1676698483337007E-3</v>
      </c>
      <c r="CP138" s="68">
        <f t="shared" si="316"/>
        <v>-1.7960688824343804E-2</v>
      </c>
    </row>
    <row r="139" spans="1:94" x14ac:dyDescent="0.2">
      <c r="A139" t="str">
        <f t="shared" si="298"/>
        <v>71 Sales occupations</v>
      </c>
      <c r="B139" s="27">
        <f t="shared" si="299"/>
        <v>1.7788685895565842E-2</v>
      </c>
      <c r="C139" s="27">
        <f t="shared" si="299"/>
        <v>-2.4353410694415961E-2</v>
      </c>
      <c r="D139" s="27">
        <f t="shared" si="299"/>
        <v>1.2099439556592706E-2</v>
      </c>
      <c r="E139" s="27">
        <f t="shared" si="299"/>
        <v>2.1470730537574853E-2</v>
      </c>
      <c r="F139" s="27">
        <f t="shared" si="300"/>
        <v>3.3570170094167559E-2</v>
      </c>
      <c r="L139" t="str">
        <f t="shared" si="317"/>
        <v>71 Sales occupations</v>
      </c>
      <c r="M139" s="27">
        <f t="shared" si="301"/>
        <v>0.21555693040821677</v>
      </c>
      <c r="N139" s="27">
        <f t="shared" si="301"/>
        <v>-0.14363056389792328</v>
      </c>
      <c r="O139" s="27">
        <f t="shared" si="301"/>
        <v>0.26139628862888598</v>
      </c>
      <c r="P139" s="27">
        <f t="shared" si="301"/>
        <v>0.61832018869162875</v>
      </c>
      <c r="Q139" s="27">
        <f t="shared" si="302"/>
        <v>0.87971647732051472</v>
      </c>
      <c r="W139" t="str">
        <f t="shared" si="318"/>
        <v>71 Sales occupations</v>
      </c>
      <c r="X139" s="27">
        <f t="shared" si="303"/>
        <v>-5.3787555538368448E-2</v>
      </c>
      <c r="Y139" s="27">
        <f t="shared" si="303"/>
        <v>0.27684291635091096</v>
      </c>
      <c r="Z139" s="27">
        <f t="shared" si="303"/>
        <v>0.57590816067045747</v>
      </c>
      <c r="AA139" s="27">
        <f t="shared" si="303"/>
        <v>1.8661561909768682</v>
      </c>
      <c r="AB139" s="27">
        <f t="shared" si="304"/>
        <v>2.4420643516473257</v>
      </c>
      <c r="AH139" t="str">
        <f t="shared" si="319"/>
        <v>71 Sales occupations</v>
      </c>
      <c r="AI139" s="27">
        <f t="shared" si="305"/>
        <v>-9.9208939494215276E-3</v>
      </c>
      <c r="AJ139" s="27">
        <f t="shared" si="305"/>
        <v>4.0725896937609196E-2</v>
      </c>
      <c r="AK139" s="27">
        <f t="shared" si="305"/>
        <v>0.1155132419956244</v>
      </c>
      <c r="AL139" s="27">
        <f t="shared" si="305"/>
        <v>0.63427700380315977</v>
      </c>
      <c r="AM139" s="27">
        <f t="shared" si="306"/>
        <v>0.74979024579878417</v>
      </c>
      <c r="AS139" t="str">
        <f t="shared" si="320"/>
        <v>71 Sales occupations</v>
      </c>
      <c r="AT139" s="27">
        <f t="shared" si="307"/>
        <v>-9.4422484875085644E-2</v>
      </c>
      <c r="AU139" s="27">
        <f t="shared" si="307"/>
        <v>0.10036845761653623</v>
      </c>
      <c r="AV139" s="27">
        <f t="shared" si="307"/>
        <v>2.2439827137650248E-2</v>
      </c>
      <c r="AW139" s="27">
        <f t="shared" si="307"/>
        <v>0.36703817539790906</v>
      </c>
      <c r="AX139" s="27">
        <f t="shared" si="308"/>
        <v>0.38947800253555931</v>
      </c>
      <c r="BD139" t="str">
        <f t="shared" si="321"/>
        <v>71 Sales occupations</v>
      </c>
      <c r="BE139" s="27">
        <f t="shared" si="309"/>
        <v>4.7500910642138905E-2</v>
      </c>
      <c r="BF139" s="27">
        <f t="shared" si="309"/>
        <v>-3.7116105614174444E-2</v>
      </c>
      <c r="BG139" s="27">
        <f t="shared" si="309"/>
        <v>-4.805353473818208E-2</v>
      </c>
      <c r="BH139" s="27">
        <f t="shared" si="309"/>
        <v>0.76845949120468937</v>
      </c>
      <c r="BI139" s="27">
        <f t="shared" si="310"/>
        <v>0.72040595646650729</v>
      </c>
      <c r="BO139" t="str">
        <f t="shared" si="322"/>
        <v>71 Sales occupations</v>
      </c>
      <c r="BP139" s="27">
        <f t="shared" si="311"/>
        <v>-1.1203428058983445</v>
      </c>
      <c r="BQ139" s="27">
        <f t="shared" si="311"/>
        <v>-0.36557678209927325</v>
      </c>
      <c r="BR139" s="27">
        <f t="shared" si="311"/>
        <v>-0.81337757913164133</v>
      </c>
      <c r="BS139" s="27">
        <f t="shared" si="311"/>
        <v>-1.3640756810824302</v>
      </c>
      <c r="BT139" s="27">
        <f t="shared" si="312"/>
        <v>-2.1774532602140715</v>
      </c>
      <c r="BZ139" t="str">
        <f t="shared" si="323"/>
        <v>71 Sales occupations</v>
      </c>
      <c r="CA139" s="68">
        <f t="shared" si="313"/>
        <v>-1.9233377539225716</v>
      </c>
      <c r="CB139" s="68">
        <f t="shared" si="313"/>
        <v>-0.22354374657991904</v>
      </c>
      <c r="CC139" s="68">
        <f t="shared" si="313"/>
        <v>-0.8563911902261534</v>
      </c>
      <c r="CD139" s="68">
        <f t="shared" si="313"/>
        <v>-3.3962280062562895</v>
      </c>
      <c r="CE139" s="68">
        <f t="shared" si="314"/>
        <v>-4.2526191964824429</v>
      </c>
      <c r="CK139" t="str">
        <f t="shared" si="324"/>
        <v>71 Sales occupations</v>
      </c>
      <c r="CL139" s="68">
        <f t="shared" si="315"/>
        <v>-0.47048795419987366</v>
      </c>
      <c r="CM139" s="68">
        <f t="shared" si="315"/>
        <v>-0.45168311015284579</v>
      </c>
      <c r="CN139" s="68">
        <f t="shared" si="315"/>
        <v>-0.29855195167999637</v>
      </c>
      <c r="CO139" s="68">
        <f t="shared" si="315"/>
        <v>-0.504423681780787</v>
      </c>
      <c r="CP139" s="68">
        <f t="shared" si="316"/>
        <v>-0.80297563346078338</v>
      </c>
    </row>
    <row r="140" spans="1:94" x14ac:dyDescent="0.2">
      <c r="A140" t="str">
        <f t="shared" si="298"/>
        <v>72 Customer service occupations</v>
      </c>
      <c r="B140" s="27">
        <f t="shared" si="299"/>
        <v>4.0283035323774655E-3</v>
      </c>
      <c r="C140" s="27">
        <f t="shared" si="299"/>
        <v>-1.0139618831272665E-3</v>
      </c>
      <c r="D140" s="27">
        <f t="shared" si="299"/>
        <v>1.1486022581731266E-2</v>
      </c>
      <c r="E140" s="27">
        <f t="shared" si="299"/>
        <v>1.4615903545817266E-2</v>
      </c>
      <c r="F140" s="27">
        <f t="shared" si="300"/>
        <v>2.6101926127548532E-2</v>
      </c>
      <c r="L140" t="str">
        <f t="shared" si="317"/>
        <v>72 Customer service occupations</v>
      </c>
      <c r="M140" s="27">
        <f t="shared" si="301"/>
        <v>0.10211723886888305</v>
      </c>
      <c r="N140" s="27">
        <f t="shared" si="301"/>
        <v>-4.5041614031752941E-2</v>
      </c>
      <c r="O140" s="27">
        <f t="shared" si="301"/>
        <v>0.12083007163508158</v>
      </c>
      <c r="P140" s="27">
        <f t="shared" si="301"/>
        <v>0.18288150216353677</v>
      </c>
      <c r="Q140" s="27">
        <f t="shared" si="302"/>
        <v>0.30371157379861835</v>
      </c>
      <c r="W140" t="str">
        <f t="shared" si="318"/>
        <v>72 Customer service occupations</v>
      </c>
      <c r="X140" s="27">
        <f t="shared" si="303"/>
        <v>0.12748844606495413</v>
      </c>
      <c r="Y140" s="27">
        <f t="shared" si="303"/>
        <v>6.7871658504663923E-2</v>
      </c>
      <c r="Z140" s="27">
        <f t="shared" si="303"/>
        <v>0.28896659275251468</v>
      </c>
      <c r="AA140" s="27">
        <f t="shared" si="303"/>
        <v>0.57091775095524433</v>
      </c>
      <c r="AB140" s="27">
        <f t="shared" si="304"/>
        <v>0.85988434370775901</v>
      </c>
      <c r="AH140" t="str">
        <f t="shared" si="319"/>
        <v>72 Customer service occupations</v>
      </c>
      <c r="AI140" s="27">
        <f t="shared" si="305"/>
        <v>5.7078202337005779E-2</v>
      </c>
      <c r="AJ140" s="27">
        <f t="shared" si="305"/>
        <v>3.6691965221796574E-2</v>
      </c>
      <c r="AK140" s="27">
        <f t="shared" si="305"/>
        <v>9.2186823260825446E-2</v>
      </c>
      <c r="AL140" s="27">
        <f t="shared" si="305"/>
        <v>0.1957332132215468</v>
      </c>
      <c r="AM140" s="27">
        <f t="shared" si="306"/>
        <v>0.28792003648237224</v>
      </c>
      <c r="AS140" t="str">
        <f t="shared" si="320"/>
        <v>72 Customer service occupations</v>
      </c>
      <c r="AT140" s="27">
        <f t="shared" si="307"/>
        <v>2.5402917112071155E-2</v>
      </c>
      <c r="AU140" s="27">
        <f t="shared" si="307"/>
        <v>4.7490408431478615E-2</v>
      </c>
      <c r="AV140" s="27">
        <f t="shared" si="307"/>
        <v>0.11409491815845041</v>
      </c>
      <c r="AW140" s="27">
        <f t="shared" si="307"/>
        <v>0.12764714666794974</v>
      </c>
      <c r="AX140" s="27">
        <f t="shared" si="308"/>
        <v>0.24174206482640015</v>
      </c>
      <c r="BD140" t="str">
        <f t="shared" si="321"/>
        <v>72 Customer service occupations</v>
      </c>
      <c r="BE140" s="27">
        <f t="shared" si="309"/>
        <v>0.183482884566601</v>
      </c>
      <c r="BF140" s="27">
        <f t="shared" si="309"/>
        <v>0.13809703476843049</v>
      </c>
      <c r="BG140" s="27">
        <f t="shared" si="309"/>
        <v>0.17840472313045241</v>
      </c>
      <c r="BH140" s="27">
        <f t="shared" si="309"/>
        <v>0.27701923146565566</v>
      </c>
      <c r="BI140" s="27">
        <f t="shared" si="310"/>
        <v>0.45542395459610807</v>
      </c>
      <c r="BO140" t="str">
        <f t="shared" si="322"/>
        <v>72 Customer service occupations</v>
      </c>
      <c r="BP140" s="27">
        <f t="shared" si="311"/>
        <v>0.10367486996033493</v>
      </c>
      <c r="BQ140" s="27">
        <f t="shared" si="311"/>
        <v>1.3780249706620396E-2</v>
      </c>
      <c r="BR140" s="27">
        <f t="shared" si="311"/>
        <v>-7.5315724136952866E-3</v>
      </c>
      <c r="BS140" s="27">
        <f t="shared" si="311"/>
        <v>-0.22738057424115432</v>
      </c>
      <c r="BT140" s="27">
        <f t="shared" si="312"/>
        <v>-0.23491214665484961</v>
      </c>
      <c r="BZ140" t="str">
        <f t="shared" si="323"/>
        <v>72 Customer service occupations</v>
      </c>
      <c r="CA140" s="68">
        <f t="shared" si="313"/>
        <v>-0.20401541345280128</v>
      </c>
      <c r="CB140" s="68">
        <f t="shared" si="313"/>
        <v>7.3661538096492229E-4</v>
      </c>
      <c r="CC140" s="68">
        <f t="shared" si="313"/>
        <v>-9.6417607306769404E-2</v>
      </c>
      <c r="CD140" s="68">
        <f t="shared" si="313"/>
        <v>-0.26686286099490886</v>
      </c>
      <c r="CE140" s="68">
        <f t="shared" si="314"/>
        <v>-0.36328046830167826</v>
      </c>
      <c r="CK140" t="str">
        <f t="shared" si="324"/>
        <v>72 Customer service occupations</v>
      </c>
      <c r="CL140" s="68">
        <f t="shared" si="315"/>
        <v>5.7499683641161925E-2</v>
      </c>
      <c r="CM140" s="68">
        <f t="shared" si="315"/>
        <v>-3.6548449048132925E-2</v>
      </c>
      <c r="CN140" s="68">
        <f t="shared" si="315"/>
        <v>8.4881694512800421E-2</v>
      </c>
      <c r="CO140" s="68">
        <f t="shared" si="315"/>
        <v>5.0574205782402903E-2</v>
      </c>
      <c r="CP140" s="68">
        <f t="shared" si="316"/>
        <v>0.13545590029520332</v>
      </c>
    </row>
    <row r="141" spans="1:94" x14ac:dyDescent="0.2">
      <c r="A141" t="str">
        <f t="shared" si="298"/>
        <v>81 Process, plant and machine operatives</v>
      </c>
      <c r="B141" s="27">
        <f t="shared" si="299"/>
        <v>1.5359074183267079E-2</v>
      </c>
      <c r="C141" s="27">
        <f t="shared" si="299"/>
        <v>-1.1828941054094412E-2</v>
      </c>
      <c r="D141" s="27">
        <f t="shared" si="299"/>
        <v>1.1863919011154557E-2</v>
      </c>
      <c r="E141" s="27">
        <f t="shared" si="299"/>
        <v>4.2194069656653656E-2</v>
      </c>
      <c r="F141" s="27">
        <f t="shared" si="300"/>
        <v>5.4057988667808213E-2</v>
      </c>
      <c r="L141" t="str">
        <f t="shared" si="317"/>
        <v>81 Process, plant and machine operatives</v>
      </c>
      <c r="M141" s="27">
        <f t="shared" si="301"/>
        <v>0.12520129242017636</v>
      </c>
      <c r="N141" s="27">
        <f t="shared" si="301"/>
        <v>-9.1488383644401483E-2</v>
      </c>
      <c r="O141" s="27">
        <f t="shared" si="301"/>
        <v>0.18972022209469402</v>
      </c>
      <c r="P141" s="27">
        <f t="shared" si="301"/>
        <v>0.45713739568801853</v>
      </c>
      <c r="Q141" s="27">
        <f t="shared" si="302"/>
        <v>0.64685761778271256</v>
      </c>
      <c r="W141" t="str">
        <f t="shared" si="318"/>
        <v>81 Process, plant and machine operatives</v>
      </c>
      <c r="X141" s="27">
        <f t="shared" si="303"/>
        <v>4.4925316911464064E-2</v>
      </c>
      <c r="Y141" s="27">
        <f t="shared" si="303"/>
        <v>-1.24049770708754E-2</v>
      </c>
      <c r="Z141" s="27">
        <f t="shared" si="303"/>
        <v>0.31473839221145972</v>
      </c>
      <c r="AA141" s="27">
        <f t="shared" si="303"/>
        <v>0.80457283150883341</v>
      </c>
      <c r="AB141" s="27">
        <f t="shared" si="304"/>
        <v>1.1193112237202931</v>
      </c>
      <c r="AH141" t="str">
        <f t="shared" si="319"/>
        <v>81 Process, plant and machine operatives</v>
      </c>
      <c r="AI141" s="27">
        <f t="shared" si="305"/>
        <v>-2.3680318932552957E-3</v>
      </c>
      <c r="AJ141" s="27">
        <f t="shared" si="305"/>
        <v>2.111331115054127E-2</v>
      </c>
      <c r="AK141" s="27">
        <f t="shared" si="305"/>
        <v>9.0442644928589333E-2</v>
      </c>
      <c r="AL141" s="27">
        <f t="shared" si="305"/>
        <v>0.14367486392947104</v>
      </c>
      <c r="AM141" s="27">
        <f t="shared" si="306"/>
        <v>0.23411750885806037</v>
      </c>
      <c r="AS141" t="str">
        <f t="shared" si="320"/>
        <v>81 Process, plant and machine operatives</v>
      </c>
      <c r="AT141" s="27">
        <f t="shared" si="307"/>
        <v>-5.3956498331290348E-2</v>
      </c>
      <c r="AU141" s="27">
        <f t="shared" si="307"/>
        <v>6.9286028128202615E-2</v>
      </c>
      <c r="AV141" s="27">
        <f t="shared" si="307"/>
        <v>0.15185062870826294</v>
      </c>
      <c r="AW141" s="27">
        <f t="shared" si="307"/>
        <v>0.30153952177586152</v>
      </c>
      <c r="AX141" s="27">
        <f t="shared" si="308"/>
        <v>0.45339015048412445</v>
      </c>
      <c r="BD141" t="str">
        <f t="shared" si="321"/>
        <v>81 Process, plant and machine operatives</v>
      </c>
      <c r="BE141" s="27">
        <f t="shared" si="309"/>
        <v>0.28812892981618532</v>
      </c>
      <c r="BF141" s="27">
        <f t="shared" si="309"/>
        <v>-0.62841127398148622</v>
      </c>
      <c r="BG141" s="27">
        <f t="shared" si="309"/>
        <v>0.7434388997782948</v>
      </c>
      <c r="BH141" s="27">
        <f t="shared" si="309"/>
        <v>0.47920816372676622</v>
      </c>
      <c r="BI141" s="27">
        <f t="shared" si="310"/>
        <v>1.222647063505061</v>
      </c>
      <c r="BO141" t="str">
        <f t="shared" si="322"/>
        <v>81 Process, plant and machine operatives</v>
      </c>
      <c r="BP141" s="27">
        <f t="shared" si="311"/>
        <v>8.646858381414102E-2</v>
      </c>
      <c r="BQ141" s="27">
        <f t="shared" si="311"/>
        <v>-0.9490682628802487</v>
      </c>
      <c r="BR141" s="27">
        <f t="shared" si="311"/>
        <v>0.29725447105798875</v>
      </c>
      <c r="BS141" s="27">
        <f t="shared" si="311"/>
        <v>-0.78121611748559516</v>
      </c>
      <c r="BT141" s="27">
        <f t="shared" si="312"/>
        <v>-0.48396164642760642</v>
      </c>
      <c r="BZ141" t="str">
        <f t="shared" si="323"/>
        <v>81 Process, plant and machine operatives</v>
      </c>
      <c r="CA141" s="68">
        <f t="shared" si="313"/>
        <v>-0.99287449685268303</v>
      </c>
      <c r="CB141" s="68">
        <f t="shared" si="313"/>
        <v>-0.44503342536429269</v>
      </c>
      <c r="CC141" s="68">
        <f t="shared" si="313"/>
        <v>-0.60816364769304609</v>
      </c>
      <c r="CD141" s="68">
        <f t="shared" si="313"/>
        <v>-2.506102135431727</v>
      </c>
      <c r="CE141" s="68">
        <f t="shared" si="314"/>
        <v>-3.1142657831247731</v>
      </c>
      <c r="CK141" t="str">
        <f t="shared" si="324"/>
        <v>81 Process, plant and machine operatives</v>
      </c>
      <c r="CL141" s="68">
        <f t="shared" si="315"/>
        <v>-0.50774103916036317</v>
      </c>
      <c r="CM141" s="68">
        <f t="shared" si="315"/>
        <v>-0.45457082537858962</v>
      </c>
      <c r="CN141" s="68">
        <f t="shared" si="315"/>
        <v>-0.83633152492524054</v>
      </c>
      <c r="CO141" s="68">
        <f t="shared" si="315"/>
        <v>-0.42647806664767729</v>
      </c>
      <c r="CP141" s="68">
        <f t="shared" si="316"/>
        <v>-1.2628095915729178</v>
      </c>
    </row>
    <row r="142" spans="1:94" x14ac:dyDescent="0.2">
      <c r="A142" t="str">
        <f t="shared" si="298"/>
        <v>82 Transport and mobile machine drivers and operatives</v>
      </c>
      <c r="B142" s="27">
        <f t="shared" si="299"/>
        <v>5.8571308973060475E-3</v>
      </c>
      <c r="C142" s="27">
        <f t="shared" si="299"/>
        <v>1.4409233483846998E-3</v>
      </c>
      <c r="D142" s="27">
        <f t="shared" si="299"/>
        <v>1.377261417729754E-2</v>
      </c>
      <c r="E142" s="27">
        <f t="shared" si="299"/>
        <v>2.6503782974321537E-2</v>
      </c>
      <c r="F142" s="27">
        <f t="shared" si="300"/>
        <v>4.0276397151619077E-2</v>
      </c>
      <c r="L142" t="str">
        <f t="shared" si="317"/>
        <v>82 Transport and mobile machine drivers and operatives</v>
      </c>
      <c r="M142" s="27">
        <f t="shared" si="301"/>
        <v>4.8469089899539936E-2</v>
      </c>
      <c r="N142" s="27">
        <f t="shared" si="301"/>
        <v>-1.3497764629815667E-3</v>
      </c>
      <c r="O142" s="27">
        <f t="shared" si="301"/>
        <v>6.5183434704868898E-2</v>
      </c>
      <c r="P142" s="27">
        <f t="shared" si="301"/>
        <v>0.12838555715520839</v>
      </c>
      <c r="Q142" s="27">
        <f t="shared" si="302"/>
        <v>0.19356899186007728</v>
      </c>
      <c r="W142" t="str">
        <f t="shared" si="318"/>
        <v>82 Transport and mobile machine drivers and operatives</v>
      </c>
      <c r="X142" s="27">
        <f t="shared" si="303"/>
        <v>1.0091526507859383E-3</v>
      </c>
      <c r="Y142" s="27">
        <f t="shared" si="303"/>
        <v>0.19231960868929177</v>
      </c>
      <c r="Z142" s="27">
        <f t="shared" si="303"/>
        <v>0.13290674703695549</v>
      </c>
      <c r="AA142" s="27">
        <f t="shared" si="303"/>
        <v>0.33343339852070031</v>
      </c>
      <c r="AB142" s="27">
        <f t="shared" si="304"/>
        <v>0.46634014555765579</v>
      </c>
      <c r="AH142" t="str">
        <f t="shared" si="319"/>
        <v>82 Transport and mobile machine drivers and operatives</v>
      </c>
      <c r="AI142" s="27">
        <f t="shared" si="305"/>
        <v>-1.0035675785684817E-2</v>
      </c>
      <c r="AJ142" s="27">
        <f t="shared" si="305"/>
        <v>0.12849489617660648</v>
      </c>
      <c r="AK142" s="27">
        <f t="shared" si="305"/>
        <v>5.2197068733596197E-2</v>
      </c>
      <c r="AL142" s="27">
        <f t="shared" si="305"/>
        <v>0.16901721094289401</v>
      </c>
      <c r="AM142" s="27">
        <f t="shared" si="306"/>
        <v>0.22121427967649021</v>
      </c>
      <c r="AS142" t="str">
        <f t="shared" si="320"/>
        <v>82 Transport and mobile machine drivers and operatives</v>
      </c>
      <c r="AT142" s="27">
        <f t="shared" si="307"/>
        <v>-2.436958158041258E-2</v>
      </c>
      <c r="AU142" s="27">
        <f t="shared" si="307"/>
        <v>0.16720581622570196</v>
      </c>
      <c r="AV142" s="27">
        <f t="shared" si="307"/>
        <v>7.3157605971250872E-2</v>
      </c>
      <c r="AW142" s="27">
        <f t="shared" si="307"/>
        <v>0.20567176114184937</v>
      </c>
      <c r="AX142" s="27">
        <f t="shared" si="308"/>
        <v>0.27882936711310025</v>
      </c>
      <c r="BD142" t="str">
        <f t="shared" si="321"/>
        <v>82 Transport and mobile machine drivers and operatives</v>
      </c>
      <c r="BE142" s="27">
        <f t="shared" si="309"/>
        <v>0.61828495125854044</v>
      </c>
      <c r="BF142" s="27">
        <f t="shared" si="309"/>
        <v>-0.22691857259485992</v>
      </c>
      <c r="BG142" s="27">
        <f t="shared" si="309"/>
        <v>0.49452370855562577</v>
      </c>
      <c r="BH142" s="27">
        <f t="shared" si="309"/>
        <v>0.83405550916861326</v>
      </c>
      <c r="BI142" s="27">
        <f t="shared" si="310"/>
        <v>1.328579217724239</v>
      </c>
      <c r="BO142" t="str">
        <f t="shared" si="322"/>
        <v>82 Transport and mobile machine drivers and operatives</v>
      </c>
      <c r="BP142" s="27">
        <f t="shared" si="311"/>
        <v>0.59959477290316876</v>
      </c>
      <c r="BQ142" s="27">
        <f t="shared" si="311"/>
        <v>-0.55167262319905053</v>
      </c>
      <c r="BR142" s="27">
        <f t="shared" si="311"/>
        <v>4.6057237437308274E-2</v>
      </c>
      <c r="BS142" s="27">
        <f t="shared" si="311"/>
        <v>-0.18791546523260738</v>
      </c>
      <c r="BT142" s="27">
        <f t="shared" si="312"/>
        <v>-0.14185822779529911</v>
      </c>
      <c r="BZ142" t="str">
        <f t="shared" si="323"/>
        <v>82 Transport and mobile machine drivers and operatives</v>
      </c>
      <c r="CA142" s="68">
        <f t="shared" si="313"/>
        <v>-0.58914781439978814</v>
      </c>
      <c r="CB142" s="68">
        <f t="shared" si="313"/>
        <v>6.0396245679975813E-2</v>
      </c>
      <c r="CC142" s="68">
        <f t="shared" si="313"/>
        <v>-1.0822768448920046</v>
      </c>
      <c r="CD142" s="68">
        <f t="shared" si="313"/>
        <v>-1.4596878764749945</v>
      </c>
      <c r="CE142" s="68">
        <f t="shared" si="314"/>
        <v>-2.5419647213669991</v>
      </c>
      <c r="CK142" t="str">
        <f t="shared" si="324"/>
        <v>82 Transport and mobile machine drivers and operatives</v>
      </c>
      <c r="CL142" s="68">
        <f t="shared" si="315"/>
        <v>0.11734883759029868</v>
      </c>
      <c r="CM142" s="68">
        <f t="shared" si="315"/>
        <v>-0.23040711311645401</v>
      </c>
      <c r="CN142" s="68">
        <f t="shared" si="315"/>
        <v>-2.8008582888808142E-2</v>
      </c>
      <c r="CO142" s="68">
        <f t="shared" si="315"/>
        <v>-0.9548680535813836</v>
      </c>
      <c r="CP142" s="68">
        <f t="shared" si="316"/>
        <v>-0.98287663647019174</v>
      </c>
    </row>
    <row r="143" spans="1:94" x14ac:dyDescent="0.2">
      <c r="A143" t="str">
        <f t="shared" si="298"/>
        <v>91 Elementary trades and related occupations</v>
      </c>
      <c r="B143" s="27">
        <f t="shared" si="299"/>
        <v>3.4864758379197342E-5</v>
      </c>
      <c r="C143" s="27">
        <f t="shared" si="299"/>
        <v>-4.8622167423656817E-5</v>
      </c>
      <c r="D143" s="27">
        <f t="shared" si="299"/>
        <v>1.4752279959118412E-3</v>
      </c>
      <c r="E143" s="27">
        <f t="shared" si="299"/>
        <v>1.6514339214386486E-3</v>
      </c>
      <c r="F143" s="27">
        <f t="shared" si="300"/>
        <v>3.12666191735049E-3</v>
      </c>
      <c r="L143" t="str">
        <f t="shared" si="317"/>
        <v>91 Elementary trades and related occupations</v>
      </c>
      <c r="M143" s="27">
        <f t="shared" si="301"/>
        <v>2.7684337622833705E-2</v>
      </c>
      <c r="N143" s="27">
        <f t="shared" si="301"/>
        <v>-2.5370199841902363E-2</v>
      </c>
      <c r="O143" s="27">
        <f t="shared" si="301"/>
        <v>0.11838955589914729</v>
      </c>
      <c r="P143" s="27">
        <f t="shared" si="301"/>
        <v>0.16889533800699208</v>
      </c>
      <c r="Q143" s="27">
        <f t="shared" si="302"/>
        <v>0.28728489390613937</v>
      </c>
      <c r="W143" t="str">
        <f t="shared" si="318"/>
        <v>91 Elementary trades and related occupations</v>
      </c>
      <c r="X143" s="27">
        <f t="shared" si="303"/>
        <v>2.8295759011029542E-2</v>
      </c>
      <c r="Y143" s="27">
        <f t="shared" si="303"/>
        <v>2.2841896891897751E-2</v>
      </c>
      <c r="Z143" s="27">
        <f t="shared" si="303"/>
        <v>0.68541650104465224</v>
      </c>
      <c r="AA143" s="27">
        <f t="shared" si="303"/>
        <v>0.60086894607434527</v>
      </c>
      <c r="AB143" s="27">
        <f t="shared" si="304"/>
        <v>1.2862854471189975</v>
      </c>
      <c r="AH143" t="str">
        <f t="shared" si="319"/>
        <v>91 Elementary trades and related occupations</v>
      </c>
      <c r="AI143" s="27">
        <f t="shared" si="305"/>
        <v>1.9547158596038672E-2</v>
      </c>
      <c r="AJ143" s="27">
        <f t="shared" si="305"/>
        <v>-1.5970817412719884E-2</v>
      </c>
      <c r="AK143" s="27">
        <f t="shared" si="305"/>
        <v>0.45588168339599339</v>
      </c>
      <c r="AL143" s="27">
        <f t="shared" si="305"/>
        <v>0.46606655651827011</v>
      </c>
      <c r="AM143" s="27">
        <f t="shared" si="306"/>
        <v>0.92194823991426356</v>
      </c>
      <c r="AS143" t="str">
        <f t="shared" si="320"/>
        <v>91 Elementary trades and related occupations</v>
      </c>
      <c r="AT143" s="27">
        <f t="shared" si="307"/>
        <v>-2.2712988053438465E-2</v>
      </c>
      <c r="AU143" s="27">
        <f t="shared" si="307"/>
        <v>6.3624784112831956E-2</v>
      </c>
      <c r="AV143" s="27">
        <f t="shared" si="307"/>
        <v>0.4710333890622303</v>
      </c>
      <c r="AW143" s="27">
        <f t="shared" si="307"/>
        <v>0.37908954213296597</v>
      </c>
      <c r="AX143" s="27">
        <f t="shared" si="308"/>
        <v>0.85012293119519633</v>
      </c>
      <c r="BD143" t="str">
        <f t="shared" si="321"/>
        <v>91 Elementary trades and related occupations</v>
      </c>
      <c r="BE143" s="27">
        <f t="shared" si="309"/>
        <v>-0.10366009854560443</v>
      </c>
      <c r="BF143" s="27">
        <f t="shared" si="309"/>
        <v>-0.19107473971865163</v>
      </c>
      <c r="BG143" s="27">
        <f t="shared" si="309"/>
        <v>1.4126645824634807</v>
      </c>
      <c r="BH143" s="27">
        <f t="shared" si="309"/>
        <v>0.8651870254768621</v>
      </c>
      <c r="BI143" s="27">
        <f t="shared" si="310"/>
        <v>2.2778516079403426</v>
      </c>
      <c r="BO143" t="str">
        <f t="shared" si="322"/>
        <v>91 Elementary trades and related occupations</v>
      </c>
      <c r="BP143" s="27">
        <f t="shared" si="311"/>
        <v>-0.42958877676740492</v>
      </c>
      <c r="BQ143" s="27">
        <f t="shared" si="311"/>
        <v>-0.25667407413979904</v>
      </c>
      <c r="BR143" s="27">
        <f t="shared" si="311"/>
        <v>1.6384048591796185</v>
      </c>
      <c r="BS143" s="27">
        <f t="shared" si="311"/>
        <v>-6.7742781146963083E-2</v>
      </c>
      <c r="BT143" s="27">
        <f t="shared" si="312"/>
        <v>1.5706620780326555</v>
      </c>
      <c r="BZ143" t="str">
        <f t="shared" si="323"/>
        <v>91 Elementary trades and related occupations</v>
      </c>
      <c r="CA143" s="68">
        <f t="shared" si="313"/>
        <v>-0.81119146472012993</v>
      </c>
      <c r="CB143" s="68">
        <f t="shared" si="313"/>
        <v>-0.24414244258844375</v>
      </c>
      <c r="CC143" s="68">
        <f t="shared" si="313"/>
        <v>1.7693510845991534</v>
      </c>
      <c r="CD143" s="68">
        <f t="shared" si="313"/>
        <v>-0.61913115341871183</v>
      </c>
      <c r="CE143" s="68">
        <f t="shared" si="314"/>
        <v>1.1502199311804415</v>
      </c>
      <c r="CK143" t="str">
        <f t="shared" si="324"/>
        <v>91 Elementary trades and related occupations</v>
      </c>
      <c r="CL143" s="68">
        <f t="shared" si="315"/>
        <v>-0.20227388634362353</v>
      </c>
      <c r="CM143" s="68">
        <f t="shared" si="315"/>
        <v>-0.28138965481485378</v>
      </c>
      <c r="CN143" s="68">
        <f t="shared" si="315"/>
        <v>0.82654524618997116</v>
      </c>
      <c r="CO143" s="68">
        <f t="shared" si="315"/>
        <v>-0.46835611769923768</v>
      </c>
      <c r="CP143" s="68">
        <f t="shared" si="316"/>
        <v>0.35818912849073348</v>
      </c>
    </row>
    <row r="144" spans="1:94" x14ac:dyDescent="0.2">
      <c r="A144" t="str">
        <f t="shared" si="298"/>
        <v>92 Elementary administration and service occupations</v>
      </c>
      <c r="B144" s="27">
        <f t="shared" si="299"/>
        <v>7.9629135852432899E-3</v>
      </c>
      <c r="C144" s="27">
        <f t="shared" si="299"/>
        <v>-4.6664062412679584E-3</v>
      </c>
      <c r="D144" s="27">
        <f t="shared" si="299"/>
        <v>5.3837167339045207E-3</v>
      </c>
      <c r="E144" s="27">
        <f t="shared" si="299"/>
        <v>1.5767643414374075E-2</v>
      </c>
      <c r="F144" s="27">
        <f t="shared" si="300"/>
        <v>2.1151360148278595E-2</v>
      </c>
      <c r="L144" t="str">
        <f t="shared" ref="L144" si="325">A144</f>
        <v>92 Elementary administration and service occupations</v>
      </c>
      <c r="M144" s="27">
        <f t="shared" si="301"/>
        <v>0.23159343602693061</v>
      </c>
      <c r="N144" s="27">
        <f t="shared" si="301"/>
        <v>-0.13461131979773744</v>
      </c>
      <c r="O144" s="27">
        <f t="shared" si="301"/>
        <v>0.17562245708412461</v>
      </c>
      <c r="P144" s="27">
        <f t="shared" si="301"/>
        <v>0.43834392066356331</v>
      </c>
      <c r="Q144" s="27">
        <f t="shared" si="302"/>
        <v>0.61396637774768792</v>
      </c>
      <c r="W144" t="str">
        <f t="shared" ref="W144" si="326">A144</f>
        <v>92 Elementary administration and service occupations</v>
      </c>
      <c r="X144" s="27">
        <f t="shared" si="303"/>
        <v>0.34406883901371144</v>
      </c>
      <c r="Y144" s="27">
        <f t="shared" si="303"/>
        <v>5.7792973983168849E-2</v>
      </c>
      <c r="Z144" s="27">
        <f t="shared" si="303"/>
        <v>0.26768673101998086</v>
      </c>
      <c r="AA144" s="27">
        <f t="shared" si="303"/>
        <v>1.159026936507678</v>
      </c>
      <c r="AB144" s="27">
        <f t="shared" si="304"/>
        <v>1.4267136675276588</v>
      </c>
      <c r="AH144" t="str">
        <f t="shared" ref="AH144" si="327">L144</f>
        <v>92 Elementary administration and service occupations</v>
      </c>
      <c r="AI144" s="27">
        <f t="shared" si="305"/>
        <v>0.16200928795000635</v>
      </c>
      <c r="AJ144" s="27">
        <f t="shared" si="305"/>
        <v>4.6509638169176304E-2</v>
      </c>
      <c r="AK144" s="27">
        <f t="shared" si="305"/>
        <v>6.5751950042225449E-2</v>
      </c>
      <c r="AL144" s="27">
        <f t="shared" si="305"/>
        <v>0.52583566224884204</v>
      </c>
      <c r="AM144" s="27">
        <f t="shared" si="306"/>
        <v>0.59158761229106749</v>
      </c>
      <c r="AS144" t="str">
        <f t="shared" ref="AS144" si="328">W144</f>
        <v>92 Elementary administration and service occupations</v>
      </c>
      <c r="AT144" s="27">
        <f t="shared" si="307"/>
        <v>8.3273400427426036E-2</v>
      </c>
      <c r="AU144" s="27">
        <f t="shared" si="307"/>
        <v>8.9216885267657364E-2</v>
      </c>
      <c r="AV144" s="27">
        <f t="shared" si="307"/>
        <v>-1.7312715489752328E-2</v>
      </c>
      <c r="AW144" s="27">
        <f t="shared" si="307"/>
        <v>0.40073305366876477</v>
      </c>
      <c r="AX144" s="27">
        <f t="shared" si="308"/>
        <v>0.38342033817901244</v>
      </c>
      <c r="BD144" t="str">
        <f t="shared" ref="BD144" si="329">AH144</f>
        <v>92 Elementary administration and service occupations</v>
      </c>
      <c r="BE144" s="27">
        <f t="shared" si="309"/>
        <v>0.20406310447264886</v>
      </c>
      <c r="BF144" s="27">
        <f t="shared" si="309"/>
        <v>-0.62375808485154138</v>
      </c>
      <c r="BG144" s="27">
        <f t="shared" si="309"/>
        <v>-1.2683744137123467</v>
      </c>
      <c r="BH144" s="27">
        <f t="shared" si="309"/>
        <v>-1.5525991807223249E-2</v>
      </c>
      <c r="BI144" s="27">
        <f t="shared" si="310"/>
        <v>-1.28390040551957</v>
      </c>
      <c r="BO144" t="str">
        <f t="shared" ref="BO144" si="330">AS144</f>
        <v>92 Elementary administration and service occupations</v>
      </c>
      <c r="BP144" s="27">
        <f t="shared" si="311"/>
        <v>0.55161397478036633</v>
      </c>
      <c r="BQ144" s="27">
        <f t="shared" si="311"/>
        <v>-1.4889888786784642</v>
      </c>
      <c r="BR144" s="27">
        <f t="shared" si="311"/>
        <v>-1.6583341943698002</v>
      </c>
      <c r="BS144" s="27">
        <f t="shared" si="311"/>
        <v>-1.4860946743678518</v>
      </c>
      <c r="BT144" s="27">
        <f t="shared" si="312"/>
        <v>-3.144428868737652</v>
      </c>
      <c r="BZ144" t="str">
        <f t="shared" ref="BZ144" si="331">BD144</f>
        <v>92 Elementary administration and service occupations</v>
      </c>
      <c r="CA144" s="68">
        <f t="shared" si="313"/>
        <v>-1.921821525489829</v>
      </c>
      <c r="CB144" s="68">
        <f t="shared" si="313"/>
        <v>-0.52295707656968737</v>
      </c>
      <c r="CC144" s="68">
        <f t="shared" si="313"/>
        <v>-1.8171573748747036</v>
      </c>
      <c r="CD144" s="68">
        <f t="shared" si="313"/>
        <v>-4.0273186269118284</v>
      </c>
      <c r="CE144" s="68">
        <f t="shared" si="314"/>
        <v>-5.844476001786532</v>
      </c>
      <c r="CK144" t="str">
        <f t="shared" ref="CK144" si="332">BO144</f>
        <v>92 Elementary administration and service occupations</v>
      </c>
      <c r="CL144" s="68">
        <f t="shared" si="315"/>
        <v>-1.160577370530814</v>
      </c>
      <c r="CM144" s="68">
        <f t="shared" si="315"/>
        <v>-1.190586841373225</v>
      </c>
      <c r="CN144" s="68">
        <f t="shared" si="315"/>
        <v>-1.1438522897708596</v>
      </c>
      <c r="CO144" s="68">
        <f t="shared" si="315"/>
        <v>-0.90617817226412045</v>
      </c>
      <c r="CP144" s="68">
        <f t="shared" si="316"/>
        <v>-2.0500304620349801</v>
      </c>
    </row>
    <row r="145" spans="1:94" x14ac:dyDescent="0.2">
      <c r="C145" s="27"/>
      <c r="F145" s="27"/>
      <c r="N145" s="27"/>
      <c r="Q145" s="27"/>
      <c r="Y145" s="27"/>
      <c r="AB145" s="27"/>
      <c r="AJ145" s="27"/>
      <c r="AM145" s="27"/>
      <c r="AU145" s="27"/>
      <c r="AX145" s="27"/>
      <c r="BF145" s="27"/>
      <c r="BI145" s="27"/>
      <c r="BQ145" s="27"/>
      <c r="BT145" s="27"/>
      <c r="CA145" s="69"/>
      <c r="CB145" s="68"/>
      <c r="CC145" s="69"/>
      <c r="CD145" s="69"/>
      <c r="CE145" s="68"/>
      <c r="CL145" s="69"/>
      <c r="CM145" s="68"/>
      <c r="CN145" s="69"/>
      <c r="CO145" s="69"/>
      <c r="CP145" s="68"/>
    </row>
    <row r="146" spans="1:94" x14ac:dyDescent="0.2">
      <c r="A146" s="24" t="str">
        <f t="shared" ref="A146" si="333">A35</f>
        <v>All occupations</v>
      </c>
      <c r="B146" s="29">
        <f>C35-B35</f>
        <v>1.547604098858371</v>
      </c>
      <c r="C146" s="29">
        <f>D35-C35</f>
        <v>-0.33349096046582005</v>
      </c>
      <c r="D146" s="29">
        <f>E35-D35</f>
        <v>1.3059869735355463</v>
      </c>
      <c r="E146" s="29">
        <f>F35-E35</f>
        <v>2.2608338809141948</v>
      </c>
      <c r="F146" s="29">
        <f t="shared" ref="F146" si="334">F35-D35</f>
        <v>3.5668208544497411</v>
      </c>
      <c r="L146" s="24" t="str">
        <f t="shared" ref="L146" si="335">L35</f>
        <v>All occupations</v>
      </c>
      <c r="M146" s="29">
        <f>N35-M35</f>
        <v>12.26687766709729</v>
      </c>
      <c r="N146" s="29">
        <f t="shared" ref="N146" si="336">O35-N35</f>
        <v>-3.0983949895845271</v>
      </c>
      <c r="O146" s="29">
        <f>P35-O35</f>
        <v>8.8133993589283222</v>
      </c>
      <c r="P146" s="29">
        <f>Q35-P35</f>
        <v>16.265922411819531</v>
      </c>
      <c r="Q146" s="29">
        <f>Q35-O35</f>
        <v>25.079321770747853</v>
      </c>
      <c r="W146" s="24" t="str">
        <f t="shared" ref="W146" si="337">W35</f>
        <v>All occupations</v>
      </c>
      <c r="X146" s="29">
        <f>Y35-X35</f>
        <v>4.1564039194077651</v>
      </c>
      <c r="Y146" s="29">
        <f t="shared" ref="Y146" si="338">Z35-Y35</f>
        <v>9.4591420262895838</v>
      </c>
      <c r="Z146" s="29">
        <f>AA35-Z35</f>
        <v>8.9214149606281126</v>
      </c>
      <c r="AA146" s="29">
        <f>AB35-AA35</f>
        <v>22.724625319577584</v>
      </c>
      <c r="AB146" s="29">
        <f>AB35-Z35</f>
        <v>31.646040280205696</v>
      </c>
      <c r="AH146" s="24" t="str">
        <f t="shared" ref="AH146" si="339">AH35</f>
        <v>All occupations</v>
      </c>
      <c r="AI146" s="29">
        <f>AJ35-AI35</f>
        <v>-0.75126612434156215</v>
      </c>
      <c r="AJ146" s="29">
        <f t="shared" ref="AJ146" si="340">AK35-AJ35</f>
        <v>1.5522495417518769</v>
      </c>
      <c r="AK146" s="29">
        <f>AL35-AK35</f>
        <v>0.56596974777631459</v>
      </c>
      <c r="AL146" s="29">
        <f>AM35-AL35</f>
        <v>4.3719068533034147</v>
      </c>
      <c r="AM146" s="29">
        <f>AM35-AK35</f>
        <v>4.9378766010797293</v>
      </c>
      <c r="AS146" s="24" t="str">
        <f t="shared" ref="AS146" si="341">AS35</f>
        <v>All occupations</v>
      </c>
      <c r="AT146" s="29">
        <f>AU35-AT35</f>
        <v>-0.20605771610435397</v>
      </c>
      <c r="AU146" s="29">
        <f t="shared" ref="AU146" si="342">AV35-AU35</f>
        <v>3.4144439852250095</v>
      </c>
      <c r="AV146" s="29">
        <f>AW35-AV35</f>
        <v>1.5347863936320394</v>
      </c>
      <c r="AW146" s="29">
        <f>AX35-AW35</f>
        <v>5.9141723863490476</v>
      </c>
      <c r="AX146" s="29">
        <f>AX35-AV35</f>
        <v>7.448958779981087</v>
      </c>
      <c r="BD146" s="24" t="str">
        <f t="shared" ref="BD146" si="343">BD35</f>
        <v>All occupations</v>
      </c>
      <c r="BE146" s="29">
        <f>BF35-BE35</f>
        <v>9.6937332537820851</v>
      </c>
      <c r="BF146" s="29">
        <f t="shared" ref="BF146" si="344">BG35-BF35</f>
        <v>-1.3371815033414549</v>
      </c>
      <c r="BG146" s="29">
        <f>BH35-BG35</f>
        <v>1.8240269405185501</v>
      </c>
      <c r="BH146" s="29">
        <f>BI35-BH35</f>
        <v>5.8162974838367489</v>
      </c>
      <c r="BI146" s="29">
        <f>BI35-BG35</f>
        <v>7.640324424355299</v>
      </c>
      <c r="BO146" s="24" t="str">
        <f t="shared" ref="BO146" si="345">BO35</f>
        <v>All occupations</v>
      </c>
      <c r="BP146" s="29">
        <f>BQ35-BP35</f>
        <v>0.67161904679480244</v>
      </c>
      <c r="BQ146" s="29">
        <f t="shared" ref="BQ146" si="346">BR35-BQ35</f>
        <v>-4.6211579068763484</v>
      </c>
      <c r="BR146" s="29">
        <f>BS35-BR35</f>
        <v>-7.923557227555392</v>
      </c>
      <c r="BS146" s="29">
        <f>BT35-BS35</f>
        <v>-16.497702763069086</v>
      </c>
      <c r="BT146" s="29">
        <f>BT35-BR35</f>
        <v>-24.421259990624478</v>
      </c>
      <c r="BZ146" s="24" t="str">
        <f t="shared" ref="BZ146" si="347">BZ35</f>
        <v>All occupations</v>
      </c>
      <c r="CA146" s="70">
        <f>CB35-CA35</f>
        <v>-13.110945522349752</v>
      </c>
      <c r="CB146" s="70">
        <f t="shared" ref="CB146" si="348">CC35-CB35</f>
        <v>-0.30009159195367374</v>
      </c>
      <c r="CC146" s="70">
        <f>CD35-CC35</f>
        <v>-8.3626946724393605</v>
      </c>
      <c r="CD146" s="70">
        <f>CE35-CD35</f>
        <v>-23.126822226951134</v>
      </c>
      <c r="CE146" s="70">
        <f>CE35-CC35</f>
        <v>-31.489516899390495</v>
      </c>
      <c r="CK146" s="24" t="str">
        <f t="shared" ref="CK146" si="349">CK35</f>
        <v>All occupations</v>
      </c>
      <c r="CL146" s="70">
        <f>CM35-CL35</f>
        <v>-2.1069686231449651</v>
      </c>
      <c r="CM146" s="70">
        <f t="shared" ref="CM146" si="350">CN35-CM35</f>
        <v>-3.656518601044155</v>
      </c>
      <c r="CN146" s="70">
        <f>CO35-CN35</f>
        <v>-1.1543324750241979</v>
      </c>
      <c r="CO146" s="70">
        <f>CP35-CO35</f>
        <v>-5.1872333457804185</v>
      </c>
      <c r="CP146" s="70">
        <f>CP35-CN35</f>
        <v>-6.3415658208046164</v>
      </c>
    </row>
  </sheetData>
  <mergeCells count="36">
    <mergeCell ref="BZ1:CI1"/>
    <mergeCell ref="BZ38:CI38"/>
    <mergeCell ref="BZ75:CI75"/>
    <mergeCell ref="BZ112:CI112"/>
    <mergeCell ref="CK1:CT1"/>
    <mergeCell ref="CK38:CT38"/>
    <mergeCell ref="CK75:CT75"/>
    <mergeCell ref="CK112:CT112"/>
    <mergeCell ref="BD1:BM1"/>
    <mergeCell ref="BD38:BM38"/>
    <mergeCell ref="BD75:BM75"/>
    <mergeCell ref="BD112:BM112"/>
    <mergeCell ref="BO1:BX1"/>
    <mergeCell ref="BO38:BX38"/>
    <mergeCell ref="BO75:BX75"/>
    <mergeCell ref="BO112:BX112"/>
    <mergeCell ref="AH1:AQ1"/>
    <mergeCell ref="AH38:AQ38"/>
    <mergeCell ref="AH75:AQ75"/>
    <mergeCell ref="AH112:AQ112"/>
    <mergeCell ref="AS1:BB1"/>
    <mergeCell ref="AS38:BB38"/>
    <mergeCell ref="AS75:BB75"/>
    <mergeCell ref="AS112:BB112"/>
    <mergeCell ref="A75:J75"/>
    <mergeCell ref="L75:U75"/>
    <mergeCell ref="W75:AF75"/>
    <mergeCell ref="A112:J112"/>
    <mergeCell ref="L112:U112"/>
    <mergeCell ref="W112:AF112"/>
    <mergeCell ref="W1:AF1"/>
    <mergeCell ref="L1:U1"/>
    <mergeCell ref="A1:J1"/>
    <mergeCell ref="A38:J38"/>
    <mergeCell ref="L38:U38"/>
    <mergeCell ref="W38:AF38"/>
  </mergeCells>
  <pageMargins left="0.39370078740157483" right="0.39370078740157483" top="0.19685039370078741" bottom="0.19685039370078741" header="0.19685039370078741" footer="0.19685039370078741"/>
  <pageSetup paperSize="9" scale="72" fitToHeight="0" orientation="portrait" r:id="rId1"/>
  <headerFooter alignWithMargins="0"/>
  <rowBreaks count="1" manualBreakCount="1">
    <brk id="74" max="16383" man="1"/>
  </rowBreaks>
  <colBreaks count="8" manualBreakCount="8">
    <brk id="10" max="141" man="1"/>
    <brk id="21" max="141" man="1"/>
    <brk id="32" max="141" man="1"/>
    <brk id="43" max="141" man="1"/>
    <brk id="54" max="141" man="1"/>
    <brk id="65" max="141" man="1"/>
    <brk id="76" max="141" man="1"/>
    <brk id="87" max="141" man="1"/>
  </colBreaks>
  <drawing r:id="rId2"/>
</worksheet>
</file>

<file path=xl/worksheets/sheet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000-000000000000}">
  <sheetPr codeName="Sheet49"/>
  <dimension ref="A1:AG37"/>
  <sheetViews>
    <sheetView showGridLines="0" zoomScale="85" zoomScaleNormal="85" workbookViewId="0"/>
  </sheetViews>
  <sheetFormatPr defaultColWidth="9.140625" defaultRowHeight="12.75" x14ac:dyDescent="0.2"/>
  <cols>
    <col min="1" max="1" width="55.7109375" style="91" customWidth="1"/>
    <col min="2" max="4" width="11.7109375" style="91" customWidth="1"/>
    <col min="5" max="5" width="14.7109375" style="91" customWidth="1"/>
    <col min="6" max="8" width="11.7109375" style="91" customWidth="1"/>
    <col min="9" max="9" width="16.5703125" style="91" customWidth="1"/>
    <col min="10" max="11" width="11.7109375" style="91" customWidth="1"/>
    <col min="12" max="12" width="2.7109375" style="91" customWidth="1"/>
    <col min="13" max="22" width="11.7109375" style="91" customWidth="1"/>
    <col min="23" max="23" width="2.7109375" style="91" customWidth="1"/>
    <col min="24" max="32" width="11.7109375" style="91" customWidth="1"/>
    <col min="33" max="33" width="12.85546875" style="91" customWidth="1"/>
    <col min="34" max="16384" width="9.140625" style="91"/>
  </cols>
  <sheetData>
    <row r="1" spans="1:33" ht="15.75" x14ac:dyDescent="0.25">
      <c r="A1" s="19" t="str">
        <f>CONCATENATE("Basic Table 3  Occupation by Qualification in ",A$6,", ",Info!B5)</f>
        <v>Basic Table 3  Occupation by Qualification in 2020, Greater Lincolnshire</v>
      </c>
    </row>
    <row r="2" spans="1:33" ht="15" x14ac:dyDescent="0.25">
      <c r="A2" s="365" t="s">
        <v>521</v>
      </c>
    </row>
    <row r="3" spans="1:33" x14ac:dyDescent="0.2">
      <c r="AG3" s="92"/>
    </row>
    <row r="4" spans="1:33" x14ac:dyDescent="0.2">
      <c r="A4" s="96"/>
      <c r="B4" s="95" t="s">
        <v>47</v>
      </c>
      <c r="C4" s="95"/>
      <c r="D4" s="95"/>
      <c r="E4" s="95"/>
      <c r="F4" s="95"/>
      <c r="G4" s="95"/>
      <c r="H4" s="95"/>
      <c r="I4" s="95"/>
      <c r="J4" s="95"/>
      <c r="K4" s="95"/>
      <c r="L4" s="96"/>
      <c r="M4" s="95" t="s">
        <v>46</v>
      </c>
      <c r="N4" s="95"/>
      <c r="O4" s="95"/>
      <c r="P4" s="95"/>
      <c r="Q4" s="95"/>
      <c r="R4" s="95"/>
      <c r="S4" s="95"/>
      <c r="T4" s="95"/>
      <c r="U4" s="95"/>
      <c r="V4" s="95"/>
      <c r="W4" s="96"/>
      <c r="X4" s="95" t="s">
        <v>45</v>
      </c>
      <c r="Y4" s="95"/>
      <c r="Z4" s="95"/>
      <c r="AA4" s="95"/>
      <c r="AB4" s="95"/>
      <c r="AC4" s="95"/>
      <c r="AD4" s="95"/>
      <c r="AE4" s="95"/>
      <c r="AF4" s="95"/>
    </row>
    <row r="5" spans="1:33" x14ac:dyDescent="0.2">
      <c r="B5" s="92"/>
      <c r="C5" s="92"/>
      <c r="D5" s="92"/>
      <c r="E5" s="92"/>
      <c r="F5" s="92"/>
      <c r="G5" s="92"/>
      <c r="H5" s="92"/>
      <c r="I5" s="92"/>
      <c r="J5" s="92"/>
      <c r="K5" s="92"/>
      <c r="M5" s="92"/>
      <c r="N5" s="92"/>
      <c r="O5" s="92"/>
      <c r="P5" s="92"/>
      <c r="Q5" s="92"/>
      <c r="R5" s="92"/>
      <c r="S5" s="92"/>
      <c r="T5" s="92"/>
      <c r="U5" s="92"/>
      <c r="V5" s="92"/>
      <c r="X5" s="92"/>
      <c r="Y5" s="92"/>
      <c r="Z5" s="92"/>
      <c r="AA5" s="92"/>
      <c r="AB5" s="92"/>
      <c r="AC5" s="92"/>
      <c r="AD5" s="92"/>
      <c r="AE5" s="92"/>
      <c r="AF5" s="92"/>
      <c r="AG5" s="92"/>
    </row>
    <row r="6" spans="1:33" ht="51" x14ac:dyDescent="0.2">
      <c r="A6" s="100">
        <f>'Basic T2'!D6</f>
        <v>2020</v>
      </c>
      <c r="B6" s="235" t="str">
        <f>name!$F$4</f>
        <v>RQF8 Doctorate</v>
      </c>
      <c r="C6" s="235" t="str">
        <f>name!$F$5</f>
        <v>RQF7 Other higher degree</v>
      </c>
      <c r="D6" s="235" t="str">
        <f>name!$F$6</f>
        <v>RQF6 First degree</v>
      </c>
      <c r="E6" s="235" t="str">
        <f>name!$F$7</f>
        <v>RQF5 Foundation degree;Nursing;Teaching</v>
      </c>
      <c r="F6" s="235" t="str">
        <f>name!$F$8</f>
        <v>RQF4 HE below degree level</v>
      </c>
      <c r="G6" s="235" t="str">
        <f>name!$F$9</f>
        <v>RQF3 A level &amp; equivalent</v>
      </c>
      <c r="H6" s="235" t="str">
        <f>name!$F$10</f>
        <v>RQF2 GCSE(A-C) &amp; equivalent</v>
      </c>
      <c r="I6" s="235" t="str">
        <f>name!$F$11</f>
        <v>RQF1 GCSE(below grade C) &amp; equivalent</v>
      </c>
      <c r="J6" s="235" t="str">
        <f>name!$F$12</f>
        <v>No Qualification</v>
      </c>
      <c r="K6" s="235" t="str">
        <f>name!$F$3</f>
        <v>All qualifications</v>
      </c>
      <c r="L6" s="92"/>
      <c r="M6" s="235" t="str">
        <f>name!$F$4</f>
        <v>RQF8 Doctorate</v>
      </c>
      <c r="N6" s="235" t="str">
        <f>name!$F$5</f>
        <v>RQF7 Other higher degree</v>
      </c>
      <c r="O6" s="235" t="str">
        <f>name!$F$6</f>
        <v>RQF6 First degree</v>
      </c>
      <c r="P6" s="235" t="str">
        <f>name!$F$7</f>
        <v>RQF5 Foundation degree;Nursing;Teaching</v>
      </c>
      <c r="Q6" s="235" t="str">
        <f>name!$F$8</f>
        <v>RQF4 HE below degree level</v>
      </c>
      <c r="R6" s="235" t="str">
        <f>name!$F$9</f>
        <v>RQF3 A level &amp; equivalent</v>
      </c>
      <c r="S6" s="235" t="str">
        <f>name!$F$10</f>
        <v>RQF2 GCSE(A-C) &amp; equivalent</v>
      </c>
      <c r="T6" s="235" t="str">
        <f>name!$F$11</f>
        <v>RQF1 GCSE(below grade C) &amp; equivalent</v>
      </c>
      <c r="U6" s="235" t="str">
        <f>name!$F$12</f>
        <v>No Qualification</v>
      </c>
      <c r="V6" s="235" t="str">
        <f>name!$F$3</f>
        <v>All qualifications</v>
      </c>
      <c r="W6" s="92"/>
      <c r="X6" s="235" t="str">
        <f>name!$F$4</f>
        <v>RQF8 Doctorate</v>
      </c>
      <c r="Y6" s="235" t="str">
        <f>name!$F$5</f>
        <v>RQF7 Other higher degree</v>
      </c>
      <c r="Z6" s="235" t="str">
        <f>name!$F$6</f>
        <v>RQF6 First degree</v>
      </c>
      <c r="AA6" s="235" t="str">
        <f>name!$F$7</f>
        <v>RQF5 Foundation degree;Nursing;Teaching</v>
      </c>
      <c r="AB6" s="235" t="str">
        <f>name!$F$8</f>
        <v>RQF4 HE below degree level</v>
      </c>
      <c r="AC6" s="235" t="str">
        <f>name!$F$9</f>
        <v>RQF3 A level &amp; equivalent</v>
      </c>
      <c r="AD6" s="235" t="str">
        <f>name!$F$10</f>
        <v>RQF2 GCSE(A-C) &amp; equivalent</v>
      </c>
      <c r="AE6" s="235" t="str">
        <f>name!$F$11</f>
        <v>RQF1 GCSE(below grade C) &amp; equivalent</v>
      </c>
      <c r="AF6" s="235" t="str">
        <f>name!$F$12</f>
        <v>No Qualification</v>
      </c>
      <c r="AG6" s="235" t="str">
        <f>name!$F$3</f>
        <v>All qualifications</v>
      </c>
    </row>
    <row r="8" spans="1:33" x14ac:dyDescent="0.2">
      <c r="A8" s="10" t="str">
        <f>name!D4</f>
        <v>11 Corporate managers and directors</v>
      </c>
      <c r="B8" s="69">
        <f>'Basic T2'!D8</f>
        <v>0.41713119198612725</v>
      </c>
      <c r="C8" s="69">
        <f>'Basic T2'!O8</f>
        <v>3.7091591379940407</v>
      </c>
      <c r="D8" s="69">
        <f>'Basic T2'!Z8</f>
        <v>10.10723156395826</v>
      </c>
      <c r="E8" s="69">
        <f>'Basic T2'!AK8</f>
        <v>2.0099830913093695</v>
      </c>
      <c r="F8" s="69">
        <f>'Basic T2'!AV8</f>
        <v>3.0020866163932811</v>
      </c>
      <c r="G8" s="69">
        <f>'Basic T2'!BG8</f>
        <v>7.8233317853395645</v>
      </c>
      <c r="H8" s="69">
        <f>'Basic T2'!BR8</f>
        <v>5.4757474605823431</v>
      </c>
      <c r="I8" s="69">
        <f>'Basic T2'!CC8</f>
        <v>4.0699578940993204</v>
      </c>
      <c r="J8" s="69">
        <f>'Basic T2'!CN8</f>
        <v>0.67050060133760592</v>
      </c>
      <c r="K8" s="309">
        <f>SUM(B8:J8)</f>
        <v>37.285129342999909</v>
      </c>
      <c r="L8" s="97"/>
      <c r="M8" s="97">
        <f t="shared" ref="M8:M33" si="0">B8/B$35*100</f>
        <v>6.6728337572642111</v>
      </c>
      <c r="N8" s="97">
        <f t="shared" ref="N8:N33" si="1">C8/C$35*100</f>
        <v>8.6431686042598663</v>
      </c>
      <c r="O8" s="97">
        <f t="shared" ref="O8:O33" si="2">D8/D$35*100</f>
        <v>10.763407066175667</v>
      </c>
      <c r="P8" s="97">
        <f t="shared" ref="P8:P33" si="3">E8/E$35*100</f>
        <v>7.140506065822855</v>
      </c>
      <c r="Q8" s="97">
        <f t="shared" ref="Q8:Q33" si="4">F8/F$35*100</f>
        <v>10.432362102234965</v>
      </c>
      <c r="R8" s="97">
        <f t="shared" ref="R8:R33" si="5">G8/G$35*100</f>
        <v>6.7362919368318037</v>
      </c>
      <c r="S8" s="97">
        <f t="shared" ref="S8:S33" si="6">H8/H$35*100</f>
        <v>5.035135743846662</v>
      </c>
      <c r="T8" s="97">
        <f t="shared" ref="T8:T33" si="7">I8/I$35*100</f>
        <v>5.7863424914704291</v>
      </c>
      <c r="U8" s="97">
        <f t="shared" ref="U8:U33" si="8">J8/J$35*100</f>
        <v>3.4165629258753536</v>
      </c>
      <c r="V8" s="97">
        <f t="shared" ref="V8:V33" si="9">K8/K$35*100</f>
        <v>7.2420105746389476</v>
      </c>
      <c r="W8" s="97"/>
      <c r="X8" s="97">
        <f t="shared" ref="X8:X32" si="10">IF($K8&gt;0,B8/$K8*100,0)</f>
        <v>1.1187602117422761</v>
      </c>
      <c r="Y8" s="97">
        <f t="shared" ref="Y8:AG23" si="11">IF($K8&gt;0,C8/$K8*100,0)</f>
        <v>9.9480924522806191</v>
      </c>
      <c r="Z8" s="97">
        <f t="shared" si="11"/>
        <v>27.107942877113395</v>
      </c>
      <c r="AA8" s="97">
        <f t="shared" si="11"/>
        <v>5.3908438209206144</v>
      </c>
      <c r="AB8" s="97">
        <f t="shared" si="11"/>
        <v>8.0516996166915735</v>
      </c>
      <c r="AC8" s="97">
        <f t="shared" si="11"/>
        <v>20.982445074468689</v>
      </c>
      <c r="AD8" s="97">
        <f t="shared" si="11"/>
        <v>14.68614312748894</v>
      </c>
      <c r="AE8" s="97">
        <f t="shared" si="11"/>
        <v>10.915767132408872</v>
      </c>
      <c r="AF8" s="97">
        <f>IF($K8&gt;0,J8/$K8*100,0)</f>
        <v>1.7983056868850287</v>
      </c>
      <c r="AG8" s="97">
        <f t="shared" si="11"/>
        <v>100</v>
      </c>
    </row>
    <row r="9" spans="1:33" x14ac:dyDescent="0.2">
      <c r="A9" s="10" t="str">
        <f>name!D5</f>
        <v>12 Other managers and proprietors</v>
      </c>
      <c r="B9" s="69">
        <f>'Basic T2'!D9</f>
        <v>0.16496269976498343</v>
      </c>
      <c r="C9" s="69">
        <f>'Basic T2'!O9</f>
        <v>1.4639151183220365</v>
      </c>
      <c r="D9" s="69">
        <f>'Basic T2'!Z9</f>
        <v>3.6975206687357849</v>
      </c>
      <c r="E9" s="69">
        <f>'Basic T2'!AK9</f>
        <v>1.107411270016369</v>
      </c>
      <c r="F9" s="69">
        <f>'Basic T2'!AV9</f>
        <v>1.2159975935663756</v>
      </c>
      <c r="G9" s="69">
        <f>'Basic T2'!BG9</f>
        <v>3.5490332657397783</v>
      </c>
      <c r="H9" s="69">
        <f>'Basic T2'!BR9</f>
        <v>3.4400075515962465</v>
      </c>
      <c r="I9" s="69">
        <f>'Basic T2'!CC9</f>
        <v>2.2721386381501869</v>
      </c>
      <c r="J9" s="69">
        <f>'Basic T2'!CN9</f>
        <v>0.71217078921417365</v>
      </c>
      <c r="K9" s="309">
        <f>SUM(B9:J9)</f>
        <v>17.623157595105933</v>
      </c>
      <c r="L9" s="97"/>
      <c r="M9" s="97">
        <f t="shared" si="0"/>
        <v>2.6389028028329067</v>
      </c>
      <c r="N9" s="97">
        <f t="shared" si="1"/>
        <v>3.411248943291556</v>
      </c>
      <c r="O9" s="97">
        <f t="shared" si="2"/>
        <v>3.937568842799462</v>
      </c>
      <c r="P9" s="97">
        <f t="shared" si="3"/>
        <v>3.9341011997077455</v>
      </c>
      <c r="Q9" s="97">
        <f t="shared" si="4"/>
        <v>4.2256366429465171</v>
      </c>
      <c r="R9" s="97">
        <f t="shared" si="5"/>
        <v>3.0559005839879561</v>
      </c>
      <c r="S9" s="97">
        <f t="shared" si="6"/>
        <v>3.1632037647518958</v>
      </c>
      <c r="T9" s="97">
        <f t="shared" si="7"/>
        <v>3.2303460356436164</v>
      </c>
      <c r="U9" s="97">
        <f t="shared" si="8"/>
        <v>3.6288950531386628</v>
      </c>
      <c r="V9" s="97">
        <f t="shared" si="9"/>
        <v>3.4230025726395179</v>
      </c>
      <c r="W9" s="97"/>
      <c r="X9" s="97">
        <f t="shared" si="10"/>
        <v>0.93605642958555091</v>
      </c>
      <c r="Y9" s="97">
        <f t="shared" si="11"/>
        <v>8.3067697171849346</v>
      </c>
      <c r="Z9" s="97">
        <f t="shared" si="11"/>
        <v>20.981033896914198</v>
      </c>
      <c r="AA9" s="97">
        <f t="shared" si="11"/>
        <v>6.2838413833619935</v>
      </c>
      <c r="AB9" s="97">
        <f t="shared" si="11"/>
        <v>6.8999984083673302</v>
      </c>
      <c r="AC9" s="97">
        <f t="shared" si="11"/>
        <v>20.138464100924615</v>
      </c>
      <c r="AD9" s="97">
        <f t="shared" si="11"/>
        <v>19.519813819014811</v>
      </c>
      <c r="AE9" s="97">
        <f t="shared" si="11"/>
        <v>12.892914484185141</v>
      </c>
      <c r="AF9" s="97">
        <f t="shared" si="11"/>
        <v>4.0411077604614292</v>
      </c>
      <c r="AG9" s="97">
        <f t="shared" si="11"/>
        <v>100</v>
      </c>
    </row>
    <row r="10" spans="1:33" x14ac:dyDescent="0.2">
      <c r="A10" s="10" t="str">
        <f>name!D6</f>
        <v>21 Science, research, engineering and technology professionals</v>
      </c>
      <c r="B10" s="69">
        <f>'Basic T2'!D10</f>
        <v>1.1795527442345379</v>
      </c>
      <c r="C10" s="69">
        <f>'Basic T2'!O10</f>
        <v>4.4020512238924958</v>
      </c>
      <c r="D10" s="69">
        <f>'Basic T2'!Z10</f>
        <v>8.484863383096318</v>
      </c>
      <c r="E10" s="69">
        <f>'Basic T2'!AK10</f>
        <v>0.98127955071802453</v>
      </c>
      <c r="F10" s="69">
        <f>'Basic T2'!AV10</f>
        <v>2.7629090705919492</v>
      </c>
      <c r="G10" s="69">
        <f>'Basic T2'!BG10</f>
        <v>5.2066510036602676</v>
      </c>
      <c r="H10" s="69">
        <f>'Basic T2'!BR10</f>
        <v>2.9786324461879756</v>
      </c>
      <c r="I10" s="69">
        <f>'Basic T2'!CC10</f>
        <v>1.7472019807772543</v>
      </c>
      <c r="J10" s="69">
        <f>'Basic T2'!CN10</f>
        <v>0.34438228305067559</v>
      </c>
      <c r="K10" s="309">
        <f t="shared" ref="K10:K32" si="12">SUM(B10:J10)</f>
        <v>28.087523686209501</v>
      </c>
      <c r="L10" s="97"/>
      <c r="M10" s="97">
        <f t="shared" si="0"/>
        <v>18.869265884253586</v>
      </c>
      <c r="N10" s="97">
        <f t="shared" si="1"/>
        <v>10.257761804544192</v>
      </c>
      <c r="O10" s="97">
        <f t="shared" si="2"/>
        <v>9.0357124911253521</v>
      </c>
      <c r="P10" s="97">
        <f t="shared" si="3"/>
        <v>3.4860156856371853</v>
      </c>
      <c r="Q10" s="97">
        <f t="shared" si="4"/>
        <v>9.6012112783719594</v>
      </c>
      <c r="R10" s="97">
        <f t="shared" si="5"/>
        <v>4.4831949016376198</v>
      </c>
      <c r="S10" s="97">
        <f t="shared" si="6"/>
        <v>2.7389536872446425</v>
      </c>
      <c r="T10" s="97">
        <f t="shared" si="7"/>
        <v>2.4840328390645539</v>
      </c>
      <c r="U10" s="97">
        <f t="shared" si="8"/>
        <v>1.7548138484171396</v>
      </c>
      <c r="V10" s="97">
        <f t="shared" si="9"/>
        <v>5.4555300500557422</v>
      </c>
      <c r="W10" s="97"/>
      <c r="X10" s="97">
        <f t="shared" si="10"/>
        <v>4.199561190984161</v>
      </c>
      <c r="Y10" s="97">
        <f t="shared" si="11"/>
        <v>15.672621314259287</v>
      </c>
      <c r="Z10" s="97">
        <f t="shared" si="11"/>
        <v>30.208655906758498</v>
      </c>
      <c r="AA10" s="97">
        <f t="shared" si="11"/>
        <v>3.4936492147928879</v>
      </c>
      <c r="AB10" s="97">
        <f t="shared" si="11"/>
        <v>9.8367841232956064</v>
      </c>
      <c r="AC10" s="97">
        <f t="shared" si="11"/>
        <v>18.537237607089747</v>
      </c>
      <c r="AD10" s="97">
        <f t="shared" si="11"/>
        <v>10.604823976171433</v>
      </c>
      <c r="AE10" s="97">
        <f t="shared" si="11"/>
        <v>6.2205625540250136</v>
      </c>
      <c r="AF10" s="97">
        <f t="shared" si="11"/>
        <v>1.2261041126233618</v>
      </c>
      <c r="AG10" s="97">
        <f t="shared" si="11"/>
        <v>100</v>
      </c>
    </row>
    <row r="11" spans="1:33" x14ac:dyDescent="0.2">
      <c r="A11" s="10" t="str">
        <f>name!D7</f>
        <v>22 Health professionals</v>
      </c>
      <c r="B11" s="69">
        <f>'Basic T2'!D11</f>
        <v>1.2963197931675607</v>
      </c>
      <c r="C11" s="69">
        <f>'Basic T2'!O11</f>
        <v>3.8115023550599458</v>
      </c>
      <c r="D11" s="69">
        <f>'Basic T2'!Z11</f>
        <v>8.5951494090910519</v>
      </c>
      <c r="E11" s="69">
        <f>'Basic T2'!AK11</f>
        <v>2.7563466086949155</v>
      </c>
      <c r="F11" s="69">
        <f>'Basic T2'!AV11</f>
        <v>0.62531849444881504</v>
      </c>
      <c r="G11" s="69">
        <f>'Basic T2'!BG11</f>
        <v>2.363968544148388</v>
      </c>
      <c r="H11" s="69">
        <f>'Basic T2'!BR11</f>
        <v>1.7208496416992762</v>
      </c>
      <c r="I11" s="69">
        <f>'Basic T2'!CC11</f>
        <v>0.9322508015506018</v>
      </c>
      <c r="J11" s="69">
        <f>'Basic T2'!CN11</f>
        <v>0.10299641085245206</v>
      </c>
      <c r="K11" s="309">
        <f t="shared" si="12"/>
        <v>22.204702058713007</v>
      </c>
      <c r="L11" s="97"/>
      <c r="M11" s="97">
        <f t="shared" si="0"/>
        <v>20.737184469163221</v>
      </c>
      <c r="N11" s="97">
        <f t="shared" si="1"/>
        <v>8.8816511410542738</v>
      </c>
      <c r="O11" s="97">
        <f t="shared" si="2"/>
        <v>9.1531584390073721</v>
      </c>
      <c r="P11" s="97">
        <f t="shared" si="3"/>
        <v>9.7919777355315869</v>
      </c>
      <c r="Q11" s="97">
        <f t="shared" si="4"/>
        <v>2.1730049118808776</v>
      </c>
      <c r="R11" s="97">
        <f t="shared" si="5"/>
        <v>2.0354987721103819</v>
      </c>
      <c r="S11" s="97">
        <f t="shared" si="6"/>
        <v>1.5823796847972713</v>
      </c>
      <c r="T11" s="97">
        <f t="shared" si="7"/>
        <v>1.3254000572193572</v>
      </c>
      <c r="U11" s="97">
        <f t="shared" si="8"/>
        <v>0.52482237616895222</v>
      </c>
      <c r="V11" s="97">
        <f t="shared" si="9"/>
        <v>4.3128906872384887</v>
      </c>
      <c r="W11" s="97"/>
      <c r="X11" s="97">
        <f t="shared" si="10"/>
        <v>5.8380418243841818</v>
      </c>
      <c r="Y11" s="97">
        <f t="shared" si="11"/>
        <v>17.165293841735348</v>
      </c>
      <c r="Z11" s="97">
        <f t="shared" si="11"/>
        <v>38.708690557360399</v>
      </c>
      <c r="AA11" s="97">
        <f t="shared" si="11"/>
        <v>12.413346512854199</v>
      </c>
      <c r="AB11" s="97">
        <f t="shared" si="11"/>
        <v>2.8161535011610002</v>
      </c>
      <c r="AC11" s="97">
        <f t="shared" si="11"/>
        <v>10.646252032104071</v>
      </c>
      <c r="AD11" s="97">
        <f t="shared" si="11"/>
        <v>7.7499334922353711</v>
      </c>
      <c r="AE11" s="97">
        <f t="shared" si="11"/>
        <v>4.1984386869302375</v>
      </c>
      <c r="AF11" s="97">
        <f t="shared" si="11"/>
        <v>0.46384955123519356</v>
      </c>
      <c r="AG11" s="97">
        <f t="shared" si="11"/>
        <v>100</v>
      </c>
    </row>
    <row r="12" spans="1:33" x14ac:dyDescent="0.2">
      <c r="A12" s="10" t="str">
        <f>name!D8</f>
        <v>23 Teaching and other educational professionals</v>
      </c>
      <c r="B12" s="69">
        <f>'Basic T2'!D12</f>
        <v>1.6567646521892918</v>
      </c>
      <c r="C12" s="69">
        <f>'Basic T2'!O12</f>
        <v>9.0602830466007909</v>
      </c>
      <c r="D12" s="69">
        <f>'Basic T2'!Z12</f>
        <v>5.4689732190269336</v>
      </c>
      <c r="E12" s="69">
        <f>'Basic T2'!AK12</f>
        <v>0.45639461613226062</v>
      </c>
      <c r="F12" s="69">
        <f>'Basic T2'!AV12</f>
        <v>0.27186356080578344</v>
      </c>
      <c r="G12" s="69">
        <f>'Basic T2'!BG12</f>
        <v>1.0951048960004408</v>
      </c>
      <c r="H12" s="69">
        <f>'Basic T2'!BR12</f>
        <v>0.73412841755982594</v>
      </c>
      <c r="I12" s="69">
        <f>'Basic T2'!CC12</f>
        <v>0.53365107742351248</v>
      </c>
      <c r="J12" s="69">
        <f>'Basic T2'!CN12</f>
        <v>0.14869741903873604</v>
      </c>
      <c r="K12" s="309">
        <f t="shared" si="12"/>
        <v>19.425860904777579</v>
      </c>
      <c r="L12" s="97"/>
      <c r="M12" s="97">
        <f t="shared" si="0"/>
        <v>26.503208849791505</v>
      </c>
      <c r="N12" s="97">
        <f t="shared" si="1"/>
        <v>21.112481578894631</v>
      </c>
      <c r="O12" s="97">
        <f t="shared" si="2"/>
        <v>5.8240265514750869</v>
      </c>
      <c r="P12" s="97">
        <f t="shared" si="3"/>
        <v>1.6213512138444672</v>
      </c>
      <c r="Q12" s="97">
        <f t="shared" si="4"/>
        <v>0.94473593574601888</v>
      </c>
      <c r="R12" s="97">
        <f t="shared" si="5"/>
        <v>0.94294176488037196</v>
      </c>
      <c r="S12" s="97">
        <f t="shared" si="6"/>
        <v>0.67505601060644105</v>
      </c>
      <c r="T12" s="97">
        <f t="shared" si="7"/>
        <v>0.75870266603777592</v>
      </c>
      <c r="U12" s="97">
        <f t="shared" si="8"/>
        <v>0.75769371130704721</v>
      </c>
      <c r="V12" s="97">
        <f t="shared" si="9"/>
        <v>3.7731474336504327</v>
      </c>
      <c r="W12" s="97"/>
      <c r="X12" s="97">
        <f t="shared" si="10"/>
        <v>8.5286549734422756</v>
      </c>
      <c r="Y12" s="97">
        <f t="shared" si="11"/>
        <v>46.640316694394294</v>
      </c>
      <c r="Z12" s="97">
        <f t="shared" si="11"/>
        <v>28.153054558739782</v>
      </c>
      <c r="AA12" s="97">
        <f t="shared" si="11"/>
        <v>2.3494177085351997</v>
      </c>
      <c r="AB12" s="97">
        <f t="shared" si="11"/>
        <v>1.3994929858625806</v>
      </c>
      <c r="AC12" s="97">
        <f t="shared" si="11"/>
        <v>5.6373557978638242</v>
      </c>
      <c r="AD12" s="97">
        <f t="shared" si="11"/>
        <v>3.7791293840638742</v>
      </c>
      <c r="AE12" s="97">
        <f t="shared" si="11"/>
        <v>2.7471167431877719</v>
      </c>
      <c r="AF12" s="97">
        <f t="shared" si="11"/>
        <v>0.76546115391038094</v>
      </c>
      <c r="AG12" s="97">
        <f t="shared" si="11"/>
        <v>100</v>
      </c>
    </row>
    <row r="13" spans="1:33" x14ac:dyDescent="0.2">
      <c r="A13" s="10" t="str">
        <f>name!D9</f>
        <v>24 Business, media and public service professionals</v>
      </c>
      <c r="B13" s="69">
        <f>'Basic T2'!D13</f>
        <v>0.45169652958833956</v>
      </c>
      <c r="C13" s="69">
        <f>'Basic T2'!O13</f>
        <v>6.0336837776903014</v>
      </c>
      <c r="D13" s="69">
        <f>'Basic T2'!Z13</f>
        <v>11.149457051925712</v>
      </c>
      <c r="E13" s="69">
        <f>'Basic T2'!AK13</f>
        <v>1.1148755065060769</v>
      </c>
      <c r="F13" s="69">
        <f>'Basic T2'!AV13</f>
        <v>1.8735705807770846</v>
      </c>
      <c r="G13" s="69">
        <f>'Basic T2'!BG13</f>
        <v>4.7946935912585396</v>
      </c>
      <c r="H13" s="69">
        <f>'Basic T2'!BR13</f>
        <v>3.117450697312159</v>
      </c>
      <c r="I13" s="69">
        <f>'Basic T2'!CC13</f>
        <v>2.1037204629685213</v>
      </c>
      <c r="J13" s="69">
        <f>'Basic T2'!CN13</f>
        <v>0.3959936643803475</v>
      </c>
      <c r="K13" s="309">
        <f t="shared" si="12"/>
        <v>31.035141862407084</v>
      </c>
      <c r="L13" s="97"/>
      <c r="M13" s="97">
        <f t="shared" si="0"/>
        <v>7.2257743093362494</v>
      </c>
      <c r="N13" s="97">
        <f t="shared" si="1"/>
        <v>14.059829803788984</v>
      </c>
      <c r="O13" s="97">
        <f t="shared" si="2"/>
        <v>11.873295279456496</v>
      </c>
      <c r="P13" s="97">
        <f t="shared" si="3"/>
        <v>3.960618052591705</v>
      </c>
      <c r="Q13" s="97">
        <f t="shared" si="4"/>
        <v>6.5107271109464433</v>
      </c>
      <c r="R13" s="97">
        <f t="shared" si="5"/>
        <v>4.1284783343714642</v>
      </c>
      <c r="S13" s="97">
        <f t="shared" si="6"/>
        <v>2.8666017833566793</v>
      </c>
      <c r="T13" s="97">
        <f t="shared" si="7"/>
        <v>2.9909024667549895</v>
      </c>
      <c r="U13" s="97">
        <f t="shared" si="8"/>
        <v>2.017801728893903</v>
      </c>
      <c r="V13" s="97">
        <f t="shared" si="9"/>
        <v>6.0280554074346782</v>
      </c>
      <c r="W13" s="97"/>
      <c r="X13" s="97">
        <f t="shared" si="10"/>
        <v>1.4554356851046981</v>
      </c>
      <c r="Y13" s="97">
        <f t="shared" si="11"/>
        <v>19.441457056778955</v>
      </c>
      <c r="Z13" s="97">
        <f t="shared" si="11"/>
        <v>35.925265305234731</v>
      </c>
      <c r="AA13" s="97">
        <f t="shared" si="11"/>
        <v>3.5923003395596766</v>
      </c>
      <c r="AB13" s="97">
        <f t="shared" si="11"/>
        <v>6.036932549184006</v>
      </c>
      <c r="AC13" s="97">
        <f t="shared" si="11"/>
        <v>15.449240130802686</v>
      </c>
      <c r="AD13" s="97">
        <f t="shared" si="11"/>
        <v>10.044905581979414</v>
      </c>
      <c r="AE13" s="97">
        <f t="shared" si="11"/>
        <v>6.7785108645395349</v>
      </c>
      <c r="AF13" s="97">
        <f t="shared" si="11"/>
        <v>1.2759524868162928</v>
      </c>
      <c r="AG13" s="97">
        <f t="shared" si="11"/>
        <v>100</v>
      </c>
    </row>
    <row r="14" spans="1:33" x14ac:dyDescent="0.2">
      <c r="A14" s="10" t="str">
        <f>name!D10</f>
        <v>31 Science, engineering and technology associate professionals</v>
      </c>
      <c r="B14" s="69">
        <f>'Basic T2'!D14</f>
        <v>0.15169734629050111</v>
      </c>
      <c r="C14" s="69">
        <f>'Basic T2'!O14</f>
        <v>0.89609726882703056</v>
      </c>
      <c r="D14" s="69">
        <f>'Basic T2'!Z14</f>
        <v>2.1446426630365618</v>
      </c>
      <c r="E14" s="69">
        <f>'Basic T2'!AK14</f>
        <v>0.39083195813041088</v>
      </c>
      <c r="F14" s="69">
        <f>'Basic T2'!AV14</f>
        <v>1.0211445519242559</v>
      </c>
      <c r="G14" s="69">
        <f>'Basic T2'!BG14</f>
        <v>2.4576144055774156</v>
      </c>
      <c r="H14" s="69">
        <f>'Basic T2'!BR14</f>
        <v>1.5733118436514835</v>
      </c>
      <c r="I14" s="69">
        <f>'Basic T2'!CC14</f>
        <v>1.3303917183502367</v>
      </c>
      <c r="J14" s="69">
        <f>'Basic T2'!CN14</f>
        <v>0.2453096750615131</v>
      </c>
      <c r="K14" s="309">
        <f t="shared" si="12"/>
        <v>10.211041430849409</v>
      </c>
      <c r="L14" s="97"/>
      <c r="M14" s="97">
        <f t="shared" si="0"/>
        <v>2.4266973860068459</v>
      </c>
      <c r="N14" s="97">
        <f t="shared" si="1"/>
        <v>2.0881066279829286</v>
      </c>
      <c r="O14" s="97">
        <f t="shared" si="2"/>
        <v>2.2838758415374976</v>
      </c>
      <c r="P14" s="97">
        <f t="shared" si="3"/>
        <v>1.3884385295647657</v>
      </c>
      <c r="Q14" s="97">
        <f t="shared" si="4"/>
        <v>3.5485151115315952</v>
      </c>
      <c r="R14" s="97">
        <f t="shared" si="5"/>
        <v>2.1161326859684331</v>
      </c>
      <c r="S14" s="97">
        <f t="shared" si="6"/>
        <v>1.4467136691772107</v>
      </c>
      <c r="T14" s="97">
        <f t="shared" si="7"/>
        <v>1.8914451526270446</v>
      </c>
      <c r="U14" s="97">
        <f t="shared" si="8"/>
        <v>1.2499853683974447</v>
      </c>
      <c r="V14" s="97">
        <f t="shared" si="9"/>
        <v>1.9833234140079838</v>
      </c>
      <c r="W14" s="97"/>
      <c r="X14" s="97">
        <f t="shared" si="10"/>
        <v>1.4856207108532133</v>
      </c>
      <c r="Y14" s="97">
        <f t="shared" si="11"/>
        <v>8.7757676324743716</v>
      </c>
      <c r="Z14" s="97">
        <f t="shared" si="11"/>
        <v>21.003172669118815</v>
      </c>
      <c r="AA14" s="97">
        <f t="shared" si="11"/>
        <v>3.8275425751347618</v>
      </c>
      <c r="AB14" s="97">
        <f t="shared" si="11"/>
        <v>10.000395736709018</v>
      </c>
      <c r="AC14" s="97">
        <f t="shared" si="11"/>
        <v>24.06820520924062</v>
      </c>
      <c r="AD14" s="97">
        <f t="shared" si="11"/>
        <v>15.407946920068532</v>
      </c>
      <c r="AE14" s="97">
        <f t="shared" si="11"/>
        <v>13.028952309711347</v>
      </c>
      <c r="AF14" s="97">
        <f t="shared" si="11"/>
        <v>2.4023962366893161</v>
      </c>
      <c r="AG14" s="97">
        <f t="shared" si="11"/>
        <v>100</v>
      </c>
    </row>
    <row r="15" spans="1:33" x14ac:dyDescent="0.2">
      <c r="A15" s="10" t="str">
        <f>name!D11</f>
        <v>32 Health and social care associate professionals</v>
      </c>
      <c r="B15" s="69">
        <f>'Basic T2'!D15</f>
        <v>3.9544385488059573E-2</v>
      </c>
      <c r="C15" s="69">
        <f>'Basic T2'!O15</f>
        <v>0.94217246466835936</v>
      </c>
      <c r="D15" s="69">
        <f>'Basic T2'!Z15</f>
        <v>2.8617827420405693</v>
      </c>
      <c r="E15" s="69">
        <f>'Basic T2'!AK15</f>
        <v>1.4201333991890113</v>
      </c>
      <c r="F15" s="69">
        <f>'Basic T2'!AV15</f>
        <v>0.47412825156361654</v>
      </c>
      <c r="G15" s="69">
        <f>'Basic T2'!BG15</f>
        <v>2.0645290306702528</v>
      </c>
      <c r="H15" s="69">
        <f>'Basic T2'!BR15</f>
        <v>1.522421541011507</v>
      </c>
      <c r="I15" s="69">
        <f>'Basic T2'!CC15</f>
        <v>0.44585420428295058</v>
      </c>
      <c r="J15" s="69">
        <f>'Basic T2'!CN15</f>
        <v>6.2897593381535583E-2</v>
      </c>
      <c r="K15" s="309">
        <f t="shared" si="12"/>
        <v>9.8334636122958621</v>
      </c>
      <c r="L15" s="97"/>
      <c r="M15" s="97">
        <f t="shared" si="0"/>
        <v>0.63259021493594925</v>
      </c>
      <c r="N15" s="97">
        <f t="shared" si="1"/>
        <v>2.195472117387697</v>
      </c>
      <c r="O15" s="97">
        <f t="shared" si="2"/>
        <v>3.0475736498784585</v>
      </c>
      <c r="P15" s="97">
        <f t="shared" si="3"/>
        <v>5.0450529633962873</v>
      </c>
      <c r="Q15" s="97">
        <f t="shared" si="4"/>
        <v>1.6476132221506912</v>
      </c>
      <c r="R15" s="97">
        <f t="shared" si="5"/>
        <v>1.7776659157829098</v>
      </c>
      <c r="S15" s="97">
        <f t="shared" si="6"/>
        <v>1.3999183076887045</v>
      </c>
      <c r="T15" s="97">
        <f t="shared" si="7"/>
        <v>0.6338800533989547</v>
      </c>
      <c r="U15" s="97">
        <f t="shared" si="8"/>
        <v>0.32049723034616007</v>
      </c>
      <c r="V15" s="97">
        <f t="shared" si="9"/>
        <v>1.9099852600871829</v>
      </c>
      <c r="W15" s="97"/>
      <c r="X15" s="97">
        <f t="shared" si="10"/>
        <v>0.40214096525066584</v>
      </c>
      <c r="Y15" s="97">
        <f t="shared" si="11"/>
        <v>9.5812879552455694</v>
      </c>
      <c r="Z15" s="97">
        <f t="shared" si="11"/>
        <v>29.102489772394819</v>
      </c>
      <c r="AA15" s="97">
        <f t="shared" si="11"/>
        <v>14.441843232259103</v>
      </c>
      <c r="AB15" s="97">
        <f t="shared" si="11"/>
        <v>4.8215793565429159</v>
      </c>
      <c r="AC15" s="97">
        <f t="shared" si="11"/>
        <v>20.99493232566341</v>
      </c>
      <c r="AD15" s="97">
        <f t="shared" si="11"/>
        <v>15.482047842307118</v>
      </c>
      <c r="AE15" s="97">
        <f t="shared" si="11"/>
        <v>4.5340504817188725</v>
      </c>
      <c r="AF15" s="97">
        <f t="shared" si="11"/>
        <v>0.63962806861752963</v>
      </c>
      <c r="AG15" s="97">
        <f t="shared" si="11"/>
        <v>100</v>
      </c>
    </row>
    <row r="16" spans="1:33" x14ac:dyDescent="0.2">
      <c r="A16" s="10" t="str">
        <f>name!D12</f>
        <v>33 Protective service occupations</v>
      </c>
      <c r="B16" s="69">
        <f>'Basic T2'!D16</f>
        <v>1.900256954913351E-2</v>
      </c>
      <c r="C16" s="69">
        <f>'Basic T2'!O16</f>
        <v>0.27918701847453203</v>
      </c>
      <c r="D16" s="69">
        <f>'Basic T2'!Z16</f>
        <v>1.336270559191616</v>
      </c>
      <c r="E16" s="69">
        <f>'Basic T2'!AK16</f>
        <v>0.3764903469858773</v>
      </c>
      <c r="F16" s="69">
        <f>'Basic T2'!AV16</f>
        <v>0.27335088896490656</v>
      </c>
      <c r="G16" s="69">
        <f>'Basic T2'!BG16</f>
        <v>1.3291785008613848</v>
      </c>
      <c r="H16" s="69">
        <f>'Basic T2'!BR16</f>
        <v>1.31375376856002</v>
      </c>
      <c r="I16" s="69">
        <f>'Basic T2'!CC16</f>
        <v>0.70521900208186394</v>
      </c>
      <c r="J16" s="69">
        <f>'Basic T2'!CN16</f>
        <v>9.3520246564536808E-2</v>
      </c>
      <c r="K16" s="309">
        <f t="shared" si="12"/>
        <v>5.7259729012338711</v>
      </c>
      <c r="L16" s="97"/>
      <c r="M16" s="97">
        <f t="shared" si="0"/>
        <v>0.30398347090388805</v>
      </c>
      <c r="N16" s="97">
        <f t="shared" si="1"/>
        <v>0.65056806219994301</v>
      </c>
      <c r="O16" s="97">
        <f t="shared" si="2"/>
        <v>1.4230230986706367</v>
      </c>
      <c r="P16" s="97">
        <f t="shared" si="3"/>
        <v>1.3374896624752897</v>
      </c>
      <c r="Q16" s="97">
        <f t="shared" si="4"/>
        <v>0.94990445614649444</v>
      </c>
      <c r="R16" s="97">
        <f t="shared" si="5"/>
        <v>1.1444912044688518</v>
      </c>
      <c r="S16" s="97">
        <f t="shared" si="6"/>
        <v>1.2080412046589011</v>
      </c>
      <c r="T16" s="97">
        <f t="shared" si="7"/>
        <v>1.0026242982648119</v>
      </c>
      <c r="U16" s="97">
        <f t="shared" si="8"/>
        <v>0.47653619787021922</v>
      </c>
      <c r="V16" s="97">
        <f t="shared" si="9"/>
        <v>1.1121741303176427</v>
      </c>
      <c r="W16" s="97"/>
      <c r="X16" s="97">
        <f t="shared" si="10"/>
        <v>0.33186621517259901</v>
      </c>
      <c r="Y16" s="97">
        <f t="shared" si="11"/>
        <v>4.875800554598694</v>
      </c>
      <c r="Z16" s="97">
        <f t="shared" si="11"/>
        <v>23.337004597134356</v>
      </c>
      <c r="AA16" s="97">
        <f t="shared" si="11"/>
        <v>6.5751332302803709</v>
      </c>
      <c r="AB16" s="97">
        <f t="shared" si="11"/>
        <v>4.7738767486308413</v>
      </c>
      <c r="AC16" s="97">
        <f t="shared" si="11"/>
        <v>23.213146897271631</v>
      </c>
      <c r="AD16" s="97">
        <f t="shared" si="11"/>
        <v>22.943765037325335</v>
      </c>
      <c r="AE16" s="97">
        <f t="shared" si="11"/>
        <v>12.316142850237705</v>
      </c>
      <c r="AF16" s="97">
        <f t="shared" si="11"/>
        <v>1.6332638693484638</v>
      </c>
      <c r="AG16" s="97">
        <f t="shared" si="11"/>
        <v>100</v>
      </c>
    </row>
    <row r="17" spans="1:33" x14ac:dyDescent="0.2">
      <c r="A17" s="10" t="str">
        <f>name!D13</f>
        <v>34 Culture, media and sports occupations</v>
      </c>
      <c r="B17" s="69">
        <f>'Basic T2'!D17</f>
        <v>8.8767825991790089E-2</v>
      </c>
      <c r="C17" s="69">
        <f>'Basic T2'!O17</f>
        <v>1.1459800972115457</v>
      </c>
      <c r="D17" s="69">
        <f>'Basic T2'!Z17</f>
        <v>2.4493624935180351</v>
      </c>
      <c r="E17" s="69">
        <f>'Basic T2'!AK17</f>
        <v>0.34911832683106159</v>
      </c>
      <c r="F17" s="69">
        <f>'Basic T2'!AV17</f>
        <v>0.40440931898911409</v>
      </c>
      <c r="G17" s="69">
        <f>'Basic T2'!BG17</f>
        <v>1.1298375496592095</v>
      </c>
      <c r="H17" s="69">
        <f>'Basic T2'!BR17</f>
        <v>0.47949200588278107</v>
      </c>
      <c r="I17" s="69">
        <f>'Basic T2'!CC17</f>
        <v>0.44285011612719072</v>
      </c>
      <c r="J17" s="69">
        <f>'Basic T2'!CN17</f>
        <v>0.14825515914203705</v>
      </c>
      <c r="K17" s="309">
        <f t="shared" si="12"/>
        <v>6.6380728933527644</v>
      </c>
      <c r="L17" s="97"/>
      <c r="M17" s="97">
        <f t="shared" si="0"/>
        <v>1.420015949938052</v>
      </c>
      <c r="N17" s="97">
        <f t="shared" si="1"/>
        <v>2.6703893871434676</v>
      </c>
      <c r="O17" s="97">
        <f t="shared" si="2"/>
        <v>2.6083785063724241</v>
      </c>
      <c r="P17" s="97">
        <f t="shared" si="3"/>
        <v>1.2402500007117849</v>
      </c>
      <c r="Q17" s="97">
        <f t="shared" si="4"/>
        <v>1.4053373510859395</v>
      </c>
      <c r="R17" s="97">
        <f t="shared" si="5"/>
        <v>0.97284837004631664</v>
      </c>
      <c r="S17" s="97">
        <f t="shared" si="6"/>
        <v>0.44090918273509355</v>
      </c>
      <c r="T17" s="97">
        <f t="shared" si="7"/>
        <v>0.62960907974367475</v>
      </c>
      <c r="U17" s="97">
        <f t="shared" si="8"/>
        <v>0.75544015812059384</v>
      </c>
      <c r="V17" s="97">
        <f t="shared" si="9"/>
        <v>1.2893342449383332</v>
      </c>
      <c r="W17" s="97"/>
      <c r="X17" s="97">
        <f t="shared" si="10"/>
        <v>1.3372529560601909</v>
      </c>
      <c r="Y17" s="97">
        <f t="shared" si="11"/>
        <v>17.2637468075879</v>
      </c>
      <c r="Z17" s="97">
        <f t="shared" si="11"/>
        <v>36.898698355222621</v>
      </c>
      <c r="AA17" s="97">
        <f t="shared" si="11"/>
        <v>5.2593325267738749</v>
      </c>
      <c r="AB17" s="97">
        <f t="shared" si="11"/>
        <v>6.0922699326499057</v>
      </c>
      <c r="AC17" s="97">
        <f t="shared" si="11"/>
        <v>17.020565573942502</v>
      </c>
      <c r="AD17" s="97">
        <f t="shared" si="11"/>
        <v>7.2233615627049677</v>
      </c>
      <c r="AE17" s="97">
        <f t="shared" si="11"/>
        <v>6.6713656695552723</v>
      </c>
      <c r="AF17" s="97">
        <f t="shared" si="11"/>
        <v>2.2334066155027741</v>
      </c>
      <c r="AG17" s="97">
        <f t="shared" si="11"/>
        <v>100</v>
      </c>
    </row>
    <row r="18" spans="1:33" x14ac:dyDescent="0.2">
      <c r="A18" s="10" t="str">
        <f>name!D14</f>
        <v>35 Business and public service associate professionals</v>
      </c>
      <c r="B18" s="69">
        <f>'Basic T2'!D18</f>
        <v>0.28951606068078672</v>
      </c>
      <c r="C18" s="69">
        <f>'Basic T2'!O18</f>
        <v>3.1591002076536201</v>
      </c>
      <c r="D18" s="69">
        <f>'Basic T2'!Z18</f>
        <v>7.1967686981432744</v>
      </c>
      <c r="E18" s="69">
        <f>'Basic T2'!AK18</f>
        <v>2.214480260503001</v>
      </c>
      <c r="F18" s="69">
        <f>'Basic T2'!AV18</f>
        <v>1.9604676642650976</v>
      </c>
      <c r="G18" s="69">
        <f>'Basic T2'!BG18</f>
        <v>6.1681199091314411</v>
      </c>
      <c r="H18" s="69">
        <f>'Basic T2'!BR18</f>
        <v>4.6602124500013931</v>
      </c>
      <c r="I18" s="69">
        <f>'Basic T2'!CC18</f>
        <v>2.8699623158727148</v>
      </c>
      <c r="J18" s="69">
        <f>'Basic T2'!CN18</f>
        <v>0.51019474216407845</v>
      </c>
      <c r="K18" s="309">
        <f t="shared" si="12"/>
        <v>29.028822308415407</v>
      </c>
      <c r="L18" s="97"/>
      <c r="M18" s="97">
        <f t="shared" si="0"/>
        <v>4.6313787606781451</v>
      </c>
      <c r="N18" s="97">
        <f t="shared" si="1"/>
        <v>7.3614085340294331</v>
      </c>
      <c r="O18" s="97">
        <f t="shared" si="2"/>
        <v>7.6639929113181502</v>
      </c>
      <c r="P18" s="97">
        <f t="shared" si="3"/>
        <v>7.8669864443814115</v>
      </c>
      <c r="Q18" s="97">
        <f t="shared" si="4"/>
        <v>6.8126976922164202</v>
      </c>
      <c r="R18" s="97">
        <f t="shared" si="5"/>
        <v>5.3110691901315539</v>
      </c>
      <c r="S18" s="97">
        <f t="shared" si="6"/>
        <v>4.2852236064271976</v>
      </c>
      <c r="T18" s="97">
        <f t="shared" si="7"/>
        <v>4.0802842017922636</v>
      </c>
      <c r="U18" s="97">
        <f t="shared" si="8"/>
        <v>2.5997179384730269</v>
      </c>
      <c r="V18" s="97">
        <f t="shared" si="9"/>
        <v>5.6383615084958372</v>
      </c>
      <c r="W18" s="97"/>
      <c r="X18" s="97">
        <f t="shared" si="10"/>
        <v>0.99734001470964428</v>
      </c>
      <c r="Y18" s="97">
        <f t="shared" si="11"/>
        <v>10.882633039983169</v>
      </c>
      <c r="Z18" s="97">
        <f t="shared" si="11"/>
        <v>24.791803889532726</v>
      </c>
      <c r="AA18" s="97">
        <f t="shared" si="11"/>
        <v>7.6285570147329977</v>
      </c>
      <c r="AB18" s="97">
        <f t="shared" si="11"/>
        <v>6.7535211846908485</v>
      </c>
      <c r="AC18" s="97">
        <f t="shared" si="11"/>
        <v>21.24826093045915</v>
      </c>
      <c r="AD18" s="97">
        <f t="shared" si="11"/>
        <v>16.053742726760241</v>
      </c>
      <c r="AE18" s="97">
        <f t="shared" si="11"/>
        <v>9.8865957612090849</v>
      </c>
      <c r="AF18" s="97">
        <f t="shared" si="11"/>
        <v>1.7575454379221367</v>
      </c>
      <c r="AG18" s="97">
        <f t="shared" si="11"/>
        <v>100</v>
      </c>
    </row>
    <row r="19" spans="1:33" x14ac:dyDescent="0.2">
      <c r="A19" s="10" t="str">
        <f>name!D15</f>
        <v>41 Administrative occupations</v>
      </c>
      <c r="B19" s="69">
        <f>'Basic T2'!D19</f>
        <v>0.19221244002832472</v>
      </c>
      <c r="C19" s="69">
        <f>'Basic T2'!O19</f>
        <v>2.3360221356666755</v>
      </c>
      <c r="D19" s="69">
        <f>'Basic T2'!Z19</f>
        <v>7.5959630127852149</v>
      </c>
      <c r="E19" s="69">
        <f>'Basic T2'!AK19</f>
        <v>3.1166708147941167</v>
      </c>
      <c r="F19" s="69">
        <f>'Basic T2'!AV19</f>
        <v>2.804387916677376</v>
      </c>
      <c r="G19" s="69">
        <f>'Basic T2'!BG19</f>
        <v>9.5716277630280242</v>
      </c>
      <c r="H19" s="69">
        <f>'Basic T2'!BR19</f>
        <v>10.591895118542745</v>
      </c>
      <c r="I19" s="69">
        <f>'Basic T2'!CC19</f>
        <v>4.8507406659395258</v>
      </c>
      <c r="J19" s="69">
        <f>'Basic T2'!CN19</f>
        <v>0.95596887245197026</v>
      </c>
      <c r="K19" s="309">
        <f t="shared" si="12"/>
        <v>42.01548873991397</v>
      </c>
      <c r="L19" s="97"/>
      <c r="M19" s="97">
        <f t="shared" si="0"/>
        <v>3.0748159884187807</v>
      </c>
      <c r="N19" s="97">
        <f t="shared" si="1"/>
        <v>5.4434529311593876</v>
      </c>
      <c r="O19" s="97">
        <f t="shared" si="2"/>
        <v>8.0891034749581419</v>
      </c>
      <c r="P19" s="97">
        <f t="shared" si="3"/>
        <v>11.072036851669763</v>
      </c>
      <c r="Q19" s="97">
        <f t="shared" si="4"/>
        <v>9.7453518036929498</v>
      </c>
      <c r="R19" s="97">
        <f t="shared" si="5"/>
        <v>8.2416648931172141</v>
      </c>
      <c r="S19" s="97">
        <f t="shared" si="6"/>
        <v>9.7396072573401256</v>
      </c>
      <c r="T19" s="97">
        <f t="shared" si="7"/>
        <v>6.8963973487595229</v>
      </c>
      <c r="U19" s="97">
        <f t="shared" si="8"/>
        <v>4.8711780442769923</v>
      </c>
      <c r="V19" s="97">
        <f t="shared" si="9"/>
        <v>8.1608034922965054</v>
      </c>
      <c r="W19" s="97"/>
      <c r="X19" s="97">
        <f t="shared" si="10"/>
        <v>0.45747995749416648</v>
      </c>
      <c r="Y19" s="97">
        <f t="shared" si="11"/>
        <v>5.5599070859968265</v>
      </c>
      <c r="Z19" s="97">
        <f t="shared" si="11"/>
        <v>18.078959071037019</v>
      </c>
      <c r="AA19" s="97">
        <f t="shared" si="11"/>
        <v>7.4179092241127131</v>
      </c>
      <c r="AB19" s="97">
        <f t="shared" si="11"/>
        <v>6.6746526121288632</v>
      </c>
      <c r="AC19" s="97">
        <f t="shared" si="11"/>
        <v>22.78118867610636</v>
      </c>
      <c r="AD19" s="97">
        <f t="shared" si="11"/>
        <v>25.20950115351302</v>
      </c>
      <c r="AE19" s="97">
        <f t="shared" si="11"/>
        <v>11.545124932300045</v>
      </c>
      <c r="AF19" s="97">
        <f t="shared" si="11"/>
        <v>2.2752772873109928</v>
      </c>
      <c r="AG19" s="97">
        <f t="shared" si="11"/>
        <v>100</v>
      </c>
    </row>
    <row r="20" spans="1:33" x14ac:dyDescent="0.2">
      <c r="A20" s="10" t="str">
        <f>name!D16</f>
        <v>42 Secretarial and related occupations</v>
      </c>
      <c r="B20" s="69">
        <f>'Basic T2'!D20</f>
        <v>1.9422382480105558E-2</v>
      </c>
      <c r="C20" s="69">
        <f>'Basic T2'!O20</f>
        <v>0.38255049692205584</v>
      </c>
      <c r="D20" s="69">
        <f>'Basic T2'!Z20</f>
        <v>1.3642916171390982</v>
      </c>
      <c r="E20" s="69">
        <f>'Basic T2'!AK20</f>
        <v>0.61648759026252953</v>
      </c>
      <c r="F20" s="69">
        <f>'Basic T2'!AV20</f>
        <v>0.4707866002186808</v>
      </c>
      <c r="G20" s="69">
        <f>'Basic T2'!BG20</f>
        <v>1.8430326497894307</v>
      </c>
      <c r="H20" s="69">
        <f>'Basic T2'!BR20</f>
        <v>2.2521171657572658</v>
      </c>
      <c r="I20" s="69">
        <f>'Basic T2'!CC20</f>
        <v>1.8150930725764316</v>
      </c>
      <c r="J20" s="69">
        <f>'Basic T2'!CN20</f>
        <v>0.37287009699674112</v>
      </c>
      <c r="K20" s="309">
        <f t="shared" si="12"/>
        <v>9.1366516721423388</v>
      </c>
      <c r="L20" s="97"/>
      <c r="M20" s="97">
        <f t="shared" si="0"/>
        <v>0.31069920435021225</v>
      </c>
      <c r="N20" s="97">
        <f t="shared" si="1"/>
        <v>0.89142803571617346</v>
      </c>
      <c r="O20" s="97">
        <f t="shared" si="2"/>
        <v>1.4528633225939847</v>
      </c>
      <c r="P20" s="97">
        <f t="shared" si="3"/>
        <v>2.1900847807164769</v>
      </c>
      <c r="Q20" s="97">
        <f t="shared" si="4"/>
        <v>1.636000860049136</v>
      </c>
      <c r="R20" s="97">
        <f t="shared" si="5"/>
        <v>1.5869461143600758</v>
      </c>
      <c r="S20" s="97">
        <f t="shared" si="6"/>
        <v>2.0708982147670256</v>
      </c>
      <c r="T20" s="97">
        <f t="shared" si="7"/>
        <v>2.5805549946965431</v>
      </c>
      <c r="U20" s="97">
        <f t="shared" si="8"/>
        <v>1.8999746562869526</v>
      </c>
      <c r="V20" s="97">
        <f t="shared" si="9"/>
        <v>1.7746412361278316</v>
      </c>
      <c r="W20" s="97"/>
      <c r="X20" s="97">
        <f t="shared" si="10"/>
        <v>0.21257658907282659</v>
      </c>
      <c r="Y20" s="97">
        <f t="shared" si="11"/>
        <v>4.1869878665556737</v>
      </c>
      <c r="Z20" s="97">
        <f t="shared" si="11"/>
        <v>14.932074310097921</v>
      </c>
      <c r="AA20" s="97">
        <f t="shared" si="11"/>
        <v>6.7474126450743537</v>
      </c>
      <c r="AB20" s="97">
        <f t="shared" si="11"/>
        <v>5.1527257151994714</v>
      </c>
      <c r="AC20" s="97">
        <f t="shared" si="11"/>
        <v>20.171860720145865</v>
      </c>
      <c r="AD20" s="97">
        <f t="shared" si="11"/>
        <v>24.649261530063292</v>
      </c>
      <c r="AE20" s="97">
        <f t="shared" si="11"/>
        <v>19.866064043030693</v>
      </c>
      <c r="AF20" s="97">
        <f t="shared" si="11"/>
        <v>4.0810365807599132</v>
      </c>
      <c r="AG20" s="97">
        <f t="shared" si="11"/>
        <v>100</v>
      </c>
    </row>
    <row r="21" spans="1:33" x14ac:dyDescent="0.2">
      <c r="A21" s="10" t="str">
        <f>name!D17</f>
        <v>51 Skilled agricultural and related trades</v>
      </c>
      <c r="B21" s="69">
        <f>'Basic T2'!D21</f>
        <v>1.8945121710926761E-2</v>
      </c>
      <c r="C21" s="69">
        <f>'Basic T2'!O21</f>
        <v>0.11000268285421991</v>
      </c>
      <c r="D21" s="69">
        <f>'Basic T2'!Z21</f>
        <v>1.7484689387454295</v>
      </c>
      <c r="E21" s="69">
        <f>'Basic T2'!AK21</f>
        <v>0.50082618274613366</v>
      </c>
      <c r="F21" s="69">
        <f>'Basic T2'!AV21</f>
        <v>0.82668019693700112</v>
      </c>
      <c r="G21" s="69">
        <f>'Basic T2'!BG21</f>
        <v>1.729974251825271</v>
      </c>
      <c r="H21" s="69">
        <f>'Basic T2'!BR21</f>
        <v>2.3819531426796625</v>
      </c>
      <c r="I21" s="69">
        <f>'Basic T2'!CC21</f>
        <v>1.7018197955948795</v>
      </c>
      <c r="J21" s="69">
        <f>'Basic T2'!CN21</f>
        <v>1.0347930505290741</v>
      </c>
      <c r="K21" s="309">
        <f t="shared" si="12"/>
        <v>10.053463363622598</v>
      </c>
      <c r="L21" s="97"/>
      <c r="M21" s="97">
        <f t="shared" si="0"/>
        <v>0.30306447975330397</v>
      </c>
      <c r="N21" s="97">
        <f t="shared" si="1"/>
        <v>0.25633080152612098</v>
      </c>
      <c r="O21" s="97">
        <f t="shared" si="2"/>
        <v>1.8619819691665416</v>
      </c>
      <c r="P21" s="97">
        <f t="shared" si="3"/>
        <v>1.779195263524356</v>
      </c>
      <c r="Q21" s="97">
        <f t="shared" si="4"/>
        <v>2.872744280628015</v>
      </c>
      <c r="R21" s="97">
        <f t="shared" si="5"/>
        <v>1.4895970058863344</v>
      </c>
      <c r="S21" s="97">
        <f t="shared" si="6"/>
        <v>2.1902868047166586</v>
      </c>
      <c r="T21" s="97">
        <f t="shared" si="7"/>
        <v>2.4195120569559054</v>
      </c>
      <c r="U21" s="97">
        <f t="shared" si="8"/>
        <v>5.2728298309324826</v>
      </c>
      <c r="V21" s="97">
        <f t="shared" si="9"/>
        <v>1.9527165192674674</v>
      </c>
      <c r="W21" s="97"/>
      <c r="X21" s="97">
        <f t="shared" si="10"/>
        <v>0.18844373352448568</v>
      </c>
      <c r="Y21" s="97">
        <f t="shared" si="11"/>
        <v>1.0941769903121452</v>
      </c>
      <c r="Z21" s="97">
        <f t="shared" si="11"/>
        <v>17.391707469408811</v>
      </c>
      <c r="AA21" s="97">
        <f t="shared" si="11"/>
        <v>4.9816283665818153</v>
      </c>
      <c r="AB21" s="97">
        <f t="shared" si="11"/>
        <v>8.2228399014040949</v>
      </c>
      <c r="AC21" s="97">
        <f t="shared" si="11"/>
        <v>17.207744130097506</v>
      </c>
      <c r="AD21" s="97">
        <f t="shared" si="11"/>
        <v>23.692861420259508</v>
      </c>
      <c r="AE21" s="97">
        <f t="shared" si="11"/>
        <v>16.927696795044142</v>
      </c>
      <c r="AF21" s="97">
        <f t="shared" si="11"/>
        <v>10.292901193367493</v>
      </c>
      <c r="AG21" s="97">
        <f t="shared" si="11"/>
        <v>100</v>
      </c>
    </row>
    <row r="22" spans="1:33" x14ac:dyDescent="0.2">
      <c r="A22" s="10" t="str">
        <f>name!D18</f>
        <v>52 Skilled metal, electrical and electronic trades</v>
      </c>
      <c r="B22" s="69">
        <f>'Basic T2'!D22</f>
        <v>1.5206961044977079E-2</v>
      </c>
      <c r="C22" s="69">
        <f>'Basic T2'!O22</f>
        <v>0.27433079124908633</v>
      </c>
      <c r="D22" s="69">
        <f>'Basic T2'!Z22</f>
        <v>0.88670012677403687</v>
      </c>
      <c r="E22" s="69">
        <f>'Basic T2'!AK22</f>
        <v>0.3990426220735338</v>
      </c>
      <c r="F22" s="69">
        <f>'Basic T2'!AV22</f>
        <v>1.3796711498587209</v>
      </c>
      <c r="G22" s="69">
        <f>'Basic T2'!BG22</f>
        <v>7.968263194825763</v>
      </c>
      <c r="H22" s="69">
        <f>'Basic T2'!BR22</f>
        <v>4.3527028416633966</v>
      </c>
      <c r="I22" s="69">
        <f>'Basic T2'!CC22</f>
        <v>2.173735555223534</v>
      </c>
      <c r="J22" s="69">
        <f>'Basic T2'!CN22</f>
        <v>0.80588607528651823</v>
      </c>
      <c r="K22" s="309">
        <f t="shared" si="12"/>
        <v>18.255539317999567</v>
      </c>
      <c r="L22" s="97"/>
      <c r="M22" s="97">
        <f t="shared" si="0"/>
        <v>0.24326524833390945</v>
      </c>
      <c r="N22" s="97">
        <f t="shared" si="1"/>
        <v>0.63925196894846181</v>
      </c>
      <c r="O22" s="97">
        <f t="shared" si="2"/>
        <v>0.94426592976572488</v>
      </c>
      <c r="P22" s="97">
        <f t="shared" si="3"/>
        <v>1.4176070812524864</v>
      </c>
      <c r="Q22" s="97">
        <f t="shared" si="4"/>
        <v>4.7944083087866201</v>
      </c>
      <c r="R22" s="97">
        <f t="shared" si="5"/>
        <v>6.8610853511856558</v>
      </c>
      <c r="S22" s="97">
        <f t="shared" si="6"/>
        <v>4.0024580786768977</v>
      </c>
      <c r="T22" s="97">
        <f t="shared" si="7"/>
        <v>3.0904443573349307</v>
      </c>
      <c r="U22" s="97">
        <f t="shared" si="8"/>
        <v>4.106425082707359</v>
      </c>
      <c r="V22" s="97">
        <f t="shared" si="9"/>
        <v>3.5458321083043551</v>
      </c>
      <c r="W22" s="97"/>
      <c r="X22" s="97">
        <f t="shared" si="10"/>
        <v>8.3300530212127688E-2</v>
      </c>
      <c r="Y22" s="97">
        <f t="shared" si="11"/>
        <v>1.5027263038928798</v>
      </c>
      <c r="Z22" s="97">
        <f t="shared" si="11"/>
        <v>4.8571565667181886</v>
      </c>
      <c r="AA22" s="97">
        <f t="shared" si="11"/>
        <v>2.185871450426482</v>
      </c>
      <c r="AB22" s="97">
        <f t="shared" si="11"/>
        <v>7.5575480177591619</v>
      </c>
      <c r="AC22" s="97">
        <f t="shared" si="11"/>
        <v>43.64846776654376</v>
      </c>
      <c r="AD22" s="97">
        <f t="shared" si="11"/>
        <v>23.843189542867822</v>
      </c>
      <c r="AE22" s="97">
        <f t="shared" si="11"/>
        <v>11.907265610500357</v>
      </c>
      <c r="AF22" s="97">
        <f t="shared" si="11"/>
        <v>4.4144742110792201</v>
      </c>
      <c r="AG22" s="97">
        <f t="shared" si="11"/>
        <v>100</v>
      </c>
    </row>
    <row r="23" spans="1:33" x14ac:dyDescent="0.2">
      <c r="A23" s="10" t="str">
        <f>name!D19</f>
        <v>53 Skilled construction and building trades</v>
      </c>
      <c r="B23" s="69">
        <f>'Basic T2'!D23</f>
        <v>2.9716582092465162E-3</v>
      </c>
      <c r="C23" s="69">
        <f>'Basic T2'!O23</f>
        <v>8.5282642393508634E-2</v>
      </c>
      <c r="D23" s="69">
        <f>'Basic T2'!Z23</f>
        <v>0.38558188758244538</v>
      </c>
      <c r="E23" s="69">
        <f>'Basic T2'!AK23</f>
        <v>0.25252420502716877</v>
      </c>
      <c r="F23" s="69">
        <f>'Basic T2'!AV23</f>
        <v>0.39787387065722157</v>
      </c>
      <c r="G23" s="69">
        <f>'Basic T2'!BG23</f>
        <v>3.7934232585021608</v>
      </c>
      <c r="H23" s="69">
        <f>'Basic T2'!BR23</f>
        <v>3.6022915746835626</v>
      </c>
      <c r="I23" s="69">
        <f>'Basic T2'!CC23</f>
        <v>1.8778341405325634</v>
      </c>
      <c r="J23" s="69">
        <f>'Basic T2'!CN23</f>
        <v>0.76749619767815502</v>
      </c>
      <c r="K23" s="309">
        <f t="shared" si="12"/>
        <v>11.165279435266031</v>
      </c>
      <c r="L23" s="97"/>
      <c r="M23" s="97">
        <f t="shared" si="0"/>
        <v>4.7537517200034622E-2</v>
      </c>
      <c r="N23" s="97">
        <f t="shared" si="1"/>
        <v>0.19872759021672351</v>
      </c>
      <c r="O23" s="97">
        <f t="shared" si="2"/>
        <v>0.41061439892141199</v>
      </c>
      <c r="P23" s="97">
        <f t="shared" si="3"/>
        <v>0.89709740622194034</v>
      </c>
      <c r="Q23" s="97">
        <f t="shared" si="4"/>
        <v>1.3826264262490466</v>
      </c>
      <c r="R23" s="97">
        <f t="shared" si="5"/>
        <v>3.2663329653389104</v>
      </c>
      <c r="S23" s="97">
        <f t="shared" si="6"/>
        <v>3.3124294350707539</v>
      </c>
      <c r="T23" s="97">
        <f t="shared" si="7"/>
        <v>2.6697552559575115</v>
      </c>
      <c r="U23" s="97">
        <f t="shared" si="8"/>
        <v>3.9108079090553631</v>
      </c>
      <c r="V23" s="97">
        <f t="shared" si="9"/>
        <v>2.1686681302656186</v>
      </c>
      <c r="W23" s="97"/>
      <c r="X23" s="97">
        <f t="shared" si="10"/>
        <v>2.6615170954525345E-2</v>
      </c>
      <c r="Y23" s="97">
        <f t="shared" si="11"/>
        <v>0.7638200448807364</v>
      </c>
      <c r="Z23" s="97">
        <f t="shared" si="11"/>
        <v>3.4534011425147844</v>
      </c>
      <c r="AA23" s="97">
        <f t="shared" si="11"/>
        <v>2.261691760526475</v>
      </c>
      <c r="AB23" s="97">
        <f t="shared" si="11"/>
        <v>3.5634922794723729</v>
      </c>
      <c r="AC23" s="97">
        <f t="shared" si="11"/>
        <v>33.975175278824324</v>
      </c>
      <c r="AD23" s="97">
        <f t="shared" si="11"/>
        <v>32.263335598261563</v>
      </c>
      <c r="AE23" s="97">
        <f t="shared" si="11"/>
        <v>16.818514497732505</v>
      </c>
      <c r="AF23" s="97">
        <f t="shared" si="11"/>
        <v>6.8739542268327307</v>
      </c>
      <c r="AG23" s="97">
        <f t="shared" si="11"/>
        <v>100</v>
      </c>
    </row>
    <row r="24" spans="1:33" x14ac:dyDescent="0.2">
      <c r="A24" s="10" t="str">
        <f>name!D20</f>
        <v>54 Textiles, printing and other skilled trades</v>
      </c>
      <c r="B24" s="69">
        <f>'Basic T2'!D24</f>
        <v>3.0561953138294334E-2</v>
      </c>
      <c r="C24" s="69">
        <f>'Basic T2'!O24</f>
        <v>0.30619860428837159</v>
      </c>
      <c r="D24" s="69">
        <f>'Basic T2'!Z24</f>
        <v>0.66739997336749968</v>
      </c>
      <c r="E24" s="69">
        <f>'Basic T2'!AK24</f>
        <v>0.32292146397860699</v>
      </c>
      <c r="F24" s="69">
        <f>'Basic T2'!AV24</f>
        <v>0.32201856620635472</v>
      </c>
      <c r="G24" s="69">
        <f>'Basic T2'!BG24</f>
        <v>1.9874115724300216</v>
      </c>
      <c r="H24" s="69">
        <f>'Basic T2'!BR24</f>
        <v>2.4730116880845285</v>
      </c>
      <c r="I24" s="69">
        <f>'Basic T2'!CC24</f>
        <v>2.2278499704829202</v>
      </c>
      <c r="J24" s="69">
        <f>'Basic T2'!CN24</f>
        <v>0.72128503851836634</v>
      </c>
      <c r="K24" s="309">
        <f t="shared" si="12"/>
        <v>9.0586588304949647</v>
      </c>
      <c r="L24" s="97"/>
      <c r="M24" s="97">
        <f t="shared" si="0"/>
        <v>0.48889854440786995</v>
      </c>
      <c r="N24" s="97">
        <f t="shared" si="1"/>
        <v>0.71351108561082599</v>
      </c>
      <c r="O24" s="97">
        <f t="shared" si="2"/>
        <v>0.71072850600604509</v>
      </c>
      <c r="P24" s="97">
        <f t="shared" si="3"/>
        <v>1.1471851093143031</v>
      </c>
      <c r="Q24" s="97">
        <f t="shared" si="4"/>
        <v>1.1190264358005864</v>
      </c>
      <c r="R24" s="97">
        <f t="shared" si="5"/>
        <v>1.7112638090607948</v>
      </c>
      <c r="S24" s="97">
        <f t="shared" si="6"/>
        <v>2.2740182295223534</v>
      </c>
      <c r="T24" s="97">
        <f t="shared" si="7"/>
        <v>3.1673799297816219</v>
      </c>
      <c r="U24" s="97">
        <f t="shared" si="8"/>
        <v>3.6753370790037687</v>
      </c>
      <c r="V24" s="97">
        <f t="shared" si="9"/>
        <v>1.7594924356835475</v>
      </c>
      <c r="W24" s="97"/>
      <c r="X24" s="97">
        <f t="shared" si="10"/>
        <v>0.33737834386047222</v>
      </c>
      <c r="Y24" s="97">
        <f t="shared" ref="Y24:AG32" si="13">IF($K24&gt;0,C24/$K24*100,0)</f>
        <v>3.380175918068447</v>
      </c>
      <c r="Z24" s="97">
        <f t="shared" si="13"/>
        <v>7.3675362529469819</v>
      </c>
      <c r="AA24" s="97">
        <f t="shared" si="13"/>
        <v>3.564782270986163</v>
      </c>
      <c r="AB24" s="97">
        <f t="shared" si="13"/>
        <v>3.5548150364413229</v>
      </c>
      <c r="AC24" s="97">
        <f t="shared" si="13"/>
        <v>21.939357796980079</v>
      </c>
      <c r="AD24" s="97">
        <f t="shared" si="13"/>
        <v>27.299976015869042</v>
      </c>
      <c r="AE24" s="97">
        <f t="shared" si="13"/>
        <v>24.593596162194693</v>
      </c>
      <c r="AF24" s="97">
        <f t="shared" si="13"/>
        <v>7.9623822026527886</v>
      </c>
      <c r="AG24" s="97">
        <f t="shared" si="13"/>
        <v>100</v>
      </c>
    </row>
    <row r="25" spans="1:33" x14ac:dyDescent="0.2">
      <c r="A25" s="10" t="str">
        <f>name!D21</f>
        <v>61 Caring personal service occupations</v>
      </c>
      <c r="B25" s="69">
        <f>'Basic T2'!D25</f>
        <v>2.7953604330419924E-2</v>
      </c>
      <c r="C25" s="69">
        <f>'Basic T2'!O25</f>
        <v>1.5797656335175001</v>
      </c>
      <c r="D25" s="69">
        <f>'Basic T2'!Z25</f>
        <v>5.3224859142201293</v>
      </c>
      <c r="E25" s="69">
        <f>'Basic T2'!AK25</f>
        <v>4.1144436033435809</v>
      </c>
      <c r="F25" s="69">
        <f>'Basic T2'!AV25</f>
        <v>2.3812856909302922</v>
      </c>
      <c r="G25" s="69">
        <f>'Basic T2'!BG25</f>
        <v>16.298747255851165</v>
      </c>
      <c r="H25" s="69">
        <f>'Basic T2'!BR25</f>
        <v>11.452557361223693</v>
      </c>
      <c r="I25" s="69">
        <f>'Basic T2'!CC25</f>
        <v>1.7639788276190278</v>
      </c>
      <c r="J25" s="69">
        <f>'Basic T2'!CN25</f>
        <v>0.35576059852997477</v>
      </c>
      <c r="K25" s="309">
        <f t="shared" si="12"/>
        <v>43.296978489565781</v>
      </c>
      <c r="L25" s="97"/>
      <c r="M25" s="97">
        <f t="shared" si="0"/>
        <v>0.44717287557684404</v>
      </c>
      <c r="N25" s="97">
        <f t="shared" si="1"/>
        <v>3.681206499296092</v>
      </c>
      <c r="O25" s="97">
        <f t="shared" si="2"/>
        <v>5.6680290875122541</v>
      </c>
      <c r="P25" s="97">
        <f t="shared" si="3"/>
        <v>14.616645102234315</v>
      </c>
      <c r="Q25" s="97">
        <f t="shared" si="4"/>
        <v>8.2750559097796401</v>
      </c>
      <c r="R25" s="97">
        <f t="shared" si="5"/>
        <v>14.034061539585366</v>
      </c>
      <c r="S25" s="97">
        <f t="shared" si="6"/>
        <v>10.531015417175386</v>
      </c>
      <c r="T25" s="97">
        <f t="shared" si="7"/>
        <v>2.507884825812178</v>
      </c>
      <c r="U25" s="97">
        <f t="shared" si="8"/>
        <v>1.8127925150252449</v>
      </c>
      <c r="V25" s="97">
        <f t="shared" si="9"/>
        <v>8.4097113674146122</v>
      </c>
      <c r="W25" s="97"/>
      <c r="X25" s="97">
        <f t="shared" si="10"/>
        <v>6.4562482892787806E-2</v>
      </c>
      <c r="Y25" s="97">
        <f t="shared" si="13"/>
        <v>3.6486740844934729</v>
      </c>
      <c r="Z25" s="97">
        <f t="shared" si="13"/>
        <v>12.292973089341107</v>
      </c>
      <c r="AA25" s="97">
        <f t="shared" si="13"/>
        <v>9.5028423388369436</v>
      </c>
      <c r="AB25" s="97">
        <f t="shared" si="13"/>
        <v>5.4998888467567379</v>
      </c>
      <c r="AC25" s="97">
        <f t="shared" si="13"/>
        <v>37.644075463092719</v>
      </c>
      <c r="AD25" s="97">
        <f t="shared" si="13"/>
        <v>26.451169944765695</v>
      </c>
      <c r="AE25" s="97">
        <f t="shared" si="13"/>
        <v>4.0741384021615552</v>
      </c>
      <c r="AF25" s="97">
        <f t="shared" si="13"/>
        <v>0.82167534765898309</v>
      </c>
      <c r="AG25" s="97">
        <f t="shared" si="13"/>
        <v>100</v>
      </c>
    </row>
    <row r="26" spans="1:33" x14ac:dyDescent="0.2">
      <c r="A26" s="10" t="str">
        <f>name!D22</f>
        <v>62 Leisure, travel and related personal service occupations</v>
      </c>
      <c r="B26" s="69">
        <f>'Basic T2'!D26</f>
        <v>1.0603118405203848E-2</v>
      </c>
      <c r="C26" s="69">
        <f>'Basic T2'!O26</f>
        <v>0.25670922694022624</v>
      </c>
      <c r="D26" s="69">
        <f>'Basic T2'!Z26</f>
        <v>1.2053866296179285</v>
      </c>
      <c r="E26" s="69">
        <f>'Basic T2'!AK26</f>
        <v>0.83143641497391674</v>
      </c>
      <c r="F26" s="69">
        <f>'Basic T2'!AV26</f>
        <v>1.064033943304717</v>
      </c>
      <c r="G26" s="69">
        <f>'Basic T2'!BG26</f>
        <v>3.4157720179335165</v>
      </c>
      <c r="H26" s="69">
        <f>'Basic T2'!BR26</f>
        <v>3.442681394748162</v>
      </c>
      <c r="I26" s="69">
        <f>'Basic T2'!CC26</f>
        <v>2.2755612825461231</v>
      </c>
      <c r="J26" s="69">
        <f>'Basic T2'!CN26</f>
        <v>0.49276766034611624</v>
      </c>
      <c r="K26" s="309">
        <f t="shared" si="12"/>
        <v>12.99495168881591</v>
      </c>
      <c r="L26" s="97"/>
      <c r="M26" s="97">
        <f t="shared" si="0"/>
        <v>0.16961773126970273</v>
      </c>
      <c r="N26" s="97">
        <f t="shared" si="1"/>
        <v>0.59818979131575589</v>
      </c>
      <c r="O26" s="97">
        <f t="shared" si="2"/>
        <v>1.2836420027189219</v>
      </c>
      <c r="P26" s="97">
        <f t="shared" si="3"/>
        <v>2.9536948793931308</v>
      </c>
      <c r="Q26" s="97">
        <f t="shared" si="4"/>
        <v>3.6975573339585406</v>
      </c>
      <c r="R26" s="97">
        <f t="shared" si="5"/>
        <v>2.941155780402906</v>
      </c>
      <c r="S26" s="97">
        <f t="shared" si="6"/>
        <v>3.165662454332554</v>
      </c>
      <c r="T26" s="97">
        <f t="shared" si="7"/>
        <v>3.235212079277658</v>
      </c>
      <c r="U26" s="97">
        <f t="shared" si="8"/>
        <v>2.5109175384037856</v>
      </c>
      <c r="V26" s="97">
        <f t="shared" si="9"/>
        <v>2.5240512559733324</v>
      </c>
      <c r="W26" s="97"/>
      <c r="X26" s="97">
        <f t="shared" si="10"/>
        <v>8.1594134854148084E-2</v>
      </c>
      <c r="Y26" s="97">
        <f t="shared" si="13"/>
        <v>1.9754534921523621</v>
      </c>
      <c r="Z26" s="97">
        <f t="shared" si="13"/>
        <v>9.2758069324362555</v>
      </c>
      <c r="AA26" s="97">
        <f t="shared" si="13"/>
        <v>6.3981493343256641</v>
      </c>
      <c r="AB26" s="97">
        <f t="shared" si="13"/>
        <v>8.188056168153949</v>
      </c>
      <c r="AC26" s="97">
        <f t="shared" si="13"/>
        <v>26.28537681192995</v>
      </c>
      <c r="AD26" s="97">
        <f t="shared" si="13"/>
        <v>26.492452432209518</v>
      </c>
      <c r="AE26" s="97">
        <f t="shared" si="13"/>
        <v>17.511117678910516</v>
      </c>
      <c r="AF26" s="97">
        <f t="shared" si="13"/>
        <v>3.7919930150276446</v>
      </c>
      <c r="AG26" s="97">
        <f t="shared" si="13"/>
        <v>100</v>
      </c>
    </row>
    <row r="27" spans="1:33" x14ac:dyDescent="0.2">
      <c r="A27" s="10" t="str">
        <f>name!D23</f>
        <v>63 Community and civil enforcement occupations</v>
      </c>
      <c r="B27" s="69">
        <f>'Basic T2'!D27</f>
        <v>1.1601351558866127E-3</v>
      </c>
      <c r="C27" s="69">
        <f>'Basic T2'!O27</f>
        <v>1.7131487405293057E-2</v>
      </c>
      <c r="D27" s="69">
        <f>'Basic T2'!Z27</f>
        <v>8.3294572968285283E-2</v>
      </c>
      <c r="E27" s="69">
        <f>'Basic T2'!AK27</f>
        <v>2.5958509676105728E-2</v>
      </c>
      <c r="F27" s="69">
        <f>'Basic T2'!AV27</f>
        <v>2.2476763454542713E-2</v>
      </c>
      <c r="G27" s="69">
        <f>'Basic T2'!BG27</f>
        <v>0.10350418259535203</v>
      </c>
      <c r="H27" s="69">
        <f>'Basic T2'!BR27</f>
        <v>0.14612243505159064</v>
      </c>
      <c r="I27" s="69">
        <f>'Basic T2'!CC27</f>
        <v>0.1275508265654661</v>
      </c>
      <c r="J27" s="69">
        <f>'Basic T2'!CN27</f>
        <v>2.7368929434454691E-2</v>
      </c>
      <c r="K27" s="309">
        <f t="shared" si="12"/>
        <v>0.55456784230697687</v>
      </c>
      <c r="L27" s="97"/>
      <c r="M27" s="97">
        <f t="shared" si="0"/>
        <v>1.8558643371475867E-2</v>
      </c>
      <c r="N27" s="97">
        <f t="shared" si="1"/>
        <v>3.9920189071688233E-2</v>
      </c>
      <c r="O27" s="97">
        <f t="shared" si="2"/>
        <v>8.8702172260295989E-2</v>
      </c>
      <c r="P27" s="97">
        <f t="shared" si="3"/>
        <v>9.2218136860647226E-2</v>
      </c>
      <c r="Q27" s="97">
        <f t="shared" si="4"/>
        <v>7.8107584892331772E-2</v>
      </c>
      <c r="R27" s="97">
        <f t="shared" si="5"/>
        <v>8.9122436549605416E-2</v>
      </c>
      <c r="S27" s="97">
        <f t="shared" si="6"/>
        <v>0.13436454127998265</v>
      </c>
      <c r="T27" s="97">
        <f t="shared" si="7"/>
        <v>0.18134162239073051</v>
      </c>
      <c r="U27" s="97">
        <f t="shared" si="8"/>
        <v>0.13945948659869176</v>
      </c>
      <c r="V27" s="97">
        <f t="shared" si="9"/>
        <v>0.10771549540288369</v>
      </c>
      <c r="W27" s="97"/>
      <c r="X27" s="97">
        <f t="shared" si="10"/>
        <v>0.20919625470176986</v>
      </c>
      <c r="Y27" s="97">
        <f t="shared" si="13"/>
        <v>3.0891599004419104</v>
      </c>
      <c r="Z27" s="97">
        <f t="shared" si="13"/>
        <v>15.019726463363556</v>
      </c>
      <c r="AA27" s="97">
        <f t="shared" si="13"/>
        <v>4.6808537559840317</v>
      </c>
      <c r="AB27" s="97">
        <f t="shared" si="13"/>
        <v>4.0530232263451129</v>
      </c>
      <c r="AC27" s="97">
        <f t="shared" si="13"/>
        <v>18.66393517604255</v>
      </c>
      <c r="AD27" s="97">
        <f t="shared" si="13"/>
        <v>26.348883563772468</v>
      </c>
      <c r="AE27" s="97">
        <f t="shared" si="13"/>
        <v>23.000040181713473</v>
      </c>
      <c r="AF27" s="97">
        <f t="shared" si="13"/>
        <v>4.9351814776351244</v>
      </c>
      <c r="AG27" s="97">
        <f t="shared" si="13"/>
        <v>100</v>
      </c>
    </row>
    <row r="28" spans="1:33" x14ac:dyDescent="0.2">
      <c r="A28" s="10" t="str">
        <f>name!D24</f>
        <v>71 Sales occupations</v>
      </c>
      <c r="B28" s="69">
        <f>'Basic T2'!D28</f>
        <v>5.8241852536194849E-2</v>
      </c>
      <c r="C28" s="69">
        <f>'Basic T2'!O28</f>
        <v>0.93949261501268089</v>
      </c>
      <c r="D28" s="69">
        <f>'Basic T2'!Z28</f>
        <v>4.2115081769632043</v>
      </c>
      <c r="E28" s="69">
        <f>'Basic T2'!AK28</f>
        <v>1.4819171964666784</v>
      </c>
      <c r="F28" s="69">
        <f>'Basic T2'!AV28</f>
        <v>1.2419516963398636</v>
      </c>
      <c r="G28" s="69">
        <f>'Basic T2'!BG28</f>
        <v>9.6753294178669069</v>
      </c>
      <c r="H28" s="69">
        <f>'Basic T2'!BR28</f>
        <v>9.2413950726999055</v>
      </c>
      <c r="I28" s="69">
        <f>'Basic T2'!CC28</f>
        <v>6.0969765563409259</v>
      </c>
      <c r="J28" s="69">
        <f>'Basic T2'!CN28</f>
        <v>1.8072933599954772</v>
      </c>
      <c r="K28" s="309">
        <f t="shared" si="12"/>
        <v>34.754105944221834</v>
      </c>
      <c r="L28" s="97"/>
      <c r="M28" s="97">
        <f t="shared" si="0"/>
        <v>0.93169297131356787</v>
      </c>
      <c r="N28" s="97">
        <f t="shared" si="1"/>
        <v>2.1892274695992429</v>
      </c>
      <c r="O28" s="97">
        <f t="shared" si="2"/>
        <v>4.4849251334882689</v>
      </c>
      <c r="P28" s="97">
        <f t="shared" si="3"/>
        <v>5.2645411676196181</v>
      </c>
      <c r="Q28" s="97">
        <f t="shared" si="4"/>
        <v>4.3158281106720358</v>
      </c>
      <c r="R28" s="97">
        <f t="shared" si="5"/>
        <v>8.3309573634476113</v>
      </c>
      <c r="S28" s="97">
        <f t="shared" si="6"/>
        <v>8.4977766028331576</v>
      </c>
      <c r="T28" s="97">
        <f t="shared" si="7"/>
        <v>8.6681964372660474</v>
      </c>
      <c r="U28" s="97">
        <f t="shared" si="8"/>
        <v>9.2091363939466291</v>
      </c>
      <c r="V28" s="97">
        <f t="shared" si="9"/>
        <v>6.7504017605729523</v>
      </c>
      <c r="W28" s="97"/>
      <c r="X28" s="97">
        <f t="shared" si="10"/>
        <v>0.16758265233371095</v>
      </c>
      <c r="Y28" s="97">
        <f t="shared" si="13"/>
        <v>2.703256462763012</v>
      </c>
      <c r="Z28" s="97">
        <f t="shared" si="13"/>
        <v>12.118016166844894</v>
      </c>
      <c r="AA28" s="97">
        <f t="shared" si="13"/>
        <v>4.2640060971358684</v>
      </c>
      <c r="AB28" s="97">
        <f t="shared" si="13"/>
        <v>3.5735394785672758</v>
      </c>
      <c r="AC28" s="97">
        <f t="shared" si="13"/>
        <v>27.839385174791158</v>
      </c>
      <c r="AD28" s="97">
        <f t="shared" si="13"/>
        <v>26.590800774825762</v>
      </c>
      <c r="AE28" s="97">
        <f t="shared" si="13"/>
        <v>17.543183433135042</v>
      </c>
      <c r="AF28" s="97">
        <f t="shared" si="13"/>
        <v>5.2002297596032827</v>
      </c>
      <c r="AG28" s="97">
        <f t="shared" si="13"/>
        <v>100</v>
      </c>
    </row>
    <row r="29" spans="1:33" x14ac:dyDescent="0.2">
      <c r="A29" s="10" t="str">
        <f>name!D25</f>
        <v>72 Customer service occupations</v>
      </c>
      <c r="B29" s="69">
        <f>'Basic T2'!D29</f>
        <v>2.2954620571361266E-2</v>
      </c>
      <c r="C29" s="69">
        <f>'Basic T2'!O29</f>
        <v>0.28465683501576566</v>
      </c>
      <c r="D29" s="69">
        <f>'Basic T2'!Z29</f>
        <v>1.2373343652236091</v>
      </c>
      <c r="E29" s="69">
        <f>'Basic T2'!AK29</f>
        <v>0.44667967882394716</v>
      </c>
      <c r="F29" s="69">
        <f>'Basic T2'!AV29</f>
        <v>0.53387418623020244</v>
      </c>
      <c r="G29" s="69">
        <f>'Basic T2'!BG29</f>
        <v>2.1943385335765111</v>
      </c>
      <c r="H29" s="69">
        <f>'Basic T2'!BR29</f>
        <v>2.0937871861011872</v>
      </c>
      <c r="I29" s="69">
        <f>'Basic T2'!CC29</f>
        <v>0.97457353771481536</v>
      </c>
      <c r="J29" s="69">
        <f>'Basic T2'!CN29</f>
        <v>0.28516895332567138</v>
      </c>
      <c r="K29" s="309">
        <f t="shared" si="12"/>
        <v>8.073367896583072</v>
      </c>
      <c r="L29" s="97"/>
      <c r="M29" s="97">
        <f t="shared" si="0"/>
        <v>0.36720429921449055</v>
      </c>
      <c r="N29" s="97">
        <f t="shared" si="1"/>
        <v>0.66331395549850325</v>
      </c>
      <c r="O29" s="97">
        <f t="shared" si="2"/>
        <v>1.3176638296643637</v>
      </c>
      <c r="P29" s="97">
        <f t="shared" si="3"/>
        <v>1.58683870024222</v>
      </c>
      <c r="Q29" s="97">
        <f t="shared" si="4"/>
        <v>1.8552325563746721</v>
      </c>
      <c r="R29" s="97">
        <f t="shared" si="5"/>
        <v>1.8894385890817984</v>
      </c>
      <c r="S29" s="97">
        <f t="shared" si="6"/>
        <v>1.9253084216606695</v>
      </c>
      <c r="T29" s="97">
        <f t="shared" si="7"/>
        <v>1.3855711580008498</v>
      </c>
      <c r="U29" s="97">
        <f t="shared" si="8"/>
        <v>1.4530899325064084</v>
      </c>
      <c r="V29" s="97">
        <f t="shared" si="9"/>
        <v>1.5681162090693448</v>
      </c>
      <c r="W29" s="97"/>
      <c r="X29" s="97">
        <f>IF($K29&gt;0,B29/$K29*100,0)</f>
        <v>0.284325214277383</v>
      </c>
      <c r="Y29" s="97">
        <f t="shared" si="13"/>
        <v>3.5258746865263291</v>
      </c>
      <c r="Z29" s="97">
        <f t="shared" si="13"/>
        <v>15.326123881302273</v>
      </c>
      <c r="AA29" s="97">
        <f t="shared" si="13"/>
        <v>5.5327551592563671</v>
      </c>
      <c r="AB29" s="97">
        <f t="shared" si="13"/>
        <v>6.612781593368938</v>
      </c>
      <c r="AC29" s="97">
        <f t="shared" si="13"/>
        <v>27.179964566029884</v>
      </c>
      <c r="AD29" s="97">
        <f t="shared" si="13"/>
        <v>25.934494908715237</v>
      </c>
      <c r="AE29" s="97">
        <f t="shared" si="13"/>
        <v>12.071461999487086</v>
      </c>
      <c r="AF29" s="97">
        <f t="shared" si="13"/>
        <v>3.5322179910364881</v>
      </c>
      <c r="AG29" s="97">
        <f t="shared" si="13"/>
        <v>100</v>
      </c>
    </row>
    <row r="30" spans="1:33" x14ac:dyDescent="0.2">
      <c r="A30" s="10" t="str">
        <f>name!D26</f>
        <v>81 Process, plant and machine operatives</v>
      </c>
      <c r="B30" s="69">
        <f>'Basic T2'!D30</f>
        <v>3.0618413289373453E-2</v>
      </c>
      <c r="C30" s="69">
        <f>'Basic T2'!O30</f>
        <v>0.28910662661116671</v>
      </c>
      <c r="D30" s="69">
        <f>'Basic T2'!Z30</f>
        <v>0.73377167436471979</v>
      </c>
      <c r="E30" s="69">
        <f>'Basic T2'!AK30</f>
        <v>0.34117394687299762</v>
      </c>
      <c r="F30" s="69">
        <f>'Basic T2'!AV30</f>
        <v>0.74573242294100228</v>
      </c>
      <c r="G30" s="69">
        <f>'Basic T2'!BG30</f>
        <v>4.8716896425293159</v>
      </c>
      <c r="H30" s="69">
        <f>'Basic T2'!BR30</f>
        <v>6.3872324735890222</v>
      </c>
      <c r="I30" s="69">
        <f>'Basic T2'!CC30</f>
        <v>5.1054479639738597</v>
      </c>
      <c r="J30" s="69">
        <f>'Basic T2'!CN30</f>
        <v>1.6139610978481269</v>
      </c>
      <c r="K30" s="309">
        <f t="shared" si="12"/>
        <v>20.118734262019583</v>
      </c>
      <c r="L30" s="97"/>
      <c r="M30" s="97">
        <f t="shared" si="0"/>
        <v>0.48980173556043544</v>
      </c>
      <c r="N30" s="97">
        <f t="shared" si="1"/>
        <v>0.67368296302339192</v>
      </c>
      <c r="O30" s="97">
        <f t="shared" si="2"/>
        <v>0.78140914995755328</v>
      </c>
      <c r="P30" s="97">
        <f t="shared" si="3"/>
        <v>1.2120274283304404</v>
      </c>
      <c r="Q30" s="97">
        <f t="shared" si="4"/>
        <v>2.5914477700327625</v>
      </c>
      <c r="R30" s="97">
        <f t="shared" si="5"/>
        <v>4.1947759034347083</v>
      </c>
      <c r="S30" s="97">
        <f t="shared" si="6"/>
        <v>5.8732771669141135</v>
      </c>
      <c r="T30" s="97">
        <f t="shared" si="7"/>
        <v>7.2585199308236907</v>
      </c>
      <c r="U30" s="97">
        <f t="shared" si="8"/>
        <v>8.2240040347652457</v>
      </c>
      <c r="V30" s="97">
        <f t="shared" si="9"/>
        <v>3.9077264539850969</v>
      </c>
      <c r="W30" s="97"/>
      <c r="X30" s="97">
        <f t="shared" si="10"/>
        <v>0.1521885665897745</v>
      </c>
      <c r="Y30" s="97">
        <f t="shared" si="13"/>
        <v>1.4370020640759</v>
      </c>
      <c r="Z30" s="97">
        <f t="shared" si="13"/>
        <v>3.6472059564400325</v>
      </c>
      <c r="AA30" s="97">
        <f t="shared" si="13"/>
        <v>1.6958022429724637</v>
      </c>
      <c r="AB30" s="97">
        <f t="shared" si="13"/>
        <v>3.706656756975045</v>
      </c>
      <c r="AC30" s="97">
        <f t="shared" si="13"/>
        <v>24.214692530265967</v>
      </c>
      <c r="AD30" s="97">
        <f t="shared" si="13"/>
        <v>31.747685467703235</v>
      </c>
      <c r="AE30" s="97">
        <f t="shared" si="13"/>
        <v>25.37658630747956</v>
      </c>
      <c r="AF30" s="97">
        <f t="shared" si="13"/>
        <v>8.0221801074980359</v>
      </c>
      <c r="AG30" s="97">
        <f t="shared" si="13"/>
        <v>100</v>
      </c>
    </row>
    <row r="31" spans="1:33" x14ac:dyDescent="0.2">
      <c r="A31" s="10" t="str">
        <f>name!D27</f>
        <v>82 Transport and mobile machine drivers and operatives</v>
      </c>
      <c r="B31" s="69">
        <f>'Basic T2'!D31</f>
        <v>3.4685419412176212E-2</v>
      </c>
      <c r="C31" s="69">
        <f>'Basic T2'!O31</f>
        <v>0.24052554352506292</v>
      </c>
      <c r="D31" s="69">
        <f>'Basic T2'!Z31</f>
        <v>0.99049843898400181</v>
      </c>
      <c r="E31" s="69">
        <f>'Basic T2'!AK31</f>
        <v>0.50471364317463141</v>
      </c>
      <c r="F31" s="69">
        <f>'Basic T2'!AV31</f>
        <v>0.74101457064578258</v>
      </c>
      <c r="G31" s="69">
        <f>'Basic T2'!BG31</f>
        <v>4.4439960507142464</v>
      </c>
      <c r="H31" s="69">
        <f>'Basic T2'!BR31</f>
        <v>6.5569181969405941</v>
      </c>
      <c r="I31" s="69">
        <f>'Basic T2'!CC31</f>
        <v>5.7550825766206568</v>
      </c>
      <c r="J31" s="69">
        <f>'Basic T2'!CN31</f>
        <v>2.1429000612237465</v>
      </c>
      <c r="K31" s="309">
        <f t="shared" si="12"/>
        <v>21.4103345012409</v>
      </c>
      <c r="L31" s="97"/>
      <c r="M31" s="97">
        <f t="shared" si="0"/>
        <v>0.55486149677853458</v>
      </c>
      <c r="N31" s="97">
        <f t="shared" si="1"/>
        <v>0.56047819707262814</v>
      </c>
      <c r="O31" s="97">
        <f t="shared" si="2"/>
        <v>1.0548029724789632</v>
      </c>
      <c r="P31" s="97">
        <f t="shared" si="3"/>
        <v>1.7930055462527801</v>
      </c>
      <c r="Q31" s="97">
        <f t="shared" si="4"/>
        <v>2.5750530586943787</v>
      </c>
      <c r="R31" s="97">
        <f t="shared" si="5"/>
        <v>3.8265096745400795</v>
      </c>
      <c r="S31" s="97">
        <f t="shared" si="6"/>
        <v>6.0293089519842589</v>
      </c>
      <c r="T31" s="97">
        <f t="shared" si="7"/>
        <v>8.1821187642509265</v>
      </c>
      <c r="U31" s="97">
        <f t="shared" si="8"/>
        <v>10.91923391034616</v>
      </c>
      <c r="V31" s="97">
        <f t="shared" si="9"/>
        <v>4.1585981220058255</v>
      </c>
      <c r="W31" s="97"/>
      <c r="X31" s="97">
        <f t="shared" si="10"/>
        <v>0.16200316445390386</v>
      </c>
      <c r="Y31" s="97">
        <f t="shared" si="13"/>
        <v>1.1234086207813454</v>
      </c>
      <c r="Z31" s="97">
        <f t="shared" si="13"/>
        <v>4.6262632605137233</v>
      </c>
      <c r="AA31" s="97">
        <f t="shared" si="13"/>
        <v>2.3573365616748267</v>
      </c>
      <c r="AB31" s="97">
        <f t="shared" si="13"/>
        <v>3.4610135147717322</v>
      </c>
      <c r="AC31" s="97">
        <f t="shared" si="13"/>
        <v>20.756313034047562</v>
      </c>
      <c r="AD31" s="97">
        <f t="shared" si="13"/>
        <v>30.625015207308266</v>
      </c>
      <c r="AE31" s="97">
        <f t="shared" si="13"/>
        <v>26.879928364907631</v>
      </c>
      <c r="AF31" s="97">
        <f t="shared" si="13"/>
        <v>10.008718271541008</v>
      </c>
      <c r="AG31" s="97">
        <f t="shared" si="13"/>
        <v>100</v>
      </c>
    </row>
    <row r="32" spans="1:33" x14ac:dyDescent="0.2">
      <c r="A32" s="10" t="str">
        <f>name!D28</f>
        <v>91 Elementary trades and related occupations</v>
      </c>
      <c r="B32" s="69">
        <f>'Basic T2'!D32</f>
        <v>3.5835413158359262E-4</v>
      </c>
      <c r="C32" s="69">
        <f>'Basic T2'!O32</f>
        <v>0.13893040399404755</v>
      </c>
      <c r="D32" s="69">
        <f>'Basic T2'!Z32</f>
        <v>0.55636093976510481</v>
      </c>
      <c r="E32" s="69">
        <f>'Basic T2'!AK32</f>
        <v>0.36636180299034599</v>
      </c>
      <c r="F32" s="69">
        <f>'Basic T2'!AV32</f>
        <v>0.43113704046772777</v>
      </c>
      <c r="G32" s="69">
        <f>'Basic T2'!BG32</f>
        <v>1.6360682317403661</v>
      </c>
      <c r="H32" s="69">
        <f>'Basic T2'!BR32</f>
        <v>2.6246513422731237</v>
      </c>
      <c r="I32" s="69">
        <f>'Basic T2'!CC32</f>
        <v>3.5201928013955572</v>
      </c>
      <c r="J32" s="69">
        <f>'Basic T2'!CN32</f>
        <v>1.3415615447017244</v>
      </c>
      <c r="K32" s="309">
        <f t="shared" si="12"/>
        <v>10.615622461459582</v>
      </c>
      <c r="L32" s="97"/>
      <c r="M32" s="97">
        <f t="shared" si="0"/>
        <v>5.7325790835743226E-3</v>
      </c>
      <c r="N32" s="97">
        <f t="shared" si="1"/>
        <v>0.32373884789097995</v>
      </c>
      <c r="O32" s="97">
        <f t="shared" si="2"/>
        <v>0.59248066421728152</v>
      </c>
      <c r="P32" s="97">
        <f t="shared" si="3"/>
        <v>1.3015078026523141</v>
      </c>
      <c r="Q32" s="97">
        <f t="shared" si="4"/>
        <v>1.4982171724441828</v>
      </c>
      <c r="R32" s="97">
        <f t="shared" si="5"/>
        <v>1.408739082015162</v>
      </c>
      <c r="S32" s="97">
        <f t="shared" si="6"/>
        <v>2.4134560411610115</v>
      </c>
      <c r="T32" s="97">
        <f t="shared" si="7"/>
        <v>5.0047301998909495</v>
      </c>
      <c r="U32" s="97">
        <f t="shared" si="8"/>
        <v>6.8359810972042885</v>
      </c>
      <c r="V32" s="97">
        <f t="shared" si="9"/>
        <v>2.0619064886440728</v>
      </c>
      <c r="W32" s="97"/>
      <c r="X32" s="97">
        <f t="shared" si="10"/>
        <v>3.3757241545148277E-3</v>
      </c>
      <c r="Y32" s="97">
        <f t="shared" si="13"/>
        <v>1.308735352057212</v>
      </c>
      <c r="Z32" s="97">
        <f t="shared" si="13"/>
        <v>5.240963888693237</v>
      </c>
      <c r="AA32" s="97">
        <f t="shared" si="13"/>
        <v>3.4511570500970277</v>
      </c>
      <c r="AB32" s="97">
        <f t="shared" si="13"/>
        <v>4.0613448908246985</v>
      </c>
      <c r="AC32" s="97">
        <f t="shared" si="13"/>
        <v>15.411891650067375</v>
      </c>
      <c r="AD32" s="97">
        <f t="shared" si="13"/>
        <v>24.724422442508853</v>
      </c>
      <c r="AE32" s="97">
        <f t="shared" si="13"/>
        <v>33.160493547841874</v>
      </c>
      <c r="AF32" s="97">
        <f t="shared" si="13"/>
        <v>12.637615453755203</v>
      </c>
      <c r="AG32" s="97">
        <f t="shared" si="13"/>
        <v>100</v>
      </c>
    </row>
    <row r="33" spans="1:33" x14ac:dyDescent="0.2">
      <c r="A33" s="10" t="str">
        <f>name!D29</f>
        <v>92 Elementary administration and service occupations</v>
      </c>
      <c r="B33" s="69">
        <f>'Basic T2'!D33</f>
        <v>3.0333302655332833E-2</v>
      </c>
      <c r="C33" s="69">
        <f>'Basic T2'!O33</f>
        <v>0.77050691296337581</v>
      </c>
      <c r="D33" s="69">
        <f>'Basic T2'!Z33</f>
        <v>3.4225763041860628</v>
      </c>
      <c r="E33" s="69">
        <f>'Basic T2'!AK33</f>
        <v>1.6505259429501387</v>
      </c>
      <c r="F33" s="69">
        <f>'Basic T2'!AV33</f>
        <v>1.5285007198061538</v>
      </c>
      <c r="G33" s="69">
        <f>'Basic T2'!BG33</f>
        <v>8.6218250896044726</v>
      </c>
      <c r="H33" s="69">
        <f>'Basic T2'!BR33</f>
        <v>14.135416753762819</v>
      </c>
      <c r="I33" s="69">
        <f>'Basic T2'!CC33</f>
        <v>12.617678331987516</v>
      </c>
      <c r="J33" s="69">
        <f>'Basic T2'!CN33</f>
        <v>3.465003600070915</v>
      </c>
      <c r="K33" s="309">
        <f t="shared" ref="K33" si="14">SUM(B33:J33)</f>
        <v>46.242366957986789</v>
      </c>
      <c r="L33" s="97"/>
      <c r="M33" s="97">
        <f t="shared" si="0"/>
        <v>0.48524083026269754</v>
      </c>
      <c r="N33" s="97">
        <f t="shared" si="1"/>
        <v>1.795453069477047</v>
      </c>
      <c r="O33" s="97">
        <f t="shared" si="2"/>
        <v>3.6447747084736517</v>
      </c>
      <c r="P33" s="97">
        <f t="shared" si="3"/>
        <v>5.8635271900501058</v>
      </c>
      <c r="Q33" s="97">
        <f t="shared" si="4"/>
        <v>5.311596572687173</v>
      </c>
      <c r="R33" s="97">
        <f t="shared" si="5"/>
        <v>7.4238358317761</v>
      </c>
      <c r="S33" s="97">
        <f t="shared" si="6"/>
        <v>12.997995737274346</v>
      </c>
      <c r="T33" s="97">
        <f t="shared" si="7"/>
        <v>17.938811696783468</v>
      </c>
      <c r="U33" s="97">
        <f t="shared" si="8"/>
        <v>17.656065951932128</v>
      </c>
      <c r="V33" s="97">
        <f t="shared" si="9"/>
        <v>8.9818036414817595</v>
      </c>
      <c r="W33" s="97"/>
      <c r="X33" s="97">
        <f t="shared" ref="X33" si="15">IF($K33&gt;0,B33/$K33*100,0)</f>
        <v>6.5596345193341773E-2</v>
      </c>
      <c r="Y33" s="97">
        <f t="shared" ref="Y33" si="16">IF($K33&gt;0,C33/$K33*100,0)</f>
        <v>1.666235886375399</v>
      </c>
      <c r="Z33" s="97">
        <f t="shared" ref="Z33" si="17">IF($K33&gt;0,D33/$K33*100,0)</f>
        <v>7.4013864975718544</v>
      </c>
      <c r="AA33" s="97">
        <f t="shared" ref="AA33" si="18">IF($K33&gt;0,E33/$K33*100,0)</f>
        <v>3.5692938132896908</v>
      </c>
      <c r="AB33" s="97">
        <f t="shared" ref="AB33" si="19">IF($K33&gt;0,F33/$K33*100,0)</f>
        <v>3.3054119422452217</v>
      </c>
      <c r="AC33" s="97">
        <f t="shared" ref="AC33" si="20">IF($K33&gt;0,G33/$K33*100,0)</f>
        <v>18.644861102023125</v>
      </c>
      <c r="AD33" s="97">
        <f t="shared" ref="AD33" si="21">IF($K33&gt;0,H33/$K33*100,0)</f>
        <v>30.568108173626712</v>
      </c>
      <c r="AE33" s="97">
        <f t="shared" ref="AE33" si="22">IF($K33&gt;0,I33/$K33*100,0)</f>
        <v>27.285969906019798</v>
      </c>
      <c r="AF33" s="97">
        <f>IF($K33&gt;0,J33/$K33*100,0)</f>
        <v>7.4931363336548538</v>
      </c>
      <c r="AG33" s="97">
        <f t="shared" ref="AG33" si="23">IF($K33&gt;0,K33/$K33*100,0)</f>
        <v>100</v>
      </c>
    </row>
    <row r="34" spans="1:33" x14ac:dyDescent="0.2">
      <c r="B34" s="309"/>
      <c r="C34" s="309"/>
      <c r="D34" s="309"/>
      <c r="E34" s="69"/>
      <c r="F34" s="69"/>
      <c r="G34" s="69"/>
      <c r="H34" s="69"/>
      <c r="I34" s="69"/>
      <c r="J34" s="69"/>
      <c r="K34" s="309"/>
      <c r="L34" s="97"/>
      <c r="M34" s="97"/>
      <c r="N34" s="97"/>
      <c r="O34" s="97"/>
      <c r="P34" s="97"/>
      <c r="Q34" s="97"/>
      <c r="R34" s="97"/>
      <c r="S34" s="97"/>
      <c r="T34" s="97"/>
      <c r="U34" s="97"/>
      <c r="V34" s="97"/>
      <c r="W34" s="97"/>
      <c r="X34" s="97"/>
      <c r="Y34" s="97"/>
      <c r="Z34" s="97"/>
      <c r="AA34" s="97"/>
      <c r="AB34" s="97"/>
      <c r="AC34" s="97"/>
      <c r="AD34" s="97"/>
      <c r="AE34" s="97"/>
      <c r="AF34" s="97"/>
      <c r="AG34" s="97"/>
    </row>
    <row r="35" spans="1:33" x14ac:dyDescent="0.2">
      <c r="A35" s="108" t="str">
        <f>name!D3</f>
        <v>All occupations</v>
      </c>
      <c r="B35" s="310">
        <f>SUM(B8:B33)</f>
        <v>6.2511851360305197</v>
      </c>
      <c r="C35" s="310">
        <f t="shared" ref="C35:K35" si="24">SUM(C8:C33)</f>
        <v>42.914344354753737</v>
      </c>
      <c r="D35" s="310">
        <f t="shared" si="24"/>
        <v>93.903645024450881</v>
      </c>
      <c r="E35" s="310">
        <f t="shared" si="24"/>
        <v>28.149028553170815</v>
      </c>
      <c r="F35" s="310">
        <f t="shared" si="24"/>
        <v>28.776671926965921</v>
      </c>
      <c r="G35" s="310">
        <f t="shared" si="24"/>
        <v>116.13706559485922</v>
      </c>
      <c r="H35" s="310">
        <f t="shared" si="24"/>
        <v>108.75074157184628</v>
      </c>
      <c r="I35" s="310">
        <f t="shared" si="24"/>
        <v>70.337314116798154</v>
      </c>
      <c r="J35" s="310">
        <f t="shared" si="24"/>
        <v>19.625003721124724</v>
      </c>
      <c r="K35" s="310">
        <f t="shared" si="24"/>
        <v>514.84500000000025</v>
      </c>
      <c r="L35" s="98"/>
      <c r="M35" s="98">
        <f>B35/B$35*100</f>
        <v>100</v>
      </c>
      <c r="N35" s="98">
        <f>C35/C$35*100</f>
        <v>100</v>
      </c>
      <c r="O35" s="98">
        <f>D35/D$35*100</f>
        <v>100</v>
      </c>
      <c r="P35" s="98">
        <f t="shared" ref="P35:U35" si="25">E35/E$35*100</f>
        <v>100</v>
      </c>
      <c r="Q35" s="98">
        <f t="shared" si="25"/>
        <v>100</v>
      </c>
      <c r="R35" s="98">
        <f t="shared" si="25"/>
        <v>100</v>
      </c>
      <c r="S35" s="98">
        <f t="shared" si="25"/>
        <v>100</v>
      </c>
      <c r="T35" s="98">
        <f t="shared" si="25"/>
        <v>100</v>
      </c>
      <c r="U35" s="98">
        <f t="shared" si="25"/>
        <v>100</v>
      </c>
      <c r="V35" s="98">
        <f>K35/K$35*100</f>
        <v>100</v>
      </c>
      <c r="W35" s="98"/>
      <c r="X35" s="98">
        <f>IF($K35&gt;0,B35/$K35*100,0)</f>
        <v>1.2141877916713801</v>
      </c>
      <c r="Y35" s="98">
        <f t="shared" ref="Y35:AG35" si="26">IF($K35&gt;0,C35/$K35*100,0)</f>
        <v>8.335391108926709</v>
      </c>
      <c r="Z35" s="98">
        <f t="shared" si="26"/>
        <v>18.239206950528963</v>
      </c>
      <c r="AA35" s="98">
        <f t="shared" si="26"/>
        <v>5.4674763381543574</v>
      </c>
      <c r="AB35" s="98">
        <f t="shared" si="26"/>
        <v>5.5893855290360994</v>
      </c>
      <c r="AC35" s="98">
        <f t="shared" si="26"/>
        <v>22.557675726647663</v>
      </c>
      <c r="AD35" s="98">
        <f t="shared" si="26"/>
        <v>21.123006258552813</v>
      </c>
      <c r="AE35" s="98">
        <f t="shared" si="26"/>
        <v>13.66184271320458</v>
      </c>
      <c r="AF35" s="98">
        <f t="shared" si="26"/>
        <v>3.8118275832774358</v>
      </c>
      <c r="AG35" s="98">
        <f t="shared" si="26"/>
        <v>100</v>
      </c>
    </row>
    <row r="37" spans="1:33" x14ac:dyDescent="0.2">
      <c r="A37" s="91" t="str">
        <f ca="1">CELL("filename")</f>
        <v>M:\IE\Projects\Nuffield via NFER AI and automation\Data\Results\Workbooks\LSIPs\LI_LSIP\[LI_LSIP_MainTables.Main.xlsm]Manager</v>
      </c>
    </row>
  </sheetData>
  <pageMargins left="0.31496062992125984" right="0.31496062992125984" top="0.74803149606299213" bottom="0.74803149606299213" header="0.31496062992125984" footer="0.31496062992125984"/>
  <pageSetup paperSize="9" scale="71" orientation="landscape" r:id="rId1"/>
  <colBreaks count="2" manualBreakCount="2">
    <brk id="12" max="33" man="1"/>
    <brk id="23" max="33" man="1"/>
  </colBreaks>
  <drawing r:id="rId2"/>
</worksheet>
</file>

<file path=xl/worksheets/sheet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100-000000000000}">
  <sheetPr codeName="Sheet33"/>
  <dimension ref="A1:DP101"/>
  <sheetViews>
    <sheetView zoomScale="85" zoomScaleNormal="85" workbookViewId="0">
      <selection activeCell="J103" sqref="J103"/>
    </sheetView>
  </sheetViews>
  <sheetFormatPr defaultColWidth="9.140625" defaultRowHeight="12.75" x14ac:dyDescent="0.2"/>
  <cols>
    <col min="1" max="1" width="33.7109375" style="91" customWidth="1"/>
    <col min="2" max="2" width="5.7109375" style="91" customWidth="1"/>
    <col min="3" max="3" width="11.7109375" style="91" customWidth="1"/>
    <col min="4" max="4" width="7.85546875" style="91" customWidth="1"/>
    <col min="5" max="5" width="9.85546875" style="91" customWidth="1"/>
    <col min="6" max="6" width="10" style="91" customWidth="1"/>
    <col min="7" max="7" width="2.7109375" style="91" customWidth="1"/>
    <col min="8" max="8" width="5.7109375" style="91" customWidth="1"/>
    <col min="9" max="9" width="10.7109375" style="91" customWidth="1"/>
    <col min="10" max="12" width="8.7109375" style="91" customWidth="1"/>
    <col min="13" max="13" width="2.7109375" style="91" customWidth="1"/>
    <col min="14" max="14" width="5.7109375" style="91" customWidth="1"/>
    <col min="15" max="15" width="10.7109375" style="91" customWidth="1"/>
    <col min="16" max="18" width="8.7109375" style="91" customWidth="1"/>
    <col min="19" max="19" width="2.7109375" style="91" customWidth="1"/>
    <col min="20" max="20" width="5.7109375" style="91" customWidth="1"/>
    <col min="21" max="21" width="10.7109375" style="91" customWidth="1"/>
    <col min="22" max="24" width="8.7109375" style="91" customWidth="1"/>
    <col min="25" max="25" width="33.7109375" style="91" customWidth="1"/>
    <col min="26" max="26" width="5.7109375" style="91" customWidth="1"/>
    <col min="27" max="27" width="11.7109375" style="91" customWidth="1"/>
    <col min="28" max="28" width="7.42578125" style="91" customWidth="1"/>
    <col min="29" max="30" width="8.7109375" style="91" customWidth="1"/>
    <col min="31" max="31" width="2.7109375" style="91" customWidth="1"/>
    <col min="32" max="32" width="5.7109375" style="91" customWidth="1"/>
    <col min="33" max="33" width="10.7109375" style="91" customWidth="1"/>
    <col min="34" max="36" width="8.7109375" style="91" customWidth="1"/>
    <col min="37" max="37" width="2.7109375" style="91" customWidth="1"/>
    <col min="38" max="38" width="5.7109375" style="91" customWidth="1"/>
    <col min="39" max="39" width="10.7109375" style="91" customWidth="1"/>
    <col min="40" max="42" width="8.7109375" style="91" customWidth="1"/>
    <col min="43" max="43" width="2.7109375" style="91" customWidth="1"/>
    <col min="44" max="44" width="5.7109375" style="91" customWidth="1"/>
    <col min="45" max="45" width="10.7109375" style="91" customWidth="1"/>
    <col min="46" max="48" width="8.7109375" style="91" customWidth="1"/>
    <col min="49" max="49" width="33.7109375" style="91" customWidth="1"/>
    <col min="50" max="50" width="5.7109375" style="91" customWidth="1"/>
    <col min="51" max="51" width="11.7109375" style="91" customWidth="1"/>
    <col min="52" max="52" width="7.42578125" style="91" customWidth="1"/>
    <col min="53" max="54" width="8.7109375" style="91" customWidth="1"/>
    <col min="55" max="55" width="2.7109375" style="91" customWidth="1"/>
    <col min="56" max="56" width="5.7109375" style="91" customWidth="1"/>
    <col min="57" max="57" width="10.7109375" style="91" customWidth="1"/>
    <col min="58" max="60" width="8.7109375" style="91" customWidth="1"/>
    <col min="61" max="61" width="2.7109375" style="91" customWidth="1"/>
    <col min="62" max="62" width="5.7109375" style="91" customWidth="1"/>
    <col min="63" max="63" width="10.7109375" style="91" customWidth="1"/>
    <col min="64" max="66" width="8.7109375" style="91" customWidth="1"/>
    <col min="67" max="67" width="2.7109375" style="91" customWidth="1"/>
    <col min="68" max="68" width="5.7109375" style="91" customWidth="1"/>
    <col min="69" max="69" width="10.7109375" style="91" customWidth="1"/>
    <col min="70" max="72" width="8.7109375" style="91" customWidth="1"/>
    <col min="73" max="73" width="33.7109375" style="91" customWidth="1"/>
    <col min="74" max="74" width="5.7109375" style="91" customWidth="1"/>
    <col min="75" max="75" width="11.7109375" style="91" customWidth="1"/>
    <col min="76" max="76" width="7.42578125" style="91" customWidth="1"/>
    <col min="77" max="78" width="8.7109375" style="91" customWidth="1"/>
    <col min="79" max="79" width="2.7109375" style="91" customWidth="1"/>
    <col min="80" max="80" width="5.7109375" style="91" customWidth="1"/>
    <col min="81" max="81" width="10.7109375" style="91" customWidth="1"/>
    <col min="82" max="84" width="8.7109375" style="91" customWidth="1"/>
    <col min="85" max="85" width="2.7109375" style="91" customWidth="1"/>
    <col min="86" max="86" width="5.7109375" style="91" customWidth="1"/>
    <col min="87" max="87" width="10.7109375" style="91" customWidth="1"/>
    <col min="88" max="90" width="8.7109375" style="91" customWidth="1"/>
    <col min="91" max="91" width="2.7109375" style="91" customWidth="1"/>
    <col min="92" max="92" width="5.7109375" style="91" customWidth="1"/>
    <col min="93" max="93" width="10.7109375" style="91" customWidth="1"/>
    <col min="94" max="96" width="8.7109375" style="91" customWidth="1"/>
    <col min="97" max="97" width="33.7109375" style="91" customWidth="1"/>
    <col min="98" max="98" width="5.7109375" style="91" customWidth="1"/>
    <col min="99" max="99" width="11.7109375" style="91" customWidth="1"/>
    <col min="100" max="100" width="7.42578125" style="91" customWidth="1"/>
    <col min="101" max="102" width="8.7109375" style="91" customWidth="1"/>
    <col min="103" max="103" width="2.7109375" style="91" customWidth="1"/>
    <col min="104" max="104" width="5.7109375" style="91" customWidth="1"/>
    <col min="105" max="105" width="10.7109375" style="91" customWidth="1"/>
    <col min="106" max="108" width="8.7109375" style="91" customWidth="1"/>
    <col min="109" max="109" width="2.7109375" style="91" customWidth="1"/>
    <col min="110" max="110" width="5.7109375" style="91" customWidth="1"/>
    <col min="111" max="111" width="10.7109375" style="91" customWidth="1"/>
    <col min="112" max="114" width="8.7109375" style="91" customWidth="1"/>
    <col min="115" max="115" width="2.7109375" style="91" customWidth="1"/>
    <col min="116" max="116" width="5.7109375" style="91" customWidth="1"/>
    <col min="117" max="117" width="10.7109375" style="91" customWidth="1"/>
    <col min="118" max="120" width="8.7109375" style="91" customWidth="1"/>
    <col min="121" max="16384" width="9.140625" style="91"/>
  </cols>
  <sheetData>
    <row r="1" spans="1:120" ht="15.75" x14ac:dyDescent="0.25">
      <c r="A1" s="19" t="str">
        <f>CONCATENATE("Basic Table 5  Replacement Demand, ",A100,"-",A101,", by Industry and Qualification for ",name!$H$3)</f>
        <v>Basic Table 5  Replacement Demand, 2015-2025, by Industry and Qualification for M</v>
      </c>
      <c r="Y1" s="19" t="str">
        <f>CONCATENATE("Basic Table 5  Replacement Demand, ",A100,"-",A101,", by Industry and Qualification for ",name!$H$4)</f>
        <v>Basic Table 5  Replacement Demand, 2015-2025, by Industry and Qualification for F</v>
      </c>
      <c r="AW1" s="19" t="str">
        <f>CONCATENATE("Basic Table 5  Replacement Demand, ",A100,"-",A101,", by Industry and Qualification for ",name!$H$5)</f>
        <v xml:space="preserve">Basic Table 5  Replacement Demand, 2015-2025, by Industry and Qualification for </v>
      </c>
      <c r="BU1" s="19" t="str">
        <f>CONCATENATE("Basic Table 5  Replacement Demand, ",A100,"-",A101,", by Industry and Qualification for ",name!$H$6)</f>
        <v xml:space="preserve">Basic Table 5  Replacement Demand, 2015-2025, by Industry and Qualification for </v>
      </c>
      <c r="CS1" s="19" t="str">
        <f>CONCATENATE("Basic Table 5  Replacement Demand, ",A100,"-",A101,", by Industry and Qualification for ",name!$H$7)</f>
        <v xml:space="preserve">Basic Table 5  Replacement Demand, 2015-2025, by Industry and Qualification for </v>
      </c>
    </row>
    <row r="2" spans="1:120" ht="15.75" x14ac:dyDescent="0.25">
      <c r="A2" s="19"/>
      <c r="Y2" s="19"/>
      <c r="AW2" s="19"/>
      <c r="BU2" s="19"/>
      <c r="CS2" s="19"/>
    </row>
    <row r="3" spans="1:120" x14ac:dyDescent="0.2">
      <c r="B3" s="92"/>
      <c r="C3" s="92"/>
      <c r="D3" s="92"/>
      <c r="E3" s="92"/>
      <c r="F3" s="92"/>
      <c r="G3" s="92"/>
      <c r="H3" s="92"/>
      <c r="I3" s="92"/>
      <c r="J3" s="92"/>
      <c r="K3" s="92"/>
      <c r="L3" s="92"/>
      <c r="M3" s="92"/>
      <c r="N3" s="92"/>
      <c r="O3" s="92"/>
      <c r="P3" s="92"/>
      <c r="Q3" s="92"/>
      <c r="R3" s="92"/>
      <c r="S3" s="92"/>
      <c r="T3" s="92"/>
      <c r="U3" s="92"/>
      <c r="V3" s="92"/>
      <c r="W3" s="92"/>
      <c r="X3" s="116" t="s">
        <v>36</v>
      </c>
      <c r="Z3" s="92"/>
      <c r="AA3" s="92"/>
      <c r="AB3" s="92"/>
      <c r="AC3" s="92"/>
      <c r="AD3" s="92"/>
      <c r="AE3" s="92"/>
      <c r="AF3" s="92"/>
      <c r="AG3" s="92"/>
      <c r="AH3" s="92"/>
      <c r="AI3" s="92"/>
      <c r="AJ3" s="92"/>
      <c r="AK3" s="92"/>
      <c r="AL3" s="92"/>
      <c r="AM3" s="92"/>
      <c r="AN3" s="92"/>
      <c r="AO3" s="92"/>
      <c r="AP3" s="92"/>
      <c r="AQ3" s="92"/>
      <c r="AR3" s="92"/>
      <c r="AS3" s="92"/>
      <c r="AT3" s="92"/>
      <c r="AU3" s="92"/>
      <c r="AV3" s="116" t="str">
        <f>$X$3</f>
        <v>thousands</v>
      </c>
      <c r="AX3" s="92"/>
      <c r="AY3" s="92"/>
      <c r="AZ3" s="92"/>
      <c r="BA3" s="92"/>
      <c r="BB3" s="92"/>
      <c r="BC3" s="92"/>
      <c r="BD3" s="92"/>
      <c r="BE3" s="92"/>
      <c r="BF3" s="92"/>
      <c r="BG3" s="92"/>
      <c r="BH3" s="92"/>
      <c r="BI3" s="92"/>
      <c r="BJ3" s="92"/>
      <c r="BK3" s="92"/>
      <c r="BL3" s="92"/>
      <c r="BM3" s="92"/>
      <c r="BN3" s="92"/>
      <c r="BO3" s="92"/>
      <c r="BP3" s="92"/>
      <c r="BQ3" s="92"/>
      <c r="BR3" s="92"/>
      <c r="BS3" s="92"/>
      <c r="BT3" s="116" t="str">
        <f>$X$3</f>
        <v>thousands</v>
      </c>
      <c r="BV3" s="92"/>
      <c r="BW3" s="92"/>
      <c r="BX3" s="92"/>
      <c r="BY3" s="92"/>
      <c r="BZ3" s="92"/>
      <c r="CA3" s="92"/>
      <c r="CB3" s="92"/>
      <c r="CC3" s="92"/>
      <c r="CD3" s="92"/>
      <c r="CE3" s="92"/>
      <c r="CF3" s="92"/>
      <c r="CG3" s="92"/>
      <c r="CH3" s="92"/>
      <c r="CI3" s="92"/>
      <c r="CJ3" s="92"/>
      <c r="CK3" s="92"/>
      <c r="CL3" s="92"/>
      <c r="CM3" s="92"/>
      <c r="CN3" s="92"/>
      <c r="CO3" s="92"/>
      <c r="CP3" s="92"/>
      <c r="CQ3" s="92"/>
      <c r="CR3" s="116" t="str">
        <f>$X$3</f>
        <v>thousands</v>
      </c>
      <c r="CT3" s="92"/>
      <c r="CU3" s="92"/>
      <c r="CV3" s="92"/>
      <c r="CW3" s="92"/>
      <c r="CX3" s="92"/>
      <c r="CY3" s="92"/>
      <c r="CZ3" s="92"/>
      <c r="DA3" s="92"/>
      <c r="DB3" s="92"/>
      <c r="DC3" s="92"/>
      <c r="DD3" s="92"/>
      <c r="DE3" s="92"/>
      <c r="DF3" s="92"/>
      <c r="DG3" s="92"/>
      <c r="DH3" s="92"/>
      <c r="DI3" s="92"/>
      <c r="DJ3" s="92"/>
      <c r="DK3" s="92"/>
      <c r="DL3" s="92"/>
      <c r="DM3" s="92"/>
      <c r="DN3" s="92"/>
      <c r="DO3" s="92"/>
      <c r="DP3" s="116" t="str">
        <f>$X$3</f>
        <v>thousands</v>
      </c>
    </row>
    <row r="4" spans="1:120" x14ac:dyDescent="0.2">
      <c r="A4" s="96"/>
      <c r="B4" s="385" t="str">
        <f>name!F3</f>
        <v>All qualifications</v>
      </c>
      <c r="C4" s="385"/>
      <c r="D4" s="385"/>
      <c r="E4" s="385"/>
      <c r="F4" s="385"/>
      <c r="G4" s="103"/>
      <c r="H4" s="385" t="str">
        <f>name!F4</f>
        <v>RQF8 Doctorate</v>
      </c>
      <c r="I4" s="385"/>
      <c r="J4" s="385"/>
      <c r="K4" s="385"/>
      <c r="L4" s="385"/>
      <c r="N4" s="384" t="str">
        <f>name!F5</f>
        <v>RQF7 Other higher degree</v>
      </c>
      <c r="O4" s="384"/>
      <c r="P4" s="384"/>
      <c r="Q4" s="384"/>
      <c r="R4" s="384"/>
      <c r="S4" s="111"/>
      <c r="T4" s="384" t="str">
        <f>name!F6</f>
        <v>RQF6 First degree</v>
      </c>
      <c r="U4" s="384"/>
      <c r="V4" s="384"/>
      <c r="W4" s="384"/>
      <c r="X4" s="384"/>
      <c r="Y4" s="96"/>
      <c r="Z4" s="385" t="str">
        <f>$B$4</f>
        <v>All qualifications</v>
      </c>
      <c r="AA4" s="385"/>
      <c r="AB4" s="385"/>
      <c r="AC4" s="385"/>
      <c r="AD4" s="385"/>
      <c r="AE4" s="103"/>
      <c r="AF4" s="385" t="str">
        <f>$H$4</f>
        <v>RQF8 Doctorate</v>
      </c>
      <c r="AG4" s="385"/>
      <c r="AH4" s="385"/>
      <c r="AI4" s="385"/>
      <c r="AJ4" s="385"/>
      <c r="AL4" s="384" t="str">
        <f>$N$4</f>
        <v>RQF7 Other higher degree</v>
      </c>
      <c r="AM4" s="384"/>
      <c r="AN4" s="384"/>
      <c r="AO4" s="384"/>
      <c r="AP4" s="384"/>
      <c r="AQ4" s="111"/>
      <c r="AR4" s="384" t="str">
        <f>$T$4</f>
        <v>RQF6 First degree</v>
      </c>
      <c r="AS4" s="384"/>
      <c r="AT4" s="384"/>
      <c r="AU4" s="384"/>
      <c r="AV4" s="384"/>
      <c r="AW4" s="96"/>
      <c r="AX4" s="385" t="str">
        <f>$B$4</f>
        <v>All qualifications</v>
      </c>
      <c r="AY4" s="385"/>
      <c r="AZ4" s="385"/>
      <c r="BA4" s="385"/>
      <c r="BB4" s="385"/>
      <c r="BC4" s="103"/>
      <c r="BD4" s="385" t="str">
        <f>$H$4</f>
        <v>RQF8 Doctorate</v>
      </c>
      <c r="BE4" s="385"/>
      <c r="BF4" s="385"/>
      <c r="BG4" s="385"/>
      <c r="BH4" s="385"/>
      <c r="BJ4" s="384" t="str">
        <f>$N$4</f>
        <v>RQF7 Other higher degree</v>
      </c>
      <c r="BK4" s="384"/>
      <c r="BL4" s="384"/>
      <c r="BM4" s="384"/>
      <c r="BN4" s="384"/>
      <c r="BO4" s="111"/>
      <c r="BP4" s="384" t="str">
        <f>$T$4</f>
        <v>RQF6 First degree</v>
      </c>
      <c r="BQ4" s="384"/>
      <c r="BR4" s="384"/>
      <c r="BS4" s="384"/>
      <c r="BT4" s="384"/>
      <c r="BU4" s="96"/>
      <c r="BV4" s="385" t="str">
        <f>$B$4</f>
        <v>All qualifications</v>
      </c>
      <c r="BW4" s="385"/>
      <c r="BX4" s="385"/>
      <c r="BY4" s="385"/>
      <c r="BZ4" s="385"/>
      <c r="CA4" s="103"/>
      <c r="CB4" s="385" t="str">
        <f>$H$4</f>
        <v>RQF8 Doctorate</v>
      </c>
      <c r="CC4" s="385"/>
      <c r="CD4" s="385"/>
      <c r="CE4" s="385"/>
      <c r="CF4" s="385"/>
      <c r="CH4" s="384" t="str">
        <f>$N$4</f>
        <v>RQF7 Other higher degree</v>
      </c>
      <c r="CI4" s="384"/>
      <c r="CJ4" s="384"/>
      <c r="CK4" s="384"/>
      <c r="CL4" s="384"/>
      <c r="CM4" s="111"/>
      <c r="CN4" s="384" t="str">
        <f>$T$4</f>
        <v>RQF6 First degree</v>
      </c>
      <c r="CO4" s="384"/>
      <c r="CP4" s="384"/>
      <c r="CQ4" s="384"/>
      <c r="CR4" s="384"/>
      <c r="CS4" s="96"/>
      <c r="CT4" s="385" t="str">
        <f>$B$4</f>
        <v>All qualifications</v>
      </c>
      <c r="CU4" s="385"/>
      <c r="CV4" s="385"/>
      <c r="CW4" s="385"/>
      <c r="CX4" s="385"/>
      <c r="CY4" s="103"/>
      <c r="CZ4" s="385" t="str">
        <f>$H$4</f>
        <v>RQF8 Doctorate</v>
      </c>
      <c r="DA4" s="385"/>
      <c r="DB4" s="385"/>
      <c r="DC4" s="385"/>
      <c r="DD4" s="385"/>
      <c r="DF4" s="384" t="str">
        <f>$N$4</f>
        <v>RQF7 Other higher degree</v>
      </c>
      <c r="DG4" s="384"/>
      <c r="DH4" s="384"/>
      <c r="DI4" s="384"/>
      <c r="DJ4" s="384"/>
      <c r="DK4" s="111"/>
      <c r="DL4" s="384" t="str">
        <f>$T$4</f>
        <v>RQF6 First degree</v>
      </c>
      <c r="DM4" s="384"/>
      <c r="DN4" s="384"/>
      <c r="DO4" s="384"/>
      <c r="DP4" s="384"/>
    </row>
    <row r="6" spans="1:120" s="102" customFormat="1" ht="38.25" x14ac:dyDescent="0.2">
      <c r="A6" s="101"/>
      <c r="B6" s="106" t="s">
        <v>48</v>
      </c>
      <c r="C6" s="115" t="str">
        <f>CONCATENATE($A$100," Level")</f>
        <v>2015 Level</v>
      </c>
      <c r="D6" s="105" t="s">
        <v>43</v>
      </c>
      <c r="E6" s="115" t="s">
        <v>49</v>
      </c>
      <c r="F6" s="115" t="s">
        <v>50</v>
      </c>
      <c r="G6" s="104"/>
      <c r="H6" s="105" t="str">
        <f>B6</f>
        <v>RD p.a%</v>
      </c>
      <c r="I6" s="105" t="str">
        <f>C6</f>
        <v>2015 Level</v>
      </c>
      <c r="J6" s="105" t="str">
        <f>D6</f>
        <v>Net Change</v>
      </c>
      <c r="K6" s="105" t="str">
        <f>E6</f>
        <v>Replace-ment Demand</v>
      </c>
      <c r="L6" s="105" t="str">
        <f>F6</f>
        <v>Total Require-ment</v>
      </c>
      <c r="M6" s="104"/>
      <c r="N6" s="106" t="str">
        <f>H6</f>
        <v>RD p.a%</v>
      </c>
      <c r="O6" s="106" t="str">
        <f>I6</f>
        <v>2015 Level</v>
      </c>
      <c r="P6" s="106" t="str">
        <f>J6</f>
        <v>Net Change</v>
      </c>
      <c r="Q6" s="106" t="str">
        <f>K6</f>
        <v>Replace-ment Demand</v>
      </c>
      <c r="R6" s="106" t="str">
        <f>L6</f>
        <v>Total Require-ment</v>
      </c>
      <c r="S6" s="104"/>
      <c r="T6" s="106" t="str">
        <f>N6</f>
        <v>RD p.a%</v>
      </c>
      <c r="U6" s="106" t="str">
        <f>O6</f>
        <v>2015 Level</v>
      </c>
      <c r="V6" s="106" t="str">
        <f>P6</f>
        <v>Net Change</v>
      </c>
      <c r="W6" s="106" t="str">
        <f>Q6</f>
        <v>Replace-ment Demand</v>
      </c>
      <c r="X6" s="106" t="str">
        <f>R6</f>
        <v>Total Require-ment</v>
      </c>
      <c r="Y6" s="101"/>
      <c r="Z6" s="106" t="s">
        <v>48</v>
      </c>
      <c r="AA6" s="115" t="str">
        <f>CONCATENATE($A$100," Level")</f>
        <v>2015 Level</v>
      </c>
      <c r="AB6" s="105" t="s">
        <v>43</v>
      </c>
      <c r="AC6" s="115" t="s">
        <v>49</v>
      </c>
      <c r="AD6" s="115" t="s">
        <v>50</v>
      </c>
      <c r="AE6" s="104"/>
      <c r="AF6" s="105" t="str">
        <f>Z6</f>
        <v>RD p.a%</v>
      </c>
      <c r="AG6" s="105" t="str">
        <f>AA6</f>
        <v>2015 Level</v>
      </c>
      <c r="AH6" s="105" t="str">
        <f>AB6</f>
        <v>Net Change</v>
      </c>
      <c r="AI6" s="105" t="str">
        <f>AC6</f>
        <v>Replace-ment Demand</v>
      </c>
      <c r="AJ6" s="105" t="str">
        <f>AD6</f>
        <v>Total Require-ment</v>
      </c>
      <c r="AK6" s="104"/>
      <c r="AL6" s="106" t="str">
        <f>AF6</f>
        <v>RD p.a%</v>
      </c>
      <c r="AM6" s="106" t="str">
        <f>AG6</f>
        <v>2015 Level</v>
      </c>
      <c r="AN6" s="106" t="str">
        <f>AH6</f>
        <v>Net Change</v>
      </c>
      <c r="AO6" s="106" t="str">
        <f>AI6</f>
        <v>Replace-ment Demand</v>
      </c>
      <c r="AP6" s="106" t="str">
        <f>AJ6</f>
        <v>Total Require-ment</v>
      </c>
      <c r="AQ6" s="104"/>
      <c r="AR6" s="106" t="str">
        <f>AL6</f>
        <v>RD p.a%</v>
      </c>
      <c r="AS6" s="106" t="str">
        <f>AM6</f>
        <v>2015 Level</v>
      </c>
      <c r="AT6" s="106" t="str">
        <f>AN6</f>
        <v>Net Change</v>
      </c>
      <c r="AU6" s="106" t="str">
        <f>AO6</f>
        <v>Replace-ment Demand</v>
      </c>
      <c r="AV6" s="106" t="str">
        <f>AP6</f>
        <v>Total Require-ment</v>
      </c>
      <c r="AW6" s="101"/>
      <c r="AX6" s="106" t="s">
        <v>48</v>
      </c>
      <c r="AY6" s="115" t="str">
        <f>CONCATENATE($A$100," Level")</f>
        <v>2015 Level</v>
      </c>
      <c r="AZ6" s="105" t="s">
        <v>43</v>
      </c>
      <c r="BA6" s="115" t="s">
        <v>49</v>
      </c>
      <c r="BB6" s="115" t="s">
        <v>50</v>
      </c>
      <c r="BC6" s="104"/>
      <c r="BD6" s="105" t="str">
        <f>AX6</f>
        <v>RD p.a%</v>
      </c>
      <c r="BE6" s="105" t="str">
        <f>AY6</f>
        <v>2015 Level</v>
      </c>
      <c r="BF6" s="105" t="str">
        <f>AZ6</f>
        <v>Net Change</v>
      </c>
      <c r="BG6" s="105" t="str">
        <f>BA6</f>
        <v>Replace-ment Demand</v>
      </c>
      <c r="BH6" s="105" t="str">
        <f>BB6</f>
        <v>Total Require-ment</v>
      </c>
      <c r="BI6" s="104"/>
      <c r="BJ6" s="106" t="str">
        <f>BD6</f>
        <v>RD p.a%</v>
      </c>
      <c r="BK6" s="106" t="str">
        <f>BE6</f>
        <v>2015 Level</v>
      </c>
      <c r="BL6" s="106" t="str">
        <f>BF6</f>
        <v>Net Change</v>
      </c>
      <c r="BM6" s="106" t="str">
        <f>BG6</f>
        <v>Replace-ment Demand</v>
      </c>
      <c r="BN6" s="106" t="str">
        <f>BH6</f>
        <v>Total Require-ment</v>
      </c>
      <c r="BO6" s="104"/>
      <c r="BP6" s="106" t="str">
        <f>BJ6</f>
        <v>RD p.a%</v>
      </c>
      <c r="BQ6" s="106" t="str">
        <f>BK6</f>
        <v>2015 Level</v>
      </c>
      <c r="BR6" s="106" t="str">
        <f>BL6</f>
        <v>Net Change</v>
      </c>
      <c r="BS6" s="106" t="str">
        <f>BM6</f>
        <v>Replace-ment Demand</v>
      </c>
      <c r="BT6" s="106" t="str">
        <f>BN6</f>
        <v>Total Require-ment</v>
      </c>
      <c r="BU6" s="101"/>
      <c r="BV6" s="106" t="s">
        <v>48</v>
      </c>
      <c r="BW6" s="115" t="str">
        <f>CONCATENATE($A$100," Level")</f>
        <v>2015 Level</v>
      </c>
      <c r="BX6" s="105" t="s">
        <v>43</v>
      </c>
      <c r="BY6" s="115" t="s">
        <v>49</v>
      </c>
      <c r="BZ6" s="115" t="s">
        <v>50</v>
      </c>
      <c r="CA6" s="104"/>
      <c r="CB6" s="105" t="str">
        <f>BV6</f>
        <v>RD p.a%</v>
      </c>
      <c r="CC6" s="105" t="str">
        <f>BW6</f>
        <v>2015 Level</v>
      </c>
      <c r="CD6" s="105" t="str">
        <f>BX6</f>
        <v>Net Change</v>
      </c>
      <c r="CE6" s="105" t="str">
        <f>BY6</f>
        <v>Replace-ment Demand</v>
      </c>
      <c r="CF6" s="105" t="str">
        <f>BZ6</f>
        <v>Total Require-ment</v>
      </c>
      <c r="CG6" s="104"/>
      <c r="CH6" s="106" t="str">
        <f>CB6</f>
        <v>RD p.a%</v>
      </c>
      <c r="CI6" s="106" t="str">
        <f>CC6</f>
        <v>2015 Level</v>
      </c>
      <c r="CJ6" s="106" t="str">
        <f>CD6</f>
        <v>Net Change</v>
      </c>
      <c r="CK6" s="106" t="str">
        <f>CE6</f>
        <v>Replace-ment Demand</v>
      </c>
      <c r="CL6" s="106" t="str">
        <f>CF6</f>
        <v>Total Require-ment</v>
      </c>
      <c r="CM6" s="104"/>
      <c r="CN6" s="106" t="str">
        <f>CH6</f>
        <v>RD p.a%</v>
      </c>
      <c r="CO6" s="106" t="str">
        <f>CI6</f>
        <v>2015 Level</v>
      </c>
      <c r="CP6" s="106" t="str">
        <f>CJ6</f>
        <v>Net Change</v>
      </c>
      <c r="CQ6" s="106" t="str">
        <f>CK6</f>
        <v>Replace-ment Demand</v>
      </c>
      <c r="CR6" s="106" t="str">
        <f>CL6</f>
        <v>Total Require-ment</v>
      </c>
      <c r="CS6" s="101"/>
      <c r="CT6" s="106" t="s">
        <v>48</v>
      </c>
      <c r="CU6" s="115" t="str">
        <f>CONCATENATE($A$100," Level")</f>
        <v>2015 Level</v>
      </c>
      <c r="CV6" s="105" t="s">
        <v>43</v>
      </c>
      <c r="CW6" s="115" t="s">
        <v>49</v>
      </c>
      <c r="CX6" s="115" t="s">
        <v>50</v>
      </c>
      <c r="CY6" s="104"/>
      <c r="CZ6" s="105" t="str">
        <f>CT6</f>
        <v>RD p.a%</v>
      </c>
      <c r="DA6" s="105" t="str">
        <f>CU6</f>
        <v>2015 Level</v>
      </c>
      <c r="DB6" s="105" t="str">
        <f>CV6</f>
        <v>Net Change</v>
      </c>
      <c r="DC6" s="105" t="str">
        <f>CW6</f>
        <v>Replace-ment Demand</v>
      </c>
      <c r="DD6" s="105" t="str">
        <f>CX6</f>
        <v>Total Require-ment</v>
      </c>
      <c r="DE6" s="104"/>
      <c r="DF6" s="106" t="str">
        <f>CZ6</f>
        <v>RD p.a%</v>
      </c>
      <c r="DG6" s="106" t="str">
        <f>DA6</f>
        <v>2015 Level</v>
      </c>
      <c r="DH6" s="106" t="str">
        <f>DB6</f>
        <v>Net Change</v>
      </c>
      <c r="DI6" s="106" t="str">
        <f>DC6</f>
        <v>Replace-ment Demand</v>
      </c>
      <c r="DJ6" s="106" t="str">
        <f>DD6</f>
        <v>Total Require-ment</v>
      </c>
      <c r="DK6" s="104"/>
      <c r="DL6" s="106" t="str">
        <f>DF6</f>
        <v>RD p.a%</v>
      </c>
      <c r="DM6" s="106" t="str">
        <f>DG6</f>
        <v>2015 Level</v>
      </c>
      <c r="DN6" s="106" t="str">
        <f>DH6</f>
        <v>Net Change</v>
      </c>
      <c r="DO6" s="106" t="str">
        <f>DI6</f>
        <v>Replace-ment Demand</v>
      </c>
      <c r="DP6" s="106" t="str">
        <f>DJ6</f>
        <v>Total Require-ment</v>
      </c>
    </row>
    <row r="8" spans="1:120" x14ac:dyDescent="0.2">
      <c r="A8" s="91" t="str">
        <f>name!B4</f>
        <v>Agriculture</v>
      </c>
      <c r="B8" s="40">
        <f>IF(C8&gt;0,((1+(E8/C8))^(1/($A$101-$A$100))-1)*100,0)</f>
        <v>3.6286528043839583</v>
      </c>
      <c r="C8" s="11">
        <v>55.936999999999848</v>
      </c>
      <c r="D8" s="94">
        <v>-6.9799999999999773</v>
      </c>
      <c r="E8" s="94">
        <v>23.953969842292668</v>
      </c>
      <c r="F8" s="94">
        <f>SUM(D8:E8)</f>
        <v>16.973969842292689</v>
      </c>
      <c r="G8" s="94"/>
      <c r="H8" s="40">
        <f>IF(I8&gt;0,((1+(K8/I8))^(1/($A$101-$A$100))-1)*100,0)</f>
        <v>3.5263839839017708</v>
      </c>
      <c r="I8" s="94">
        <v>17.246149343314809</v>
      </c>
      <c r="J8" s="94">
        <v>-6.8895887133768028</v>
      </c>
      <c r="K8" s="94">
        <v>7.1433335785126539</v>
      </c>
      <c r="L8" s="94">
        <f>SUM(J8:K8)</f>
        <v>0.25374486513585115</v>
      </c>
      <c r="N8" s="40">
        <f>IF(O8&gt;0,((1+(Q8/O8))^(1/($A$101-$A$100))-1)*100,0)</f>
        <v>3.688575763403712</v>
      </c>
      <c r="O8" s="94">
        <v>26.89476620234856</v>
      </c>
      <c r="P8" s="94">
        <v>-1.7755328024279793</v>
      </c>
      <c r="Q8" s="94">
        <v>11.739873371498375</v>
      </c>
      <c r="R8" s="94">
        <f>SUM(P8:Q8)</f>
        <v>9.9643405690703943</v>
      </c>
      <c r="S8" s="107"/>
      <c r="T8" s="40">
        <f>IF(U8&gt;0,((1+(W8/U8))^(1/($A$101-$A$100))-1)*100,0)</f>
        <v>3.6405249613346236</v>
      </c>
      <c r="U8" s="94">
        <v>11.79608445433648</v>
      </c>
      <c r="V8" s="94">
        <v>1.6851215158048036</v>
      </c>
      <c r="W8" s="94">
        <v>5.0707628922816417</v>
      </c>
      <c r="X8" s="94">
        <f>SUM(V8:W8)</f>
        <v>6.7558844080864455</v>
      </c>
      <c r="Y8" s="91" t="str">
        <f t="shared" ref="Y8:Y48" si="0">A8</f>
        <v>Agriculture</v>
      </c>
      <c r="Z8" s="40">
        <f>IF(AA8&gt;0,((1+(AC8/AA8))^(1/($A$101-$A$100))-1)*100,0)</f>
        <v>3.2278133961415545</v>
      </c>
      <c r="AA8" s="11">
        <v>4.3826960714462242</v>
      </c>
      <c r="AB8" s="94">
        <v>3.8928451595904385</v>
      </c>
      <c r="AC8" s="94">
        <v>1.6388586204918438</v>
      </c>
      <c r="AD8" s="94">
        <f>SUM(AB8:AC8)</f>
        <v>5.5317037800822826</v>
      </c>
      <c r="AE8" s="94"/>
      <c r="AF8" s="40">
        <f>IF(AG8&gt;0,((1+(AI8/AG8))^(1/($A$101-$A$100))-1)*100,0)</f>
        <v>3.7281488295962228</v>
      </c>
      <c r="AG8" s="94">
        <v>0.36786575366769064</v>
      </c>
      <c r="AH8" s="94">
        <v>0.72586367094203585</v>
      </c>
      <c r="AI8" s="94">
        <v>0.16259790102888269</v>
      </c>
      <c r="AJ8" s="94">
        <f>SUM(AH8:AI8)</f>
        <v>0.88846157197091857</v>
      </c>
      <c r="AL8" s="40">
        <f>IF(AM8&gt;0,((1+(AO8/AM8))^(1/($A$101-$A$100))-1)*100,0)</f>
        <v>3.4098436752145078</v>
      </c>
      <c r="AM8" s="94">
        <v>1.6324139933768864</v>
      </c>
      <c r="AN8" s="94">
        <v>2.2923856880061342</v>
      </c>
      <c r="AO8" s="94">
        <v>0.65028751093123516</v>
      </c>
      <c r="AP8" s="94">
        <f>SUM(AN8:AO8)</f>
        <v>2.9426731989373693</v>
      </c>
      <c r="AQ8" s="107"/>
      <c r="AR8" s="40">
        <f>IF(AS8&gt;0,((1+(AU8/AS8))^(1/($A$101-$A$100))-1)*100,0)</f>
        <v>3.0212804601292831</v>
      </c>
      <c r="AS8" s="94">
        <v>2.382416324401647</v>
      </c>
      <c r="AT8" s="94">
        <v>0.87459580064226849</v>
      </c>
      <c r="AU8" s="94">
        <v>0.82597320853172596</v>
      </c>
      <c r="AV8" s="94">
        <f>SUM(AT8:AU8)</f>
        <v>1.7005690091739945</v>
      </c>
      <c r="AW8" s="91" t="str">
        <f>Y8</f>
        <v>Agriculture</v>
      </c>
      <c r="AX8" s="40">
        <f>IF(AY8&gt;0,((1+(BA8/AY8))^(1/($A$101-$A$100))-1)*100,0)</f>
        <v>2.6560490695816119</v>
      </c>
      <c r="AY8" s="11">
        <v>1.9992749386487922</v>
      </c>
      <c r="AZ8" s="94">
        <v>0.50024802314102146</v>
      </c>
      <c r="BA8" s="94">
        <v>0.59919667769333007</v>
      </c>
      <c r="BB8" s="94">
        <f>SUM(AZ8:BA8)</f>
        <v>1.0994447008343515</v>
      </c>
      <c r="BC8" s="94"/>
      <c r="BD8" s="40">
        <f>IF(BE8&gt;0,((1+(BG8/BE8))^(1/($A$101-$A$100))-1)*100,0)</f>
        <v>2.5886964610706498</v>
      </c>
      <c r="BE8" s="94">
        <v>0.35374225719986674</v>
      </c>
      <c r="BF8" s="94">
        <v>0.49967527486298247</v>
      </c>
      <c r="BG8" s="94">
        <v>0.1030114256045692</v>
      </c>
      <c r="BH8" s="94">
        <f>SUM(BF8:BG8)</f>
        <v>0.60268670046755168</v>
      </c>
      <c r="BJ8" s="40">
        <f>IF(BK8&gt;0,((1+(BM8/BK8))^(1/($A$101-$A$100))-1)*100,0)</f>
        <v>2.6156756899814892</v>
      </c>
      <c r="BK8" s="94">
        <v>0.79083739900797367</v>
      </c>
      <c r="BL8" s="94">
        <v>8.9741026511377109E-2</v>
      </c>
      <c r="BM8" s="94">
        <v>0.2329842080987119</v>
      </c>
      <c r="BN8" s="94">
        <f>SUM(BL8:BM8)</f>
        <v>0.32272523461008901</v>
      </c>
      <c r="BO8" s="107"/>
      <c r="BP8" s="40">
        <f>IF(BQ8&gt;0,((1+(BS8/BQ8))^(1/($A$101-$A$100))-1)*100,0)</f>
        <v>2.7209488084197098</v>
      </c>
      <c r="BQ8" s="94">
        <v>0.85469528244095183</v>
      </c>
      <c r="BR8" s="94">
        <v>-8.91682782333382E-2</v>
      </c>
      <c r="BS8" s="94">
        <v>0.26320104399004901</v>
      </c>
      <c r="BT8" s="94">
        <f>SUM(BR8:BS8)</f>
        <v>0.17403276575671081</v>
      </c>
      <c r="BU8" s="91" t="str">
        <f>AW8</f>
        <v>Agriculture</v>
      </c>
      <c r="BV8" s="40">
        <f>IF(BW8&gt;0,((1+(BY8/BW8))^(1/($A$101-$A$100))-1)*100,0)</f>
        <v>4.0147443282656514</v>
      </c>
      <c r="BW8" s="11">
        <v>39.351032099647234</v>
      </c>
      <c r="BX8" s="94">
        <v>-10.192568070379561</v>
      </c>
      <c r="BY8" s="94">
        <v>18.980742173027217</v>
      </c>
      <c r="BZ8" s="94">
        <f>SUM(BX8:BY8)</f>
        <v>8.7881741026476554</v>
      </c>
      <c r="CA8" s="94"/>
      <c r="CB8" s="40">
        <f>IF(CC8&gt;0,((1+(CE8/CC8))^(1/($A$101-$A$100))-1)*100,0)</f>
        <v>3.9264502862225381</v>
      </c>
      <c r="CC8" s="94">
        <v>12.261822191887621</v>
      </c>
      <c r="CD8" s="94">
        <v>-6.5032966118226403</v>
      </c>
      <c r="CE8" s="94">
        <v>5.7607158890505197</v>
      </c>
      <c r="CF8" s="94">
        <f>SUM(CD8:CE8)</f>
        <v>-0.74258072277212062</v>
      </c>
      <c r="CH8" s="40">
        <f>IF(CI8&gt;0,((1+(CK8/CI8))^(1/($A$101-$A$100))-1)*100,0)</f>
        <v>3.9924360846625317</v>
      </c>
      <c r="CI8" s="94">
        <v>20.383214444648981</v>
      </c>
      <c r="CJ8" s="94">
        <v>-4.2877513599355161</v>
      </c>
      <c r="CK8" s="94">
        <v>9.7669852444241734</v>
      </c>
      <c r="CL8" s="94">
        <f>SUM(CJ8:CK8)</f>
        <v>5.4792338844886572</v>
      </c>
      <c r="CM8" s="107"/>
      <c r="CN8" s="40">
        <f>IF(CO8&gt;0,((1+(CQ8/CO8))^(1/($A$101-$A$100))-1)*100,0)</f>
        <v>4.2410858263209894</v>
      </c>
      <c r="CO8" s="94">
        <v>6.7059954631106375</v>
      </c>
      <c r="CP8" s="94">
        <v>0.59847990137859675</v>
      </c>
      <c r="CQ8" s="94">
        <v>3.4530410395525251</v>
      </c>
      <c r="CR8" s="94">
        <f>SUM(CP8:CQ8)</f>
        <v>4.0515209409311215</v>
      </c>
      <c r="CS8" s="91" t="str">
        <f>BU8</f>
        <v>Agriculture</v>
      </c>
      <c r="CT8" s="40">
        <f>IF(CU8&gt;0,((1+(CW8/CU8))^(1/($A$101-$A$100))-1)*100,0)</f>
        <v>2.4032187492160517</v>
      </c>
      <c r="CU8" s="11">
        <v>10.203996890257596</v>
      </c>
      <c r="CV8" s="94">
        <v>-1.1805251123518785</v>
      </c>
      <c r="CW8" s="94">
        <v>2.7351723710802771</v>
      </c>
      <c r="CX8" s="94">
        <f>SUM(CV8:CW8)</f>
        <v>1.5546472587283986</v>
      </c>
      <c r="CY8" s="94"/>
      <c r="CZ8" s="40">
        <f>IF(DA8&gt;0,((1+(DC8/DA8))^(1/($A$101-$A$100))-1)*100,0)</f>
        <v>2.3545977595102796</v>
      </c>
      <c r="DA8" s="94">
        <v>4.2627191405596321</v>
      </c>
      <c r="DB8" s="94">
        <v>-1.6118310473591806</v>
      </c>
      <c r="DC8" s="94">
        <v>1.1170083628286818</v>
      </c>
      <c r="DD8" s="94">
        <f>SUM(DB8:DC8)</f>
        <v>-0.49482268453049882</v>
      </c>
      <c r="DF8" s="40">
        <f>IF(DG8&gt;0,((1+(DI8/DG8))^(1/($A$101-$A$100))-1)*100,0)</f>
        <v>2.3908685473913449</v>
      </c>
      <c r="DG8" s="94">
        <v>4.088300365314721</v>
      </c>
      <c r="DH8" s="94">
        <v>0.13009184299002535</v>
      </c>
      <c r="DI8" s="94">
        <v>1.0896164080442534</v>
      </c>
      <c r="DJ8" s="94">
        <f>SUM(DH8:DI8)</f>
        <v>1.2197082510342787</v>
      </c>
      <c r="DK8" s="107"/>
      <c r="DL8" s="40">
        <f>IF(DM8&gt;0,((1+(DO8/DM8))^(1/($A$101-$A$100))-1)*100,0)</f>
        <v>2.5412252196502561</v>
      </c>
      <c r="DM8" s="94">
        <v>1.8529773843832451</v>
      </c>
      <c r="DN8" s="94">
        <v>0.30121409201727667</v>
      </c>
      <c r="DO8" s="94">
        <v>0.52854760020734193</v>
      </c>
      <c r="DP8" s="94">
        <f>SUM(DN8:DO8)</f>
        <v>0.8297616922246186</v>
      </c>
    </row>
    <row r="9" spans="1:120" x14ac:dyDescent="0.2">
      <c r="A9" s="91" t="str">
        <f>name!B5</f>
        <v>Mining and quarrying</v>
      </c>
      <c r="B9" s="40">
        <f t="shared" ref="B9:B50" si="1">IF(C9&gt;0,((1+(E9/C9))^(1/($A$101-$A$100))-1)*100,0)</f>
        <v>2.5879456250919697</v>
      </c>
      <c r="C9" s="11">
        <v>2.8879999999999906</v>
      </c>
      <c r="D9" s="94">
        <v>0.31300000000000278</v>
      </c>
      <c r="E9" s="94">
        <v>0.84072640567762824</v>
      </c>
      <c r="F9" s="94">
        <f t="shared" ref="F9:F50" si="2">SUM(D9:E9)</f>
        <v>1.1537264056776311</v>
      </c>
      <c r="G9" s="94"/>
      <c r="H9" s="40">
        <f t="shared" ref="H9:H50" si="3">IF(I9&gt;0,((1+(K9/I9))^(1/($A$101-$A$100))-1)*100,0)</f>
        <v>2.4436532378282472</v>
      </c>
      <c r="I9" s="94">
        <v>0.56134327419487429</v>
      </c>
      <c r="J9" s="94">
        <v>-0.21770904065899815</v>
      </c>
      <c r="K9" s="94">
        <v>0.15328319439040927</v>
      </c>
      <c r="L9" s="94">
        <f t="shared" ref="L9:L48" si="4">SUM(J9:K9)</f>
        <v>-6.4425846268588882E-2</v>
      </c>
      <c r="N9" s="40">
        <f t="shared" ref="N9:N50" si="5">IF(O9&gt;0,((1+(Q9/O9))^(1/($A$101-$A$100))-1)*100,0)</f>
        <v>2.5068914334568815</v>
      </c>
      <c r="O9" s="94">
        <v>1.5400906331410087</v>
      </c>
      <c r="P9" s="94">
        <v>0.28375808682996728</v>
      </c>
      <c r="Q9" s="94">
        <v>0.43268145633424426</v>
      </c>
      <c r="R9" s="94">
        <f t="shared" ref="R9:R48" si="6">SUM(P9:Q9)</f>
        <v>0.71643954316421155</v>
      </c>
      <c r="S9" s="107"/>
      <c r="T9" s="40">
        <f t="shared" ref="T9:T50" si="7">IF(U9&gt;0,((1+(W9/U9))^(1/($A$101-$A$100))-1)*100,0)</f>
        <v>2.8454839589988623</v>
      </c>
      <c r="U9" s="94">
        <v>0.78656609266410804</v>
      </c>
      <c r="V9" s="94">
        <v>0.24695095382903356</v>
      </c>
      <c r="W9" s="94">
        <v>0.25476175495297482</v>
      </c>
      <c r="X9" s="94">
        <f t="shared" ref="X9:X48" si="8">SUM(V9:W9)</f>
        <v>0.50171270878200835</v>
      </c>
      <c r="Y9" s="91" t="str">
        <f t="shared" si="0"/>
        <v>Mining and quarrying</v>
      </c>
      <c r="Z9" s="40">
        <f t="shared" ref="Z9:Z48" si="9">IF(AA9&gt;0,((1+(AC9/AA9))^(1/($A$101-$A$100))-1)*100,0)</f>
        <v>2.8484964339744012</v>
      </c>
      <c r="AA9" s="11">
        <v>0.91916274125036446</v>
      </c>
      <c r="AB9" s="94">
        <v>0.31532613098932155</v>
      </c>
      <c r="AC9" s="94">
        <v>0.29806511305958167</v>
      </c>
      <c r="AD9" s="94">
        <f t="shared" ref="AD9:AD48" si="10">SUM(AB9:AC9)</f>
        <v>0.61339124404890322</v>
      </c>
      <c r="AE9" s="94"/>
      <c r="AF9" s="40">
        <f t="shared" ref="AF9:AF48" si="11">IF(AG9&gt;0,((1+(AI9/AG9))^(1/($A$101-$A$100))-1)*100,0)</f>
        <v>2.5647482470575023</v>
      </c>
      <c r="AG9" s="94">
        <v>6.0971942881735838E-2</v>
      </c>
      <c r="AH9" s="94">
        <v>-2.5168577316816716E-2</v>
      </c>
      <c r="AI9" s="94">
        <v>1.7571732105538661E-2</v>
      </c>
      <c r="AJ9" s="94">
        <f t="shared" ref="AJ9:AJ48" si="12">SUM(AH9:AI9)</f>
        <v>-7.5968452112780555E-3</v>
      </c>
      <c r="AL9" s="40">
        <f t="shared" ref="AL9:AL48" si="13">IF(AM9&gt;0,((1+(AO9/AM9))^(1/($A$101-$A$100))-1)*100,0)</f>
        <v>2.6969613560046124</v>
      </c>
      <c r="AM9" s="94">
        <v>0.23935227172586462</v>
      </c>
      <c r="AN9" s="94">
        <v>0.14142536362746669</v>
      </c>
      <c r="AO9" s="94">
        <v>7.2977576857019638E-2</v>
      </c>
      <c r="AP9" s="94">
        <f t="shared" ref="AP9:AP48" si="14">SUM(AN9:AO9)</f>
        <v>0.21440294048448633</v>
      </c>
      <c r="AQ9" s="107"/>
      <c r="AR9" s="40">
        <f t="shared" ref="AR9:AR48" si="15">IF(AS9&gt;0,((1+(AU9/AS9))^(1/($A$101-$A$100))-1)*100,0)</f>
        <v>2.9340110632854799</v>
      </c>
      <c r="AS9" s="94">
        <v>0.61883852664276406</v>
      </c>
      <c r="AT9" s="94">
        <v>0.19906934467867154</v>
      </c>
      <c r="AU9" s="94">
        <v>0.20751580409702336</v>
      </c>
      <c r="AV9" s="94">
        <f t="shared" ref="AV9:AV48" si="16">SUM(AT9:AU9)</f>
        <v>0.4065851487756949</v>
      </c>
      <c r="AW9" s="91" t="str">
        <f t="shared" ref="AW9:AW48" si="17">Y9</f>
        <v>Mining and quarrying</v>
      </c>
      <c r="AX9" s="40">
        <f t="shared" ref="AX9:AX48" si="18">IF(AY9&gt;0,((1+(BA9/AY9))^(1/($A$101-$A$100))-1)*100,0)</f>
        <v>2.6726206587082579</v>
      </c>
      <c r="AY9" s="11">
        <v>0.3067194252346826</v>
      </c>
      <c r="AZ9" s="94">
        <v>6.8760264538259452E-2</v>
      </c>
      <c r="BA9" s="94">
        <v>9.2569950318502167E-2</v>
      </c>
      <c r="BB9" s="94">
        <f t="shared" ref="BB9:BB48" si="19">SUM(AZ9:BA9)</f>
        <v>0.16133021485676163</v>
      </c>
      <c r="BC9" s="94"/>
      <c r="BD9" s="40">
        <f t="shared" ref="BD9:BD48" si="20">IF(BE9&gt;0,((1+(BG9/BE9))^(1/($A$101-$A$100))-1)*100,0)</f>
        <v>2.5499994113037161</v>
      </c>
      <c r="BE9" s="94">
        <v>4.8330458353493297E-2</v>
      </c>
      <c r="BF9" s="94">
        <v>1.4245064889474328E-2</v>
      </c>
      <c r="BG9" s="94">
        <v>1.3839064758290531E-2</v>
      </c>
      <c r="BH9" s="94">
        <f t="shared" ref="BH9:BH48" si="21">SUM(BF9:BG9)</f>
        <v>2.8084129647764858E-2</v>
      </c>
      <c r="BJ9" s="40">
        <f t="shared" ref="BJ9:BJ48" si="22">IF(BK9&gt;0,((1+(BM9/BK9))^(1/($A$101-$A$100))-1)*100,0)</f>
        <v>2.6327433470687112</v>
      </c>
      <c r="BK9" s="94">
        <v>0.1678509941154788</v>
      </c>
      <c r="BL9" s="94">
        <v>9.5539598382306211E-3</v>
      </c>
      <c r="BM9" s="94">
        <v>4.9811346068916303E-2</v>
      </c>
      <c r="BN9" s="94">
        <f t="shared" ref="BN9:BN48" si="23">SUM(BL9:BM9)</f>
        <v>5.936530590714692E-2</v>
      </c>
      <c r="BO9" s="107"/>
      <c r="BP9" s="40">
        <f t="shared" ref="BP9:BP48" si="24">IF(BQ9&gt;0,((1+(BS9/BQ9))^(1/($A$101-$A$100))-1)*100,0)</f>
        <v>2.8106890888395686</v>
      </c>
      <c r="BQ9" s="94">
        <v>9.0537972765710545E-2</v>
      </c>
      <c r="BR9" s="94">
        <v>4.4961239810554506E-2</v>
      </c>
      <c r="BS9" s="94">
        <v>2.8919539491295328E-2</v>
      </c>
      <c r="BT9" s="94">
        <f t="shared" ref="BT9:BT48" si="25">SUM(BR9:BS9)</f>
        <v>7.388077930184983E-2</v>
      </c>
      <c r="BU9" s="91" t="str">
        <f t="shared" ref="BU9:BU48" si="26">AW9</f>
        <v>Mining and quarrying</v>
      </c>
      <c r="BV9" s="40">
        <f t="shared" ref="BV9:BV48" si="27">IF(BW9&gt;0,((1+(BY9/BW9))^(1/($A$101-$A$100))-1)*100,0)</f>
        <v>2.4107447061383347</v>
      </c>
      <c r="BW9" s="11">
        <v>1.5632668821604008</v>
      </c>
      <c r="BX9" s="94">
        <v>-0.15103332096346828</v>
      </c>
      <c r="BY9" s="94">
        <v>0.42048964990866566</v>
      </c>
      <c r="BZ9" s="94">
        <f t="shared" ref="BZ9:BZ48" si="28">SUM(BX9:BY9)</f>
        <v>0.26945632894519739</v>
      </c>
      <c r="CA9" s="94"/>
      <c r="CB9" s="40">
        <f t="shared" ref="CB9:CB48" si="29">IF(CC9&gt;0,((1+(CE9/CC9))^(1/($A$101-$A$100))-1)*100,0)</f>
        <v>2.407525741530181</v>
      </c>
      <c r="CC9" s="94">
        <v>0.42499848743780899</v>
      </c>
      <c r="CD9" s="94">
        <v>-0.17974314270981959</v>
      </c>
      <c r="CE9" s="94">
        <v>0.11414717753563779</v>
      </c>
      <c r="CF9" s="94">
        <f t="shared" ref="CF9:CF48" si="30">SUM(CD9:CE9)</f>
        <v>-6.55959651741818E-2</v>
      </c>
      <c r="CH9" s="40">
        <f t="shared" ref="CH9:CH48" si="31">IF(CI9&gt;0,((1+(CK9/CI9))^(1/($A$101-$A$100))-1)*100,0)</f>
        <v>2.4305453687403666</v>
      </c>
      <c r="CI9" s="94">
        <v>1.0610788014669583</v>
      </c>
      <c r="CJ9" s="94">
        <v>2.578945240654381E-2</v>
      </c>
      <c r="CK9" s="94">
        <v>0.28801606100837185</v>
      </c>
      <c r="CL9" s="94">
        <f t="shared" ref="CL9:CL48" si="32">SUM(CJ9:CK9)</f>
        <v>0.31380551341491564</v>
      </c>
      <c r="CM9" s="107"/>
      <c r="CN9" s="40">
        <f t="shared" ref="CN9:CN48" si="33">IF(CO9&gt;0,((1+(CQ9/CO9))^(1/($A$101-$A$100))-1)*100,0)</f>
        <v>2.1531444581060377</v>
      </c>
      <c r="CO9" s="94">
        <v>7.7189593255633515E-2</v>
      </c>
      <c r="CP9" s="94">
        <v>2.9203693398075089E-3</v>
      </c>
      <c r="CQ9" s="94">
        <v>1.8326411364656129E-2</v>
      </c>
      <c r="CR9" s="94">
        <f t="shared" ref="CR9:CR48" si="34">SUM(CP9:CQ9)</f>
        <v>2.1246780704463637E-2</v>
      </c>
      <c r="CS9" s="91" t="str">
        <f t="shared" ref="CS9:CS48" si="35">BU9</f>
        <v>Mining and quarrying</v>
      </c>
      <c r="CT9" s="40">
        <f t="shared" ref="CT9:CT48" si="36">IF(CU9&gt;0,((1+(CW9/CU9))^(1/($A$101-$A$100))-1)*100,0)</f>
        <v>2.6540810004833215</v>
      </c>
      <c r="CU9" s="11">
        <v>9.8850951354543179E-2</v>
      </c>
      <c r="CV9" s="94">
        <v>7.9946925435890021E-2</v>
      </c>
      <c r="CW9" s="94">
        <v>2.9601692390878832E-2</v>
      </c>
      <c r="CX9" s="94">
        <f t="shared" ref="CX9:CX48" si="37">SUM(CV9:CW9)</f>
        <v>0.10954861782676885</v>
      </c>
      <c r="CY9" s="94"/>
      <c r="CZ9" s="40">
        <f t="shared" ref="CZ9:CZ48" si="38">IF(DA9&gt;0,((1+(DC9/DA9))^(1/($A$101-$A$100))-1)*100,0)</f>
        <v>2.5446431599745356</v>
      </c>
      <c r="DA9" s="94">
        <v>2.7042385521836187E-2</v>
      </c>
      <c r="DB9" s="94">
        <v>-2.7042385521836187E-2</v>
      </c>
      <c r="DC9" s="94">
        <v>7.7252199909423136E-3</v>
      </c>
      <c r="DD9" s="94">
        <f t="shared" ref="DD9:DD48" si="39">SUM(DB9:DC9)</f>
        <v>-1.9317165530893875E-2</v>
      </c>
      <c r="DF9" s="40">
        <f t="shared" ref="DF9:DF48" si="40">IF(DG9&gt;0,((1+(DI9/DG9))^(1/($A$101-$A$100))-1)*100,0)</f>
        <v>2.695023478374603</v>
      </c>
      <c r="DG9" s="94">
        <v>7.1808565832706991E-2</v>
      </c>
      <c r="DH9" s="94">
        <v>0.10698931095772621</v>
      </c>
      <c r="DI9" s="94">
        <v>2.1876472399936519E-2</v>
      </c>
      <c r="DJ9" s="94">
        <f t="shared" ref="DJ9:DJ48" si="41">SUM(DH9:DI9)</f>
        <v>0.12886578335766272</v>
      </c>
      <c r="DK9" s="107"/>
      <c r="DL9" s="40">
        <f t="shared" ref="DL9:DL48" si="42">IF(DM9&gt;0,((1+(DO9/DM9))^(1/($A$101-$A$100))-1)*100,0)</f>
        <v>0</v>
      </c>
      <c r="DM9" s="94">
        <v>0</v>
      </c>
      <c r="DN9" s="94">
        <v>0</v>
      </c>
      <c r="DO9" s="94">
        <v>0</v>
      </c>
      <c r="DP9" s="94">
        <f t="shared" ref="DP9:DP48" si="43">SUM(DN9:DO9)</f>
        <v>0</v>
      </c>
    </row>
    <row r="10" spans="1:120" x14ac:dyDescent="0.2">
      <c r="A10" s="91" t="str">
        <f>name!B6</f>
        <v>Food drink and tobacco</v>
      </c>
      <c r="B10" s="40">
        <f t="shared" si="1"/>
        <v>2.4974565282579464</v>
      </c>
      <c r="C10" s="11">
        <v>95.045497362862733</v>
      </c>
      <c r="D10" s="94">
        <v>-5.3306461845042801</v>
      </c>
      <c r="E10" s="94">
        <v>26.590587472903774</v>
      </c>
      <c r="F10" s="94">
        <f t="shared" si="2"/>
        <v>21.259941288399496</v>
      </c>
      <c r="G10" s="94"/>
      <c r="H10" s="40">
        <f t="shared" si="3"/>
        <v>2.284281579929015</v>
      </c>
      <c r="I10" s="94">
        <v>28.557886141186682</v>
      </c>
      <c r="J10" s="94">
        <v>-7.0859124796803128</v>
      </c>
      <c r="K10" s="94">
        <v>7.2365107328119995</v>
      </c>
      <c r="L10" s="94">
        <f t="shared" si="4"/>
        <v>0.15059825313168673</v>
      </c>
      <c r="N10" s="40">
        <f t="shared" si="5"/>
        <v>2.4310099949182096</v>
      </c>
      <c r="O10" s="94">
        <v>47.02342038156808</v>
      </c>
      <c r="P10" s="94">
        <v>2.711005058419897</v>
      </c>
      <c r="Q10" s="94">
        <v>12.766608810353613</v>
      </c>
      <c r="R10" s="94">
        <f t="shared" si="6"/>
        <v>15.47761386877351</v>
      </c>
      <c r="S10" s="107"/>
      <c r="T10" s="40">
        <f t="shared" si="7"/>
        <v>2.9579537866369021</v>
      </c>
      <c r="U10" s="94">
        <v>19.464190840107968</v>
      </c>
      <c r="V10" s="94">
        <v>-0.95573876324386542</v>
      </c>
      <c r="W10" s="94">
        <v>6.5874679297381604</v>
      </c>
      <c r="X10" s="94">
        <f t="shared" si="8"/>
        <v>5.6317291664942948</v>
      </c>
      <c r="Y10" s="91" t="str">
        <f t="shared" si="0"/>
        <v>Food drink and tobacco</v>
      </c>
      <c r="Z10" s="40">
        <f t="shared" si="9"/>
        <v>3.1266976916814349</v>
      </c>
      <c r="AA10" s="11">
        <v>21.34292323603459</v>
      </c>
      <c r="AB10" s="94">
        <v>-5.4147809911053627E-2</v>
      </c>
      <c r="AC10" s="94">
        <v>7.6949639013979727</v>
      </c>
      <c r="AD10" s="94">
        <f t="shared" si="10"/>
        <v>7.6408160914869194</v>
      </c>
      <c r="AE10" s="94"/>
      <c r="AF10" s="40">
        <f t="shared" si="11"/>
        <v>3.009575633743844</v>
      </c>
      <c r="AG10" s="94">
        <v>1.8592043302087065</v>
      </c>
      <c r="AH10" s="94">
        <v>-0.39908371390288427</v>
      </c>
      <c r="AI10" s="94">
        <v>0.64173468922880073</v>
      </c>
      <c r="AJ10" s="94">
        <f t="shared" si="12"/>
        <v>0.24265097532591645</v>
      </c>
      <c r="AL10" s="40">
        <f t="shared" si="13"/>
        <v>3.0478152738149689</v>
      </c>
      <c r="AM10" s="94">
        <v>7.0494146420033079</v>
      </c>
      <c r="AN10" s="94">
        <v>0.77249580975616283</v>
      </c>
      <c r="AO10" s="94">
        <v>2.4684810982893786</v>
      </c>
      <c r="AP10" s="94">
        <f t="shared" si="14"/>
        <v>3.2409769080455413</v>
      </c>
      <c r="AQ10" s="107"/>
      <c r="AR10" s="40">
        <f t="shared" si="15"/>
        <v>3.1885211674371972</v>
      </c>
      <c r="AS10" s="94">
        <v>12.434304263822574</v>
      </c>
      <c r="AT10" s="94">
        <v>-0.42755990576433228</v>
      </c>
      <c r="AU10" s="94">
        <v>4.5847481138797939</v>
      </c>
      <c r="AV10" s="94">
        <f t="shared" si="16"/>
        <v>4.1571882081154614</v>
      </c>
      <c r="AW10" s="91" t="str">
        <f t="shared" si="17"/>
        <v>Food drink and tobacco</v>
      </c>
      <c r="AX10" s="40">
        <f t="shared" si="18"/>
        <v>2.5235241914950635</v>
      </c>
      <c r="AY10" s="11">
        <v>17.336358924907866</v>
      </c>
      <c r="AZ10" s="94">
        <v>-0.12728232767007444</v>
      </c>
      <c r="BA10" s="94">
        <v>4.9066304279196737</v>
      </c>
      <c r="BB10" s="94">
        <f t="shared" si="19"/>
        <v>4.7793481002495994</v>
      </c>
      <c r="BC10" s="94"/>
      <c r="BD10" s="40">
        <f t="shared" si="20"/>
        <v>2.4363702313833224</v>
      </c>
      <c r="BE10" s="94">
        <v>3.9959783673326772</v>
      </c>
      <c r="BF10" s="94">
        <v>-0.83348086360043461</v>
      </c>
      <c r="BG10" s="94">
        <v>1.0875463509002989</v>
      </c>
      <c r="BH10" s="94">
        <f t="shared" si="21"/>
        <v>0.25406548729986433</v>
      </c>
      <c r="BJ10" s="40">
        <f t="shared" si="22"/>
        <v>2.5027216432235821</v>
      </c>
      <c r="BK10" s="94">
        <v>10.073083832716854</v>
      </c>
      <c r="BL10" s="94">
        <v>1.512717786678091</v>
      </c>
      <c r="BM10" s="94">
        <v>2.8247393034036694</v>
      </c>
      <c r="BN10" s="94">
        <f t="shared" si="23"/>
        <v>4.3374570900817604</v>
      </c>
      <c r="BO10" s="107"/>
      <c r="BP10" s="40">
        <f t="shared" si="24"/>
        <v>2.6925252680388922</v>
      </c>
      <c r="BQ10" s="94">
        <v>3.2672967248583333</v>
      </c>
      <c r="BR10" s="94">
        <v>-0.80651925074773079</v>
      </c>
      <c r="BS10" s="94">
        <v>0.9943447736157055</v>
      </c>
      <c r="BT10" s="94">
        <f t="shared" si="25"/>
        <v>0.18782552286797471</v>
      </c>
      <c r="BU10" s="91" t="str">
        <f t="shared" si="26"/>
        <v>Food drink and tobacco</v>
      </c>
      <c r="BV10" s="40">
        <f t="shared" si="27"/>
        <v>2.2441836744385046</v>
      </c>
      <c r="BW10" s="11">
        <v>49.598564072912936</v>
      </c>
      <c r="BX10" s="94">
        <v>-3.6306790931946717</v>
      </c>
      <c r="BY10" s="94">
        <v>12.324896934512662</v>
      </c>
      <c r="BZ10" s="94">
        <f t="shared" si="28"/>
        <v>8.6942178413179896</v>
      </c>
      <c r="CA10" s="94"/>
      <c r="CB10" s="40">
        <f t="shared" si="29"/>
        <v>2.1888664422200721</v>
      </c>
      <c r="CC10" s="94">
        <v>19.525240563492041</v>
      </c>
      <c r="CD10" s="94">
        <v>-4.8301674544914821</v>
      </c>
      <c r="CE10" s="94">
        <v>4.7203188998071877</v>
      </c>
      <c r="CF10" s="94">
        <f t="shared" si="30"/>
        <v>-0.10984855468429444</v>
      </c>
      <c r="CH10" s="40">
        <f t="shared" si="31"/>
        <v>2.2613705769742198</v>
      </c>
      <c r="CI10" s="94">
        <v>26.537310513901321</v>
      </c>
      <c r="CJ10" s="94">
        <v>0.90730570853380754</v>
      </c>
      <c r="CK10" s="94">
        <v>6.6500717395964477</v>
      </c>
      <c r="CL10" s="94">
        <f t="shared" si="32"/>
        <v>7.5573774481302554</v>
      </c>
      <c r="CM10" s="107"/>
      <c r="CN10" s="40">
        <f t="shared" si="33"/>
        <v>2.4184670868230285</v>
      </c>
      <c r="CO10" s="94">
        <v>3.5360129955195734</v>
      </c>
      <c r="CP10" s="94">
        <v>0.29218265276300265</v>
      </c>
      <c r="CQ10" s="94">
        <v>0.95450629510902829</v>
      </c>
      <c r="CR10" s="94">
        <f t="shared" si="34"/>
        <v>1.2466889478720309</v>
      </c>
      <c r="CS10" s="91" t="str">
        <f t="shared" si="35"/>
        <v>Food drink and tobacco</v>
      </c>
      <c r="CT10" s="40">
        <f t="shared" si="36"/>
        <v>2.2228446109720412</v>
      </c>
      <c r="CU10" s="11">
        <v>6.7676511290073389</v>
      </c>
      <c r="CV10" s="94">
        <v>-1.5185369537284803</v>
      </c>
      <c r="CW10" s="94">
        <v>1.6640962090734628</v>
      </c>
      <c r="CX10" s="94">
        <f t="shared" si="37"/>
        <v>0.14555925534498249</v>
      </c>
      <c r="CY10" s="94"/>
      <c r="CZ10" s="40">
        <f t="shared" si="38"/>
        <v>2.2373089799467394</v>
      </c>
      <c r="DA10" s="94">
        <v>3.1774628801532612</v>
      </c>
      <c r="DB10" s="94">
        <v>-1.0231804476855118</v>
      </c>
      <c r="DC10" s="94">
        <v>0.78691079287571253</v>
      </c>
      <c r="DD10" s="94">
        <f t="shared" si="39"/>
        <v>-0.23626965480979922</v>
      </c>
      <c r="DF10" s="40">
        <f t="shared" si="40"/>
        <v>2.2136668085149358</v>
      </c>
      <c r="DG10" s="94">
        <v>3.3636113929465901</v>
      </c>
      <c r="DH10" s="94">
        <v>-0.48151424654816377</v>
      </c>
      <c r="DI10" s="94">
        <v>0.82331666906411805</v>
      </c>
      <c r="DJ10" s="94">
        <f t="shared" si="41"/>
        <v>0.34180242251595427</v>
      </c>
      <c r="DK10" s="107"/>
      <c r="DL10" s="40">
        <f t="shared" si="42"/>
        <v>2.1558658032539757</v>
      </c>
      <c r="DM10" s="94">
        <v>0.22657685590748641</v>
      </c>
      <c r="DN10" s="94">
        <v>-1.3842259494804953E-2</v>
      </c>
      <c r="DO10" s="94">
        <v>5.3868747133632294E-2</v>
      </c>
      <c r="DP10" s="94">
        <f t="shared" si="43"/>
        <v>4.0026487638827338E-2</v>
      </c>
    </row>
    <row r="11" spans="1:120" x14ac:dyDescent="0.2">
      <c r="A11" s="91" t="str">
        <f>name!B7</f>
        <v>Engineering</v>
      </c>
      <c r="B11" s="40">
        <f t="shared" si="1"/>
        <v>2.3974240716110096</v>
      </c>
      <c r="C11" s="11">
        <v>26.682999999999964</v>
      </c>
      <c r="D11" s="94">
        <v>2.1359999999999681</v>
      </c>
      <c r="E11" s="94">
        <v>7.1332131341977885</v>
      </c>
      <c r="F11" s="94">
        <f t="shared" si="2"/>
        <v>9.2692131341977557</v>
      </c>
      <c r="G11" s="94"/>
      <c r="H11" s="40">
        <f t="shared" si="3"/>
        <v>2.1428388473321736</v>
      </c>
      <c r="I11" s="94">
        <v>7.7290127378228242</v>
      </c>
      <c r="J11" s="94">
        <v>-0.85964814638885922</v>
      </c>
      <c r="K11" s="94">
        <v>1.8253838239565419</v>
      </c>
      <c r="L11" s="94">
        <f t="shared" si="4"/>
        <v>0.96573567756768264</v>
      </c>
      <c r="N11" s="40">
        <f t="shared" si="5"/>
        <v>2.2704847424125818</v>
      </c>
      <c r="O11" s="94">
        <v>12.694060205112665</v>
      </c>
      <c r="P11" s="94">
        <v>1.750762648197131</v>
      </c>
      <c r="Q11" s="94">
        <v>3.1952007619921963</v>
      </c>
      <c r="R11" s="94">
        <f t="shared" si="6"/>
        <v>4.9459634101893268</v>
      </c>
      <c r="S11" s="107"/>
      <c r="T11" s="40">
        <f t="shared" si="7"/>
        <v>2.9505987528880562</v>
      </c>
      <c r="U11" s="94">
        <v>6.2599270570644734</v>
      </c>
      <c r="V11" s="94">
        <v>1.2448854981916966</v>
      </c>
      <c r="W11" s="94">
        <v>2.112628548249051</v>
      </c>
      <c r="X11" s="94">
        <f t="shared" si="8"/>
        <v>3.3575140464407474</v>
      </c>
      <c r="Y11" s="91" t="str">
        <f t="shared" si="0"/>
        <v>Engineering</v>
      </c>
      <c r="Z11" s="40">
        <f t="shared" si="9"/>
        <v>2.9893837262348733</v>
      </c>
      <c r="AA11" s="11">
        <v>6.5504971882441936</v>
      </c>
      <c r="AB11" s="94">
        <v>0.7414598842641813</v>
      </c>
      <c r="AC11" s="94">
        <v>2.243753846340574</v>
      </c>
      <c r="AD11" s="94">
        <f t="shared" si="10"/>
        <v>2.9852137306047553</v>
      </c>
      <c r="AE11" s="94"/>
      <c r="AF11" s="40">
        <f t="shared" si="11"/>
        <v>2.6484123810696314</v>
      </c>
      <c r="AG11" s="94">
        <v>0.62605054755772271</v>
      </c>
      <c r="AH11" s="94">
        <v>-4.0708044204614172E-2</v>
      </c>
      <c r="AI11" s="94">
        <v>0.18702662236296508</v>
      </c>
      <c r="AJ11" s="94">
        <f t="shared" si="12"/>
        <v>0.14631857815835092</v>
      </c>
      <c r="AL11" s="40">
        <f t="shared" si="13"/>
        <v>2.8200029669356086</v>
      </c>
      <c r="AM11" s="94">
        <v>1.9725323922654858</v>
      </c>
      <c r="AN11" s="94">
        <v>5.7186726837409781E-2</v>
      </c>
      <c r="AO11" s="94">
        <v>0.63242284192617815</v>
      </c>
      <c r="AP11" s="94">
        <f t="shared" si="14"/>
        <v>0.68960956876358792</v>
      </c>
      <c r="AQ11" s="107"/>
      <c r="AR11" s="40">
        <f t="shared" si="15"/>
        <v>3.1257074628290971</v>
      </c>
      <c r="AS11" s="94">
        <v>3.9519142484209846</v>
      </c>
      <c r="AT11" s="94">
        <v>0.72498120163138557</v>
      </c>
      <c r="AU11" s="94">
        <v>1.4243043820514307</v>
      </c>
      <c r="AV11" s="94">
        <f t="shared" si="16"/>
        <v>2.1492855836828162</v>
      </c>
      <c r="AW11" s="91" t="str">
        <f t="shared" si="17"/>
        <v>Engineering</v>
      </c>
      <c r="AX11" s="40">
        <f t="shared" si="18"/>
        <v>2.6610076636430335</v>
      </c>
      <c r="AY11" s="11">
        <v>3.2443503982662985</v>
      </c>
      <c r="AZ11" s="94">
        <v>0.14772454699359541</v>
      </c>
      <c r="BA11" s="94">
        <v>0.97439173559588765</v>
      </c>
      <c r="BB11" s="94">
        <f t="shared" si="19"/>
        <v>1.122116282589483</v>
      </c>
      <c r="BC11" s="94"/>
      <c r="BD11" s="40">
        <f t="shared" si="20"/>
        <v>2.5177966298219889</v>
      </c>
      <c r="BE11" s="94">
        <v>0.76061810370622518</v>
      </c>
      <c r="BF11" s="94">
        <v>-8.6613615501482388E-2</v>
      </c>
      <c r="BG11" s="94">
        <v>0.21472921204151713</v>
      </c>
      <c r="BH11" s="94">
        <f t="shared" si="21"/>
        <v>0.12811559654003474</v>
      </c>
      <c r="BJ11" s="40">
        <f t="shared" si="22"/>
        <v>2.6414518363808703</v>
      </c>
      <c r="BK11" s="94">
        <v>1.3612202522776553</v>
      </c>
      <c r="BL11" s="94">
        <v>-9.1457270541903425E-3</v>
      </c>
      <c r="BM11" s="94">
        <v>0.40545313032121294</v>
      </c>
      <c r="BN11" s="94">
        <f t="shared" si="23"/>
        <v>0.39630740326702257</v>
      </c>
      <c r="BO11" s="107"/>
      <c r="BP11" s="40">
        <f t="shared" si="24"/>
        <v>2.7805073211446985</v>
      </c>
      <c r="BQ11" s="94">
        <v>1.122512042282418</v>
      </c>
      <c r="BR11" s="94">
        <v>0.24348388954926817</v>
      </c>
      <c r="BS11" s="94">
        <v>0.35420939323315764</v>
      </c>
      <c r="BT11" s="94">
        <f t="shared" si="25"/>
        <v>0.59769328278242584</v>
      </c>
      <c r="BU11" s="91" t="str">
        <f t="shared" si="26"/>
        <v>Engineering</v>
      </c>
      <c r="BV11" s="40">
        <f t="shared" si="27"/>
        <v>2.0986442989320508</v>
      </c>
      <c r="BW11" s="11">
        <v>15.307841962071205</v>
      </c>
      <c r="BX11" s="94">
        <v>0.41022057712335003</v>
      </c>
      <c r="BY11" s="94">
        <v>3.5335820893340286</v>
      </c>
      <c r="BZ11" s="94">
        <f t="shared" si="28"/>
        <v>3.9438026664573789</v>
      </c>
      <c r="CA11" s="94"/>
      <c r="CB11" s="40">
        <f t="shared" si="29"/>
        <v>2.0210770566263747</v>
      </c>
      <c r="CC11" s="94">
        <v>5.8033468392667986</v>
      </c>
      <c r="CD11" s="94">
        <v>-0.34664652297871712</v>
      </c>
      <c r="CE11" s="94">
        <v>1.2855322454287512</v>
      </c>
      <c r="CF11" s="94">
        <f t="shared" si="30"/>
        <v>0.9388857224500341</v>
      </c>
      <c r="CH11" s="40">
        <f t="shared" si="31"/>
        <v>2.0955416811876404</v>
      </c>
      <c r="CI11" s="94">
        <v>8.3881190579667813</v>
      </c>
      <c r="CJ11" s="94">
        <v>0.46878350843430538</v>
      </c>
      <c r="CK11" s="94">
        <v>1.9331324937867693</v>
      </c>
      <c r="CL11" s="94">
        <f t="shared" si="32"/>
        <v>2.4019160022210748</v>
      </c>
      <c r="CM11" s="107"/>
      <c r="CN11" s="40">
        <f t="shared" si="33"/>
        <v>2.5160385347847258</v>
      </c>
      <c r="CO11" s="94">
        <v>1.1163760648376253</v>
      </c>
      <c r="CP11" s="94">
        <v>0.28808359166776182</v>
      </c>
      <c r="CQ11" s="94">
        <v>0.31491735011850813</v>
      </c>
      <c r="CR11" s="94">
        <f t="shared" si="34"/>
        <v>0.60300094178626995</v>
      </c>
      <c r="CS11" s="91" t="str">
        <f t="shared" si="35"/>
        <v>Engineering</v>
      </c>
      <c r="CT11" s="40">
        <f t="shared" si="36"/>
        <v>2.1859392974191483</v>
      </c>
      <c r="CU11" s="11">
        <v>1.5803104514182647</v>
      </c>
      <c r="CV11" s="94">
        <v>0.83659499161884154</v>
      </c>
      <c r="CW11" s="94">
        <v>0.38148546292729896</v>
      </c>
      <c r="CX11" s="94">
        <f t="shared" si="37"/>
        <v>1.2180804545461406</v>
      </c>
      <c r="CY11" s="94"/>
      <c r="CZ11" s="40">
        <f t="shared" si="38"/>
        <v>2.307194889511166</v>
      </c>
      <c r="DA11" s="94">
        <v>0.53899724729207821</v>
      </c>
      <c r="DB11" s="94">
        <v>-0.3856799637040455</v>
      </c>
      <c r="DC11" s="94">
        <v>0.13809574412330866</v>
      </c>
      <c r="DD11" s="94">
        <f t="shared" si="39"/>
        <v>-0.24758421958073684</v>
      </c>
      <c r="DF11" s="40">
        <f t="shared" si="40"/>
        <v>2.0967447677556317</v>
      </c>
      <c r="DG11" s="94">
        <v>0.97218850260274148</v>
      </c>
      <c r="DH11" s="94">
        <v>1.2339381399796061</v>
      </c>
      <c r="DI11" s="94">
        <v>0.22419229595803594</v>
      </c>
      <c r="DJ11" s="94">
        <f t="shared" si="41"/>
        <v>1.4581304359376421</v>
      </c>
      <c r="DK11" s="107"/>
      <c r="DL11" s="40">
        <f t="shared" si="42"/>
        <v>2.4810635165479544</v>
      </c>
      <c r="DM11" s="94">
        <v>6.9124701523444784E-2</v>
      </c>
      <c r="DN11" s="94">
        <v>-1.1663184656719028E-2</v>
      </c>
      <c r="DO11" s="94">
        <v>1.9197422845954378E-2</v>
      </c>
      <c r="DP11" s="94">
        <f t="shared" si="43"/>
        <v>7.53423818923535E-3</v>
      </c>
    </row>
    <row r="12" spans="1:120" x14ac:dyDescent="0.2">
      <c r="A12" s="91" t="str">
        <f>name!B8</f>
        <v>Rest of manufacturing</v>
      </c>
      <c r="B12" s="40">
        <f t="shared" si="1"/>
        <v>2.6164350010096316</v>
      </c>
      <c r="C12" s="11">
        <v>42.15199999999993</v>
      </c>
      <c r="D12" s="94">
        <v>-3.3299999999999712</v>
      </c>
      <c r="E12" s="94">
        <v>12.422204390941479</v>
      </c>
      <c r="F12" s="94">
        <f t="shared" si="2"/>
        <v>9.0922043909415073</v>
      </c>
      <c r="G12" s="94"/>
      <c r="H12" s="40">
        <f t="shared" si="3"/>
        <v>2.4469808961299799</v>
      </c>
      <c r="I12" s="94">
        <v>9.6089439679508644</v>
      </c>
      <c r="J12" s="94">
        <v>-2.1975561779706503</v>
      </c>
      <c r="K12" s="94">
        <v>2.6278403106316235</v>
      </c>
      <c r="L12" s="94">
        <f t="shared" si="4"/>
        <v>0.43028413266097321</v>
      </c>
      <c r="N12" s="40">
        <f t="shared" si="5"/>
        <v>2.5333579555699037</v>
      </c>
      <c r="O12" s="94">
        <v>22.575808590792999</v>
      </c>
      <c r="P12" s="94">
        <v>-0.95500589125711122</v>
      </c>
      <c r="Q12" s="94">
        <v>6.4173226387381153</v>
      </c>
      <c r="R12" s="94">
        <f t="shared" si="6"/>
        <v>5.4623167474810037</v>
      </c>
      <c r="S12" s="107"/>
      <c r="T12" s="40">
        <f t="shared" si="7"/>
        <v>2.9608263556274439</v>
      </c>
      <c r="U12" s="94">
        <v>9.9672474412560668</v>
      </c>
      <c r="V12" s="94">
        <v>-0.17743793077220946</v>
      </c>
      <c r="W12" s="94">
        <v>3.3770414415717394</v>
      </c>
      <c r="X12" s="94">
        <f t="shared" si="8"/>
        <v>3.19960351079953</v>
      </c>
      <c r="Y12" s="91" t="str">
        <f t="shared" si="0"/>
        <v>Rest of manufacturing</v>
      </c>
      <c r="Z12" s="40">
        <f t="shared" si="9"/>
        <v>2.9763942733826543</v>
      </c>
      <c r="AA12" s="11">
        <v>10.498945664126412</v>
      </c>
      <c r="AB12" s="94">
        <v>0.34529888283838883</v>
      </c>
      <c r="AC12" s="94">
        <v>3.5784558313106598</v>
      </c>
      <c r="AD12" s="94">
        <f t="shared" si="10"/>
        <v>3.9237547141490485</v>
      </c>
      <c r="AE12" s="94"/>
      <c r="AF12" s="40">
        <f t="shared" si="11"/>
        <v>2.7040649618628176</v>
      </c>
      <c r="AG12" s="94">
        <v>0.75816764967198691</v>
      </c>
      <c r="AH12" s="94">
        <v>-0.14426412804349217</v>
      </c>
      <c r="AI12" s="94">
        <v>0.23184690614128767</v>
      </c>
      <c r="AJ12" s="94">
        <f t="shared" si="12"/>
        <v>8.7582778097795494E-2</v>
      </c>
      <c r="AL12" s="40">
        <f t="shared" si="13"/>
        <v>2.8324908960291717</v>
      </c>
      <c r="AM12" s="94">
        <v>3.7458067354035878</v>
      </c>
      <c r="AN12" s="94">
        <v>-2.1430511128079324E-2</v>
      </c>
      <c r="AO12" s="94">
        <v>1.2069719734322446</v>
      </c>
      <c r="AP12" s="94">
        <f t="shared" si="14"/>
        <v>1.1855414623041653</v>
      </c>
      <c r="AQ12" s="107"/>
      <c r="AR12" s="40">
        <f t="shared" si="15"/>
        <v>3.0991188393576063</v>
      </c>
      <c r="AS12" s="94">
        <v>5.9949712790508363</v>
      </c>
      <c r="AT12" s="94">
        <v>0.51099352200996029</v>
      </c>
      <c r="AU12" s="94">
        <v>2.1396369517371276</v>
      </c>
      <c r="AV12" s="94">
        <f t="shared" si="16"/>
        <v>2.6506304737470878</v>
      </c>
      <c r="AW12" s="91" t="str">
        <f t="shared" si="17"/>
        <v>Rest of manufacturing</v>
      </c>
      <c r="AX12" s="40">
        <f t="shared" si="18"/>
        <v>2.667464938337738</v>
      </c>
      <c r="AY12" s="11">
        <v>4.3775371772570599</v>
      </c>
      <c r="AZ12" s="94">
        <v>-1.2645538867862174</v>
      </c>
      <c r="BA12" s="94">
        <v>1.3183086935944921</v>
      </c>
      <c r="BB12" s="94">
        <f t="shared" si="19"/>
        <v>5.3754806808274713E-2</v>
      </c>
      <c r="BC12" s="94"/>
      <c r="BD12" s="40">
        <f t="shared" si="20"/>
        <v>2.5806373974742502</v>
      </c>
      <c r="BE12" s="94">
        <v>0.50445012564800362</v>
      </c>
      <c r="BF12" s="94">
        <v>-0.13667993756951582</v>
      </c>
      <c r="BG12" s="94">
        <v>0.14638677364194702</v>
      </c>
      <c r="BH12" s="94">
        <f t="shared" si="21"/>
        <v>9.7068360724311964E-3</v>
      </c>
      <c r="BJ12" s="40">
        <f t="shared" si="22"/>
        <v>2.6049115123564892</v>
      </c>
      <c r="BK12" s="94">
        <v>2.2466979729709307</v>
      </c>
      <c r="BL12" s="94">
        <v>-0.58280055442252565</v>
      </c>
      <c r="BM12" s="94">
        <v>0.65883758800710124</v>
      </c>
      <c r="BN12" s="94">
        <f t="shared" si="23"/>
        <v>7.6037033584575586E-2</v>
      </c>
      <c r="BO12" s="107"/>
      <c r="BP12" s="40">
        <f t="shared" si="24"/>
        <v>2.779912687566588</v>
      </c>
      <c r="BQ12" s="94">
        <v>1.6263890786381248</v>
      </c>
      <c r="BR12" s="94">
        <v>-0.54507339479417605</v>
      </c>
      <c r="BS12" s="94">
        <v>0.51308433194544378</v>
      </c>
      <c r="BT12" s="94">
        <f t="shared" si="25"/>
        <v>-3.1989062848732264E-2</v>
      </c>
      <c r="BU12" s="91" t="str">
        <f t="shared" si="26"/>
        <v>Rest of manufacturing</v>
      </c>
      <c r="BV12" s="40">
        <f t="shared" si="27"/>
        <v>2.4731834060013336</v>
      </c>
      <c r="BW12" s="11">
        <v>26.112763020344723</v>
      </c>
      <c r="BX12" s="94">
        <v>-1.8174984546461121</v>
      </c>
      <c r="BY12" s="94">
        <v>7.2264319158956178</v>
      </c>
      <c r="BZ12" s="94">
        <f t="shared" si="28"/>
        <v>5.4089334612495055</v>
      </c>
      <c r="CA12" s="94"/>
      <c r="CB12" s="40">
        <f t="shared" si="29"/>
        <v>2.4168124747555364</v>
      </c>
      <c r="CC12" s="94">
        <v>7.7759473470029352</v>
      </c>
      <c r="CD12" s="94">
        <v>-1.7158164744931881</v>
      </c>
      <c r="CE12" s="94">
        <v>2.0974328886080462</v>
      </c>
      <c r="CF12" s="94">
        <f t="shared" si="30"/>
        <v>0.38161641411485814</v>
      </c>
      <c r="CH12" s="40">
        <f t="shared" si="31"/>
        <v>2.4638206980051702</v>
      </c>
      <c r="CI12" s="94">
        <v>16.01397145403611</v>
      </c>
      <c r="CJ12" s="94">
        <v>5.414488253187176E-2</v>
      </c>
      <c r="CK12" s="94">
        <v>4.4130248025048795</v>
      </c>
      <c r="CL12" s="94">
        <f t="shared" si="32"/>
        <v>4.467169685036751</v>
      </c>
      <c r="CM12" s="107"/>
      <c r="CN12" s="40">
        <f t="shared" si="33"/>
        <v>2.7231827177615964</v>
      </c>
      <c r="CO12" s="94">
        <v>2.3228442193056784</v>
      </c>
      <c r="CP12" s="94">
        <v>-0.15582686268479601</v>
      </c>
      <c r="CQ12" s="94">
        <v>0.71597422478269179</v>
      </c>
      <c r="CR12" s="94">
        <f t="shared" si="34"/>
        <v>0.56014736209789584</v>
      </c>
      <c r="CS12" s="91" t="str">
        <f t="shared" si="35"/>
        <v>Rest of manufacturing</v>
      </c>
      <c r="CT12" s="40">
        <f t="shared" si="36"/>
        <v>2.3148990339762587</v>
      </c>
      <c r="CU12" s="11">
        <v>1.1627541382717359</v>
      </c>
      <c r="CV12" s="94">
        <v>-0.59324654140603028</v>
      </c>
      <c r="CW12" s="94">
        <v>0.2990079501407093</v>
      </c>
      <c r="CX12" s="94">
        <f t="shared" si="37"/>
        <v>-0.29423859126532098</v>
      </c>
      <c r="CY12" s="94"/>
      <c r="CZ12" s="40">
        <f t="shared" si="38"/>
        <v>2.3930795875785948</v>
      </c>
      <c r="DA12" s="94">
        <v>0.57037884562794017</v>
      </c>
      <c r="DB12" s="94">
        <v>-0.20079563786445448</v>
      </c>
      <c r="DC12" s="94">
        <v>0.15217374224034305</v>
      </c>
      <c r="DD12" s="94">
        <f t="shared" si="39"/>
        <v>-4.8621895624111428E-2</v>
      </c>
      <c r="DF12" s="40">
        <f t="shared" si="40"/>
        <v>2.201138550303483</v>
      </c>
      <c r="DG12" s="94">
        <v>0.56933242838237019</v>
      </c>
      <c r="DH12" s="94">
        <v>-0.40491970823837808</v>
      </c>
      <c r="DI12" s="94">
        <v>0.13848827479389025</v>
      </c>
      <c r="DJ12" s="94">
        <f t="shared" si="41"/>
        <v>-0.26643143344448783</v>
      </c>
      <c r="DK12" s="107"/>
      <c r="DL12" s="40">
        <f t="shared" si="42"/>
        <v>3.1392149650770529</v>
      </c>
      <c r="DM12" s="94">
        <v>2.3042864261425509E-2</v>
      </c>
      <c r="DN12" s="94">
        <v>1.2468804696802241E-2</v>
      </c>
      <c r="DO12" s="94">
        <v>8.3459331064760084E-3</v>
      </c>
      <c r="DP12" s="94">
        <f t="shared" si="43"/>
        <v>2.0814737803278249E-2</v>
      </c>
    </row>
    <row r="13" spans="1:120" x14ac:dyDescent="0.2">
      <c r="A13" s="91" t="str">
        <f>name!B9</f>
        <v>Electricity and gas</v>
      </c>
      <c r="B13" s="40">
        <f t="shared" si="1"/>
        <v>2.751547529508569</v>
      </c>
      <c r="C13" s="11">
        <v>5.0589999999999913</v>
      </c>
      <c r="D13" s="94">
        <v>2.0489999999999946</v>
      </c>
      <c r="E13" s="94">
        <v>1.5776420433154477</v>
      </c>
      <c r="F13" s="94">
        <f t="shared" si="2"/>
        <v>3.6266420433154423</v>
      </c>
      <c r="G13" s="94"/>
      <c r="H13" s="40">
        <f t="shared" si="3"/>
        <v>2.5733600826927994</v>
      </c>
      <c r="I13" s="94">
        <v>0.31361419735656709</v>
      </c>
      <c r="J13" s="94">
        <v>7.8773033073184756E-2</v>
      </c>
      <c r="K13" s="94">
        <v>9.0720990468516644E-2</v>
      </c>
      <c r="L13" s="94">
        <f t="shared" si="4"/>
        <v>0.1694940235417014</v>
      </c>
      <c r="N13" s="40">
        <f t="shared" si="5"/>
        <v>2.5323926518590278</v>
      </c>
      <c r="O13" s="94">
        <v>1.1279969424904663</v>
      </c>
      <c r="P13" s="94">
        <v>0.17361487914005555</v>
      </c>
      <c r="Q13" s="94">
        <v>0.32050420132079388</v>
      </c>
      <c r="R13" s="94">
        <f t="shared" si="6"/>
        <v>0.4941190804608494</v>
      </c>
      <c r="S13" s="107"/>
      <c r="T13" s="40">
        <f t="shared" si="7"/>
        <v>2.8342615174113073</v>
      </c>
      <c r="U13" s="94">
        <v>3.6173888601529574</v>
      </c>
      <c r="V13" s="94">
        <v>1.7966120877867537</v>
      </c>
      <c r="W13" s="94">
        <v>1.1664168515261377</v>
      </c>
      <c r="X13" s="94">
        <f t="shared" si="8"/>
        <v>2.9630289393128915</v>
      </c>
      <c r="Y13" s="91" t="str">
        <f t="shared" si="0"/>
        <v>Electricity and gas</v>
      </c>
      <c r="Z13" s="40">
        <f t="shared" si="9"/>
        <v>2.8458192992028453</v>
      </c>
      <c r="AA13" s="11">
        <v>3.4150679378844369</v>
      </c>
      <c r="AB13" s="94">
        <v>1.4840300025780557</v>
      </c>
      <c r="AC13" s="94">
        <v>1.1062575228637768</v>
      </c>
      <c r="AD13" s="94">
        <f t="shared" si="10"/>
        <v>2.5902875254418323</v>
      </c>
      <c r="AE13" s="94"/>
      <c r="AF13" s="40">
        <f t="shared" si="11"/>
        <v>2.7430555154363878</v>
      </c>
      <c r="AG13" s="94">
        <v>0.11612647673624334</v>
      </c>
      <c r="AH13" s="94">
        <v>0.11035323287716786</v>
      </c>
      <c r="AI13" s="94">
        <v>3.6088022100809053E-2</v>
      </c>
      <c r="AJ13" s="94">
        <f t="shared" si="12"/>
        <v>0.14644125497797691</v>
      </c>
      <c r="AL13" s="40">
        <f t="shared" si="13"/>
        <v>2.6040221070196878</v>
      </c>
      <c r="AM13" s="94">
        <v>0.78807550212350175</v>
      </c>
      <c r="AN13" s="94">
        <v>0.1640515512066609</v>
      </c>
      <c r="AO13" s="94">
        <v>0.23101248718210923</v>
      </c>
      <c r="AP13" s="94">
        <f t="shared" si="14"/>
        <v>0.39506403838877013</v>
      </c>
      <c r="AQ13" s="107"/>
      <c r="AR13" s="40">
        <f t="shared" si="15"/>
        <v>2.9253673336995467</v>
      </c>
      <c r="AS13" s="94">
        <v>2.510865959024692</v>
      </c>
      <c r="AT13" s="94">
        <v>1.2096252184942269</v>
      </c>
      <c r="AU13" s="94">
        <v>0.83915701358085859</v>
      </c>
      <c r="AV13" s="94">
        <f t="shared" si="16"/>
        <v>2.0487822320750855</v>
      </c>
      <c r="AW13" s="91" t="str">
        <f t="shared" si="17"/>
        <v>Electricity and gas</v>
      </c>
      <c r="AX13" s="40">
        <f t="shared" si="18"/>
        <v>2.7527088286745105</v>
      </c>
      <c r="AY13" s="11">
        <v>0.957602688269793</v>
      </c>
      <c r="AZ13" s="94">
        <v>0.25026458116444267</v>
      </c>
      <c r="BA13" s="94">
        <v>0.29876903958455009</v>
      </c>
      <c r="BB13" s="94">
        <f t="shared" si="19"/>
        <v>0.54903362074899276</v>
      </c>
      <c r="BC13" s="94"/>
      <c r="BD13" s="40">
        <f t="shared" si="20"/>
        <v>2.6027440742423469</v>
      </c>
      <c r="BE13" s="94">
        <v>6.6675648433861312E-2</v>
      </c>
      <c r="BF13" s="94">
        <v>1.2223965695389253E-2</v>
      </c>
      <c r="BG13" s="94">
        <v>1.953422506429308E-2</v>
      </c>
      <c r="BH13" s="94">
        <f t="shared" si="21"/>
        <v>3.1758190759682337E-2</v>
      </c>
      <c r="BJ13" s="40">
        <f t="shared" si="22"/>
        <v>2.595302754086215</v>
      </c>
      <c r="BK13" s="94">
        <v>0.10025366029317774</v>
      </c>
      <c r="BL13" s="94">
        <v>-4.2143802914000279E-2</v>
      </c>
      <c r="BM13" s="94">
        <v>2.9277725477586596E-2</v>
      </c>
      <c r="BN13" s="94">
        <f t="shared" si="23"/>
        <v>-1.2866077436413683E-2</v>
      </c>
      <c r="BO13" s="107"/>
      <c r="BP13" s="40">
        <f t="shared" si="24"/>
        <v>2.7850477621075731</v>
      </c>
      <c r="BQ13" s="94">
        <v>0.79067337954275396</v>
      </c>
      <c r="BR13" s="94">
        <v>0.28018441838305369</v>
      </c>
      <c r="BS13" s="94">
        <v>0.24995708904267042</v>
      </c>
      <c r="BT13" s="94">
        <f t="shared" si="25"/>
        <v>0.53014150742572408</v>
      </c>
      <c r="BU13" s="91" t="str">
        <f t="shared" si="26"/>
        <v>Electricity and gas</v>
      </c>
      <c r="BV13" s="40">
        <f t="shared" si="27"/>
        <v>2.30166568848158</v>
      </c>
      <c r="BW13" s="11">
        <v>0.58372112403374876</v>
      </c>
      <c r="BX13" s="94">
        <v>0.29400518186205293</v>
      </c>
      <c r="BY13" s="94">
        <v>0.14915818412575702</v>
      </c>
      <c r="BZ13" s="94">
        <f t="shared" si="28"/>
        <v>0.44316336598780992</v>
      </c>
      <c r="CA13" s="94"/>
      <c r="CB13" s="40">
        <f t="shared" si="29"/>
        <v>2.5209593858770862</v>
      </c>
      <c r="CC13" s="94">
        <v>7.9538399802440748E-2</v>
      </c>
      <c r="CD13" s="94">
        <v>-3.8996824091237468E-2</v>
      </c>
      <c r="CE13" s="94">
        <v>2.2485863083774052E-2</v>
      </c>
      <c r="CF13" s="94">
        <f t="shared" si="30"/>
        <v>-1.6510961007463416E-2</v>
      </c>
      <c r="CH13" s="40">
        <f t="shared" si="31"/>
        <v>2.2948013168675008</v>
      </c>
      <c r="CI13" s="94">
        <v>0.22333516849225249</v>
      </c>
      <c r="CJ13" s="94">
        <v>4.7374479843118752E-2</v>
      </c>
      <c r="CK13" s="94">
        <v>5.6880714680897067E-2</v>
      </c>
      <c r="CL13" s="94">
        <f t="shared" si="32"/>
        <v>0.10425519452401583</v>
      </c>
      <c r="CM13" s="107"/>
      <c r="CN13" s="40">
        <f t="shared" si="33"/>
        <v>2.2442696745849977</v>
      </c>
      <c r="CO13" s="94">
        <v>0.28084755573905562</v>
      </c>
      <c r="CP13" s="94">
        <v>0.28562752611017167</v>
      </c>
      <c r="CQ13" s="94">
        <v>6.9791606361085889E-2</v>
      </c>
      <c r="CR13" s="94">
        <f t="shared" si="34"/>
        <v>0.35541913247125756</v>
      </c>
      <c r="CS13" s="91" t="str">
        <f t="shared" si="35"/>
        <v>Electricity and gas</v>
      </c>
      <c r="CT13" s="40">
        <f t="shared" si="36"/>
        <v>2.0801766936642485</v>
      </c>
      <c r="CU13" s="11">
        <v>0.10260824981201205</v>
      </c>
      <c r="CV13" s="94">
        <v>2.0700234395443017E-2</v>
      </c>
      <c r="CW13" s="94">
        <v>2.3457296741363907E-2</v>
      </c>
      <c r="CX13" s="94">
        <f t="shared" si="37"/>
        <v>4.4157531136806927E-2</v>
      </c>
      <c r="CY13" s="94"/>
      <c r="CZ13" s="40">
        <f t="shared" si="38"/>
        <v>2.2236780417191238</v>
      </c>
      <c r="DA13" s="94">
        <v>5.1273672384021723E-2</v>
      </c>
      <c r="DB13" s="94">
        <v>-4.8073414081348711E-3</v>
      </c>
      <c r="DC13" s="94">
        <v>1.2612880219640452E-2</v>
      </c>
      <c r="DD13" s="94">
        <f t="shared" si="39"/>
        <v>7.8055388115055805E-3</v>
      </c>
      <c r="DF13" s="40">
        <f t="shared" si="40"/>
        <v>1.8745697006633089</v>
      </c>
      <c r="DG13" s="94">
        <v>1.6332611581534422E-2</v>
      </c>
      <c r="DH13" s="94">
        <v>4.3326510042762225E-3</v>
      </c>
      <c r="DI13" s="94">
        <v>3.3332739802009429E-3</v>
      </c>
      <c r="DJ13" s="94">
        <f t="shared" si="41"/>
        <v>7.6659249844771658E-3</v>
      </c>
      <c r="DK13" s="107"/>
      <c r="DL13" s="40">
        <f t="shared" si="42"/>
        <v>1.9631026785993377</v>
      </c>
      <c r="DM13" s="94">
        <v>3.5001965846455901E-2</v>
      </c>
      <c r="DN13" s="94">
        <v>2.1174924799301664E-2</v>
      </c>
      <c r="DO13" s="94">
        <v>7.5111425415225128E-3</v>
      </c>
      <c r="DP13" s="94">
        <f t="shared" si="43"/>
        <v>2.8686067340824177E-2</v>
      </c>
    </row>
    <row r="14" spans="1:120" x14ac:dyDescent="0.2">
      <c r="A14" s="91" t="str">
        <f>name!B10</f>
        <v>Water and sewerage</v>
      </c>
      <c r="B14" s="40">
        <f t="shared" si="1"/>
        <v>2.6630267727114409</v>
      </c>
      <c r="C14" s="11">
        <v>34.689999999999941</v>
      </c>
      <c r="D14" s="94">
        <v>3.4039999999999937</v>
      </c>
      <c r="E14" s="94">
        <v>10.427491197200341</v>
      </c>
      <c r="F14" s="94">
        <f t="shared" si="2"/>
        <v>13.831491197200336</v>
      </c>
      <c r="G14" s="94"/>
      <c r="H14" s="40">
        <f t="shared" si="3"/>
        <v>2.3746340922261355</v>
      </c>
      <c r="I14" s="94">
        <v>2.9582746497764263</v>
      </c>
      <c r="J14" s="94">
        <v>-1.2426718264022578</v>
      </c>
      <c r="K14" s="94">
        <v>0.78250491573356684</v>
      </c>
      <c r="L14" s="94">
        <f t="shared" si="4"/>
        <v>-0.46016691066869098</v>
      </c>
      <c r="N14" s="40">
        <f t="shared" si="5"/>
        <v>2.45146859998846</v>
      </c>
      <c r="O14" s="94">
        <v>15.931406757331569</v>
      </c>
      <c r="P14" s="94">
        <v>2.6141692288467828</v>
      </c>
      <c r="Q14" s="94">
        <v>4.3657875010183442</v>
      </c>
      <c r="R14" s="94">
        <f t="shared" si="6"/>
        <v>6.9799567298651271</v>
      </c>
      <c r="S14" s="107"/>
      <c r="T14" s="40">
        <f t="shared" si="7"/>
        <v>2.9246696914869474</v>
      </c>
      <c r="U14" s="94">
        <v>15.800318592891939</v>
      </c>
      <c r="V14" s="94">
        <v>2.0325025975554691</v>
      </c>
      <c r="W14" s="94">
        <v>5.2791987804484268</v>
      </c>
      <c r="X14" s="94">
        <f t="shared" si="8"/>
        <v>7.311701378003896</v>
      </c>
      <c r="Y14" s="91" t="str">
        <f t="shared" si="0"/>
        <v>Water and sewerage</v>
      </c>
      <c r="Z14" s="40">
        <f t="shared" si="9"/>
        <v>2.8935452968317898</v>
      </c>
      <c r="AA14" s="11">
        <v>20.179018387941738</v>
      </c>
      <c r="AB14" s="94">
        <v>3.7043393079638052</v>
      </c>
      <c r="AC14" s="94">
        <v>6.6609099076503337</v>
      </c>
      <c r="AD14" s="94">
        <f t="shared" si="10"/>
        <v>10.365249215614138</v>
      </c>
      <c r="AE14" s="94"/>
      <c r="AF14" s="40">
        <f t="shared" si="11"/>
        <v>2.7725711511966233</v>
      </c>
      <c r="AG14" s="94">
        <v>0.72465647374450293</v>
      </c>
      <c r="AH14" s="94">
        <v>-0.21196589918901296</v>
      </c>
      <c r="AI14" s="94">
        <v>0.227929964406863</v>
      </c>
      <c r="AJ14" s="94">
        <f t="shared" si="12"/>
        <v>1.5964065217850043E-2</v>
      </c>
      <c r="AL14" s="40">
        <f t="shared" si="13"/>
        <v>2.6836776039042443</v>
      </c>
      <c r="AM14" s="94">
        <v>7.1689586080821419</v>
      </c>
      <c r="AN14" s="94">
        <v>1.9626686993660245</v>
      </c>
      <c r="AO14" s="94">
        <v>2.1736943685039085</v>
      </c>
      <c r="AP14" s="94">
        <f t="shared" si="14"/>
        <v>4.136363067869933</v>
      </c>
      <c r="AQ14" s="107"/>
      <c r="AR14" s="40">
        <f t="shared" si="15"/>
        <v>3.0212745785094253</v>
      </c>
      <c r="AS14" s="94">
        <v>12.285403306115091</v>
      </c>
      <c r="AT14" s="94">
        <v>1.9536365077867941</v>
      </c>
      <c r="AU14" s="94">
        <v>4.2592855747395628</v>
      </c>
      <c r="AV14" s="94">
        <f t="shared" si="16"/>
        <v>6.2129220825263571</v>
      </c>
      <c r="AW14" s="91" t="str">
        <f t="shared" si="17"/>
        <v>Water and sewerage</v>
      </c>
      <c r="AX14" s="40">
        <f t="shared" si="18"/>
        <v>2.6934634376716282</v>
      </c>
      <c r="AY14" s="11">
        <v>3.8772019161776843</v>
      </c>
      <c r="AZ14" s="94">
        <v>-0.76962711358062519</v>
      </c>
      <c r="BA14" s="94">
        <v>1.1804208080754564</v>
      </c>
      <c r="BB14" s="94">
        <f t="shared" si="19"/>
        <v>0.41079369449483116</v>
      </c>
      <c r="BC14" s="94"/>
      <c r="BD14" s="40">
        <f t="shared" si="20"/>
        <v>2.5916879181504093</v>
      </c>
      <c r="BE14" s="94">
        <v>0.39518397605304539</v>
      </c>
      <c r="BF14" s="94">
        <v>-0.11728323585066727</v>
      </c>
      <c r="BG14" s="94">
        <v>0.11522826186981429</v>
      </c>
      <c r="BH14" s="94">
        <f t="shared" si="21"/>
        <v>-2.0549739808529838E-3</v>
      </c>
      <c r="BJ14" s="40">
        <f t="shared" si="22"/>
        <v>2.6108631762737033</v>
      </c>
      <c r="BK14" s="94">
        <v>1.6388021332720251</v>
      </c>
      <c r="BL14" s="94">
        <v>-0.45140915346675231</v>
      </c>
      <c r="BM14" s="94">
        <v>0.48180359544498619</v>
      </c>
      <c r="BN14" s="94">
        <f t="shared" si="23"/>
        <v>3.0394441978233877E-2</v>
      </c>
      <c r="BO14" s="107"/>
      <c r="BP14" s="40">
        <f t="shared" si="24"/>
        <v>2.7879692353027563</v>
      </c>
      <c r="BQ14" s="94">
        <v>1.8432158068526141</v>
      </c>
      <c r="BR14" s="94">
        <v>-0.20093472426320558</v>
      </c>
      <c r="BS14" s="94">
        <v>0.58338895076065578</v>
      </c>
      <c r="BT14" s="94">
        <f t="shared" si="25"/>
        <v>0.3824542264974502</v>
      </c>
      <c r="BU14" s="91" t="str">
        <f t="shared" si="26"/>
        <v>Water and sewerage</v>
      </c>
      <c r="BV14" s="40">
        <f t="shared" si="27"/>
        <v>2.1639959971873068</v>
      </c>
      <c r="BW14" s="11">
        <v>9.217599475239167</v>
      </c>
      <c r="BX14" s="94">
        <v>0.61442646269312895</v>
      </c>
      <c r="BY14" s="94">
        <v>2.2005716372862962</v>
      </c>
      <c r="BZ14" s="94">
        <f t="shared" si="28"/>
        <v>2.8149980999794253</v>
      </c>
      <c r="CA14" s="94"/>
      <c r="CB14" s="40">
        <f t="shared" si="29"/>
        <v>2.1322524388695197</v>
      </c>
      <c r="CC14" s="94">
        <v>1.3746236467462931</v>
      </c>
      <c r="CD14" s="94">
        <v>-0.6797332330802186</v>
      </c>
      <c r="CE14" s="94">
        <v>0.32288857798608317</v>
      </c>
      <c r="CF14" s="94">
        <f t="shared" si="30"/>
        <v>-0.35684465509413543</v>
      </c>
      <c r="CH14" s="40">
        <f t="shared" si="31"/>
        <v>2.1183476609150542</v>
      </c>
      <c r="CI14" s="94">
        <v>6.2987020393754678</v>
      </c>
      <c r="CJ14" s="94">
        <v>1.0586789669999686</v>
      </c>
      <c r="CK14" s="94">
        <v>1.4689337630531381</v>
      </c>
      <c r="CL14" s="94">
        <f t="shared" si="32"/>
        <v>2.5276127300531064</v>
      </c>
      <c r="CM14" s="107"/>
      <c r="CN14" s="40">
        <f t="shared" si="33"/>
        <v>2.3760355283215739</v>
      </c>
      <c r="CO14" s="94">
        <v>1.5442737891174063</v>
      </c>
      <c r="CP14" s="94">
        <v>0.23548072877337922</v>
      </c>
      <c r="CQ14" s="94">
        <v>0.40874929624707479</v>
      </c>
      <c r="CR14" s="94">
        <f t="shared" si="34"/>
        <v>0.64423002502045401</v>
      </c>
      <c r="CS14" s="91" t="str">
        <f t="shared" si="35"/>
        <v>Water and sewerage</v>
      </c>
      <c r="CT14" s="40">
        <f t="shared" si="36"/>
        <v>2.4372851811505392</v>
      </c>
      <c r="CU14" s="11">
        <v>1.4161802206413483</v>
      </c>
      <c r="CV14" s="94">
        <v>-0.14513865707631529</v>
      </c>
      <c r="CW14" s="94">
        <v>0.38558884418825223</v>
      </c>
      <c r="CX14" s="94">
        <f t="shared" si="37"/>
        <v>0.24045018711193694</v>
      </c>
      <c r="CY14" s="94"/>
      <c r="CZ14" s="40">
        <f t="shared" si="38"/>
        <v>2.2654301118374853</v>
      </c>
      <c r="DA14" s="94">
        <v>0.46381055323258502</v>
      </c>
      <c r="DB14" s="94">
        <v>-0.23368945828235915</v>
      </c>
      <c r="DC14" s="94">
        <v>0.11645811147080638</v>
      </c>
      <c r="DD14" s="94">
        <f t="shared" si="39"/>
        <v>-0.11723134681155277</v>
      </c>
      <c r="DF14" s="40">
        <f t="shared" si="40"/>
        <v>2.5995569001085794</v>
      </c>
      <c r="DG14" s="94">
        <v>0.82494397660193552</v>
      </c>
      <c r="DH14" s="94">
        <v>4.4230715947542278E-2</v>
      </c>
      <c r="DI14" s="94">
        <v>0.24135577401631172</v>
      </c>
      <c r="DJ14" s="94">
        <f t="shared" si="41"/>
        <v>0.285586489963854</v>
      </c>
      <c r="DK14" s="107"/>
      <c r="DL14" s="40">
        <f t="shared" si="42"/>
        <v>1.9914236116268524</v>
      </c>
      <c r="DM14" s="94">
        <v>0.12742569080682786</v>
      </c>
      <c r="DN14" s="94">
        <v>4.4320085258501563E-2</v>
      </c>
      <c r="DO14" s="94">
        <v>2.7774958701134087E-2</v>
      </c>
      <c r="DP14" s="94">
        <f t="shared" si="43"/>
        <v>7.2095043959635646E-2</v>
      </c>
    </row>
    <row r="15" spans="1:120" x14ac:dyDescent="0.2">
      <c r="A15" s="91" t="str">
        <f>name!B11</f>
        <v>Construction</v>
      </c>
      <c r="B15" s="40">
        <f t="shared" si="1"/>
        <v>2.6332713124259444</v>
      </c>
      <c r="C15" s="11">
        <v>24.70699999999993</v>
      </c>
      <c r="D15" s="94">
        <v>2.4850000000000203</v>
      </c>
      <c r="E15" s="94">
        <v>7.3336805968811847</v>
      </c>
      <c r="F15" s="94">
        <f t="shared" si="2"/>
        <v>9.8186805968812045</v>
      </c>
      <c r="G15" s="94"/>
      <c r="H15" s="40">
        <f t="shared" si="3"/>
        <v>2.4423074235861542</v>
      </c>
      <c r="I15" s="94">
        <v>2.0674298031287628</v>
      </c>
      <c r="J15" s="94">
        <v>-0.8828890757342569</v>
      </c>
      <c r="K15" s="94">
        <v>0.56419694936710085</v>
      </c>
      <c r="L15" s="94">
        <f t="shared" si="4"/>
        <v>-0.31869212636715605</v>
      </c>
      <c r="N15" s="40">
        <f t="shared" si="5"/>
        <v>2.3615173214244889</v>
      </c>
      <c r="O15" s="94">
        <v>11.395959885205716</v>
      </c>
      <c r="P15" s="94">
        <v>1.9703829749125323</v>
      </c>
      <c r="Q15" s="94">
        <v>2.9959377256495925</v>
      </c>
      <c r="R15" s="94">
        <f t="shared" si="6"/>
        <v>4.9663207005621253</v>
      </c>
      <c r="S15" s="107"/>
      <c r="T15" s="40">
        <f t="shared" si="7"/>
        <v>2.9362141326216173</v>
      </c>
      <c r="U15" s="94">
        <v>11.243610311665455</v>
      </c>
      <c r="V15" s="94">
        <v>1.3975061008217451</v>
      </c>
      <c r="W15" s="94">
        <v>3.7735459218644927</v>
      </c>
      <c r="X15" s="94">
        <f t="shared" si="8"/>
        <v>5.1710520226862382</v>
      </c>
      <c r="Y15" s="91" t="str">
        <f t="shared" si="0"/>
        <v>Construction</v>
      </c>
      <c r="Z15" s="40">
        <f t="shared" si="9"/>
        <v>2.9275517647755267</v>
      </c>
      <c r="AA15" s="11">
        <v>13.046434238680172</v>
      </c>
      <c r="AB15" s="94">
        <v>2.1329718598151204</v>
      </c>
      <c r="AC15" s="94">
        <v>4.3639460437985305</v>
      </c>
      <c r="AD15" s="94">
        <f t="shared" si="10"/>
        <v>6.4969179036136513</v>
      </c>
      <c r="AE15" s="94"/>
      <c r="AF15" s="40">
        <f t="shared" si="11"/>
        <v>2.9029598767563725</v>
      </c>
      <c r="AG15" s="94">
        <v>0.51780999831305174</v>
      </c>
      <c r="AH15" s="94">
        <v>-0.14508224440278034</v>
      </c>
      <c r="AI15" s="94">
        <v>0.17155479671456894</v>
      </c>
      <c r="AJ15" s="94">
        <f t="shared" si="12"/>
        <v>2.6472552311788605E-2</v>
      </c>
      <c r="AL15" s="40">
        <f t="shared" si="13"/>
        <v>2.7138731733564292</v>
      </c>
      <c r="AM15" s="94">
        <v>3.3696565084990735</v>
      </c>
      <c r="AN15" s="94">
        <v>0.87665708871403969</v>
      </c>
      <c r="AO15" s="94">
        <v>1.0346414621905302</v>
      </c>
      <c r="AP15" s="94">
        <f t="shared" si="14"/>
        <v>1.9112985509045699</v>
      </c>
      <c r="AQ15" s="107"/>
      <c r="AR15" s="40">
        <f t="shared" si="15"/>
        <v>3.0065508595138457</v>
      </c>
      <c r="AS15" s="94">
        <v>9.1589677318680476</v>
      </c>
      <c r="AT15" s="94">
        <v>1.4013970155038609</v>
      </c>
      <c r="AU15" s="94">
        <v>3.1577497848934315</v>
      </c>
      <c r="AV15" s="94">
        <f t="shared" si="16"/>
        <v>4.5591468003972926</v>
      </c>
      <c r="AW15" s="91" t="str">
        <f t="shared" si="17"/>
        <v>Construction</v>
      </c>
      <c r="AX15" s="40">
        <f t="shared" si="18"/>
        <v>2.6925526136312605</v>
      </c>
      <c r="AY15" s="11">
        <v>3.651919924567808</v>
      </c>
      <c r="AZ15" s="94">
        <v>-0.23040618198892773</v>
      </c>
      <c r="BA15" s="94">
        <v>1.1114108203418209</v>
      </c>
      <c r="BB15" s="94">
        <f t="shared" si="19"/>
        <v>0.88100463835289322</v>
      </c>
      <c r="BC15" s="94"/>
      <c r="BD15" s="40">
        <f t="shared" si="20"/>
        <v>2.6003566607783579</v>
      </c>
      <c r="BE15" s="94">
        <v>0.34954045938527362</v>
      </c>
      <c r="BF15" s="94">
        <v>-0.11400742632184735</v>
      </c>
      <c r="BG15" s="94">
        <v>0.10230108293418085</v>
      </c>
      <c r="BH15" s="94">
        <f t="shared" si="21"/>
        <v>-1.1706343387666504E-2</v>
      </c>
      <c r="BJ15" s="40">
        <f t="shared" si="22"/>
        <v>2.6391873139546718</v>
      </c>
      <c r="BK15" s="94">
        <v>2.0072722798125366</v>
      </c>
      <c r="BL15" s="94">
        <v>2.1946743765527334E-2</v>
      </c>
      <c r="BM15" s="94">
        <v>0.59731151369132662</v>
      </c>
      <c r="BN15" s="94">
        <f t="shared" si="23"/>
        <v>0.61925825745685392</v>
      </c>
      <c r="BO15" s="107"/>
      <c r="BP15" s="40">
        <f t="shared" si="24"/>
        <v>2.799351314050047</v>
      </c>
      <c r="BQ15" s="94">
        <v>1.2951071853699978</v>
      </c>
      <c r="BR15" s="94">
        <v>-0.13834549943260771</v>
      </c>
      <c r="BS15" s="94">
        <v>0.41179822371631336</v>
      </c>
      <c r="BT15" s="94">
        <f t="shared" si="25"/>
        <v>0.27345272428370565</v>
      </c>
      <c r="BU15" s="91" t="str">
        <f t="shared" si="26"/>
        <v>Construction</v>
      </c>
      <c r="BV15" s="40">
        <f t="shared" si="27"/>
        <v>2.0481137979190267</v>
      </c>
      <c r="BW15" s="11">
        <v>6.6723347132595512</v>
      </c>
      <c r="BX15" s="94">
        <v>0.63046525507421236</v>
      </c>
      <c r="BY15" s="94">
        <v>1.4996518315416651</v>
      </c>
      <c r="BZ15" s="94">
        <f t="shared" si="28"/>
        <v>2.1301170866158774</v>
      </c>
      <c r="CA15" s="94"/>
      <c r="CB15" s="40">
        <f t="shared" si="29"/>
        <v>1.885726525584519</v>
      </c>
      <c r="CC15" s="94">
        <v>0.79401322796632245</v>
      </c>
      <c r="CD15" s="94">
        <v>-0.42251424724113457</v>
      </c>
      <c r="CE15" s="94">
        <v>0.16309534060812603</v>
      </c>
      <c r="CF15" s="94">
        <f t="shared" si="30"/>
        <v>-0.25941890663300854</v>
      </c>
      <c r="CH15" s="40">
        <f t="shared" si="31"/>
        <v>2.0349710354922612</v>
      </c>
      <c r="CI15" s="94">
        <v>5.1117136268203991</v>
      </c>
      <c r="CJ15" s="94">
        <v>0.94026718064231962</v>
      </c>
      <c r="CK15" s="94">
        <v>1.1408334558665532</v>
      </c>
      <c r="CL15" s="94">
        <f t="shared" si="32"/>
        <v>2.0811006365088729</v>
      </c>
      <c r="CM15" s="107"/>
      <c r="CN15" s="40">
        <f t="shared" si="33"/>
        <v>2.2998780793422213</v>
      </c>
      <c r="CO15" s="94">
        <v>0.7666078584728292</v>
      </c>
      <c r="CP15" s="94">
        <v>0.11271232167302715</v>
      </c>
      <c r="CQ15" s="94">
        <v>0.19572303506698607</v>
      </c>
      <c r="CR15" s="94">
        <f t="shared" si="34"/>
        <v>0.30843535674001321</v>
      </c>
      <c r="CS15" s="91" t="str">
        <f t="shared" si="35"/>
        <v>Construction</v>
      </c>
      <c r="CT15" s="40">
        <f t="shared" si="36"/>
        <v>2.406088217429958</v>
      </c>
      <c r="CU15" s="11">
        <v>1.3363111234924001</v>
      </c>
      <c r="CV15" s="94">
        <v>-4.8030932900384203E-2</v>
      </c>
      <c r="CW15" s="94">
        <v>0.3586719011991692</v>
      </c>
      <c r="CX15" s="94">
        <f t="shared" si="37"/>
        <v>0.31064096829878501</v>
      </c>
      <c r="CY15" s="94"/>
      <c r="CZ15" s="40">
        <f t="shared" si="38"/>
        <v>2.7633959791856677</v>
      </c>
      <c r="DA15" s="94">
        <v>0.40606611746411458</v>
      </c>
      <c r="DB15" s="94">
        <v>-0.20128515776849468</v>
      </c>
      <c r="DC15" s="94">
        <v>0.12724572911022497</v>
      </c>
      <c r="DD15" s="94">
        <f t="shared" si="39"/>
        <v>-7.4039428658269707E-2</v>
      </c>
      <c r="DF15" s="40">
        <f t="shared" si="40"/>
        <v>2.2233076528841211</v>
      </c>
      <c r="DG15" s="94">
        <v>0.90731747007370689</v>
      </c>
      <c r="DH15" s="94">
        <v>0.1315119617906455</v>
      </c>
      <c r="DI15" s="94">
        <v>0.22315129390118218</v>
      </c>
      <c r="DJ15" s="94">
        <f t="shared" si="41"/>
        <v>0.35466325569182766</v>
      </c>
      <c r="DK15" s="107"/>
      <c r="DL15" s="40">
        <f t="shared" si="42"/>
        <v>3.1295401767871711</v>
      </c>
      <c r="DM15" s="94">
        <v>2.2927535954578668E-2</v>
      </c>
      <c r="DN15" s="94">
        <v>2.174226307746498E-2</v>
      </c>
      <c r="DO15" s="94">
        <v>8.2748781877620605E-3</v>
      </c>
      <c r="DP15" s="94">
        <f t="shared" si="43"/>
        <v>3.0017141265227039E-2</v>
      </c>
    </row>
    <row r="16" spans="1:120" x14ac:dyDescent="0.2">
      <c r="A16" s="91" t="str">
        <f>name!B12</f>
        <v>Wholesale and retail trade</v>
      </c>
      <c r="B16" s="40">
        <f t="shared" si="1"/>
        <v>2.48357468355489</v>
      </c>
      <c r="C16" s="11">
        <v>49.360999999999891</v>
      </c>
      <c r="D16" s="94">
        <v>-3.0089999999999963</v>
      </c>
      <c r="E16" s="94">
        <v>13.724072101712224</v>
      </c>
      <c r="F16" s="94">
        <f t="shared" si="2"/>
        <v>10.715072101712227</v>
      </c>
      <c r="G16" s="94"/>
      <c r="H16" s="40">
        <f t="shared" si="3"/>
        <v>2.319061330483807</v>
      </c>
      <c r="I16" s="94">
        <v>11.754763181562106</v>
      </c>
      <c r="J16" s="94">
        <v>-3.3383043230730345</v>
      </c>
      <c r="K16" s="94">
        <v>3.0288080072024135</v>
      </c>
      <c r="L16" s="94">
        <f t="shared" si="4"/>
        <v>-0.30949631587062099</v>
      </c>
      <c r="N16" s="40">
        <f t="shared" si="5"/>
        <v>2.3679923975928441</v>
      </c>
      <c r="O16" s="94">
        <v>27.464527750604109</v>
      </c>
      <c r="P16" s="94">
        <v>1.036637643813106</v>
      </c>
      <c r="Q16" s="94">
        <v>7.242226228936425</v>
      </c>
      <c r="R16" s="94">
        <f t="shared" si="6"/>
        <v>8.2788638727495307</v>
      </c>
      <c r="S16" s="107"/>
      <c r="T16" s="40">
        <f t="shared" si="7"/>
        <v>2.9736241479119574</v>
      </c>
      <c r="U16" s="94">
        <v>10.141709067833677</v>
      </c>
      <c r="V16" s="94">
        <v>-0.70733332074006794</v>
      </c>
      <c r="W16" s="94">
        <v>3.4530378655733838</v>
      </c>
      <c r="X16" s="94">
        <f t="shared" si="8"/>
        <v>2.7457045448333157</v>
      </c>
      <c r="Y16" s="91" t="str">
        <f t="shared" si="0"/>
        <v>Wholesale and retail trade</v>
      </c>
      <c r="Z16" s="40">
        <f t="shared" si="9"/>
        <v>2.9998517165961136</v>
      </c>
      <c r="AA16" s="11">
        <v>14.421904529312432</v>
      </c>
      <c r="AB16" s="94">
        <v>-7.9946079548302407E-2</v>
      </c>
      <c r="AC16" s="94">
        <v>4.9596501612339017</v>
      </c>
      <c r="AD16" s="94">
        <f t="shared" si="10"/>
        <v>4.879704081685599</v>
      </c>
      <c r="AE16" s="94"/>
      <c r="AF16" s="40">
        <f t="shared" si="11"/>
        <v>2.9265331251565607</v>
      </c>
      <c r="AG16" s="94">
        <v>1.7446046239912303</v>
      </c>
      <c r="AH16" s="94">
        <v>-0.27919872461291689</v>
      </c>
      <c r="AI16" s="94">
        <v>0.58332831832535181</v>
      </c>
      <c r="AJ16" s="94">
        <f t="shared" si="12"/>
        <v>0.30412959371243492</v>
      </c>
      <c r="AL16" s="40">
        <f t="shared" si="13"/>
        <v>2.8733806306549425</v>
      </c>
      <c r="AM16" s="94">
        <v>5.4383562760409712</v>
      </c>
      <c r="AN16" s="94">
        <v>0.60778084248681408</v>
      </c>
      <c r="AO16" s="94">
        <v>1.780988355750744</v>
      </c>
      <c r="AP16" s="94">
        <f t="shared" si="14"/>
        <v>2.3887691982375578</v>
      </c>
      <c r="AQ16" s="107"/>
      <c r="AR16" s="40">
        <f t="shared" si="15"/>
        <v>3.111409774959073</v>
      </c>
      <c r="AS16" s="94">
        <v>7.2389436292802296</v>
      </c>
      <c r="AT16" s="94">
        <v>-0.40852819742219959</v>
      </c>
      <c r="AU16" s="94">
        <v>2.5953334871578053</v>
      </c>
      <c r="AV16" s="94">
        <f t="shared" si="16"/>
        <v>2.1868052897356058</v>
      </c>
      <c r="AW16" s="91" t="str">
        <f t="shared" si="17"/>
        <v>Wholesale and retail trade</v>
      </c>
      <c r="AX16" s="40">
        <f t="shared" si="18"/>
        <v>2.6838321004912791</v>
      </c>
      <c r="AY16" s="11">
        <v>4.7602092359720407</v>
      </c>
      <c r="AZ16" s="94">
        <v>-1.3205133909931142</v>
      </c>
      <c r="BA16" s="94">
        <v>1.4434326816980343</v>
      </c>
      <c r="BB16" s="94">
        <f t="shared" si="19"/>
        <v>0.12291929070492014</v>
      </c>
      <c r="BC16" s="94"/>
      <c r="BD16" s="40">
        <f t="shared" si="20"/>
        <v>2.6307138684356079</v>
      </c>
      <c r="BE16" s="94">
        <v>0.55533861181731692</v>
      </c>
      <c r="BF16" s="94">
        <v>-0.19194769411417067</v>
      </c>
      <c r="BG16" s="94">
        <v>0.16465951691361003</v>
      </c>
      <c r="BH16" s="94">
        <f t="shared" si="21"/>
        <v>-2.7288177200560648E-2</v>
      </c>
      <c r="BJ16" s="40">
        <f t="shared" si="22"/>
        <v>2.6257921936491346</v>
      </c>
      <c r="BK16" s="94">
        <v>2.4972687404973635</v>
      </c>
      <c r="BL16" s="94">
        <v>-0.56905832335257489</v>
      </c>
      <c r="BM16" s="94">
        <v>0.73889514198640793</v>
      </c>
      <c r="BN16" s="94">
        <f t="shared" si="23"/>
        <v>0.16983681863383304</v>
      </c>
      <c r="BO16" s="107"/>
      <c r="BP16" s="40">
        <f t="shared" si="24"/>
        <v>2.7852790413730899</v>
      </c>
      <c r="BQ16" s="94">
        <v>1.7076018836573603</v>
      </c>
      <c r="BR16" s="94">
        <v>-0.55950737352636859</v>
      </c>
      <c r="BS16" s="94">
        <v>0.53987802279801622</v>
      </c>
      <c r="BT16" s="94">
        <f t="shared" si="25"/>
        <v>-1.9629350728352368E-2</v>
      </c>
      <c r="BU16" s="91" t="str">
        <f t="shared" si="26"/>
        <v>Wholesale and retail trade</v>
      </c>
      <c r="BV16" s="40">
        <f t="shared" si="27"/>
        <v>2.1993314042800582</v>
      </c>
      <c r="BW16" s="11">
        <v>28.021593521784599</v>
      </c>
      <c r="BX16" s="94">
        <v>-1.4714034279099568</v>
      </c>
      <c r="BY16" s="94">
        <v>6.8100025319772302</v>
      </c>
      <c r="BZ16" s="94">
        <f t="shared" si="28"/>
        <v>5.3385991040672733</v>
      </c>
      <c r="CA16" s="94"/>
      <c r="CB16" s="40">
        <f t="shared" si="29"/>
        <v>2.1988160207137231</v>
      </c>
      <c r="CC16" s="94">
        <v>8.4984348827263929</v>
      </c>
      <c r="CD16" s="94">
        <v>-2.4130544809912187</v>
      </c>
      <c r="CE16" s="94">
        <v>2.0648160354020404</v>
      </c>
      <c r="CF16" s="94">
        <f t="shared" si="30"/>
        <v>-0.34823844558917827</v>
      </c>
      <c r="CH16" s="40">
        <f t="shared" si="31"/>
        <v>2.1891934571730776</v>
      </c>
      <c r="CI16" s="94">
        <v>18.363284813948471</v>
      </c>
      <c r="CJ16" s="94">
        <v>0.79472514229380931</v>
      </c>
      <c r="CK16" s="94">
        <v>4.4401403431475641</v>
      </c>
      <c r="CL16" s="94">
        <f t="shared" si="32"/>
        <v>5.2348654854413734</v>
      </c>
      <c r="CM16" s="107"/>
      <c r="CN16" s="40">
        <f t="shared" si="33"/>
        <v>2.3623659563032362</v>
      </c>
      <c r="CO16" s="94">
        <v>1.1598738251097345</v>
      </c>
      <c r="CP16" s="94">
        <v>0.14692591078745226</v>
      </c>
      <c r="CQ16" s="94">
        <v>0.30504615342762553</v>
      </c>
      <c r="CR16" s="94">
        <f t="shared" si="34"/>
        <v>0.4519720642150778</v>
      </c>
      <c r="CS16" s="91" t="str">
        <f t="shared" si="35"/>
        <v>Wholesale and retail trade</v>
      </c>
      <c r="CT16" s="40">
        <f t="shared" si="36"/>
        <v>2.1485540302156547</v>
      </c>
      <c r="CU16" s="11">
        <v>2.1572927129308224</v>
      </c>
      <c r="CV16" s="94">
        <v>-0.13713710154862277</v>
      </c>
      <c r="CW16" s="94">
        <v>0.51098672680305779</v>
      </c>
      <c r="CX16" s="94">
        <f t="shared" si="37"/>
        <v>0.37384962525443499</v>
      </c>
      <c r="CY16" s="94"/>
      <c r="CZ16" s="40">
        <f t="shared" si="38"/>
        <v>2.0572595476436195</v>
      </c>
      <c r="DA16" s="94">
        <v>0.95638506302716597</v>
      </c>
      <c r="DB16" s="94">
        <v>-0.4541034233547282</v>
      </c>
      <c r="DC16" s="94">
        <v>0.2160041365614109</v>
      </c>
      <c r="DD16" s="94">
        <f t="shared" si="39"/>
        <v>-0.23809928679331729</v>
      </c>
      <c r="DF16" s="40">
        <f t="shared" si="40"/>
        <v>2.1917519950891196</v>
      </c>
      <c r="DG16" s="94">
        <v>1.1656179201173043</v>
      </c>
      <c r="DH16" s="94">
        <v>0.20318998238505742</v>
      </c>
      <c r="DI16" s="94">
        <v>0.28220238805171</v>
      </c>
      <c r="DJ16" s="94">
        <f t="shared" si="41"/>
        <v>0.48539237043676742</v>
      </c>
      <c r="DK16" s="107"/>
      <c r="DL16" s="40">
        <f t="shared" si="42"/>
        <v>3.1389052752660129</v>
      </c>
      <c r="DM16" s="94">
        <v>3.5289729786351975E-2</v>
      </c>
      <c r="DN16" s="94">
        <v>0.11377633942104799</v>
      </c>
      <c r="DO16" s="94">
        <v>1.2780202189936939E-2</v>
      </c>
      <c r="DP16" s="94">
        <f t="shared" si="43"/>
        <v>0.12655654161098492</v>
      </c>
    </row>
    <row r="17" spans="1:120" x14ac:dyDescent="0.2">
      <c r="A17" s="91" t="str">
        <f>name!B13</f>
        <v>Transport and storage</v>
      </c>
      <c r="B17" s="40">
        <f t="shared" si="1"/>
        <v>2.5826643707438812</v>
      </c>
      <c r="C17" s="11">
        <v>92.525231401581493</v>
      </c>
      <c r="D17" s="94">
        <v>4.8062010655220337</v>
      </c>
      <c r="E17" s="94">
        <v>26.873559144521298</v>
      </c>
      <c r="F17" s="94">
        <f t="shared" si="2"/>
        <v>31.679760210043334</v>
      </c>
      <c r="G17" s="94"/>
      <c r="H17" s="40">
        <f t="shared" si="3"/>
        <v>2.4248789617356659</v>
      </c>
      <c r="I17" s="94">
        <v>21.198729637120138</v>
      </c>
      <c r="J17" s="94">
        <v>-6.0725510822499817</v>
      </c>
      <c r="K17" s="94">
        <v>5.7392133920891153</v>
      </c>
      <c r="L17" s="94">
        <f t="shared" si="4"/>
        <v>-0.33333769016086645</v>
      </c>
      <c r="N17" s="40">
        <f t="shared" si="5"/>
        <v>2.5234952437853897</v>
      </c>
      <c r="O17" s="94">
        <v>52.658868908190932</v>
      </c>
      <c r="P17" s="94">
        <v>7.0048539847493405</v>
      </c>
      <c r="Q17" s="94">
        <v>14.903608217095815</v>
      </c>
      <c r="R17" s="94">
        <f t="shared" si="6"/>
        <v>21.908462201845154</v>
      </c>
      <c r="S17" s="107"/>
      <c r="T17" s="40">
        <f t="shared" si="7"/>
        <v>2.9219882284781784</v>
      </c>
      <c r="U17" s="94">
        <v>18.667632856270426</v>
      </c>
      <c r="V17" s="94">
        <v>3.8738981630226754</v>
      </c>
      <c r="W17" s="94">
        <v>6.230737535336365</v>
      </c>
      <c r="X17" s="94">
        <f t="shared" si="8"/>
        <v>10.10463569835904</v>
      </c>
      <c r="Y17" s="91" t="str">
        <f t="shared" si="0"/>
        <v>Transport and storage</v>
      </c>
      <c r="Z17" s="40">
        <f t="shared" si="9"/>
        <v>2.9241425329038728</v>
      </c>
      <c r="AA17" s="11">
        <v>29.870782206299452</v>
      </c>
      <c r="AB17" s="94">
        <v>4.3408339188767497</v>
      </c>
      <c r="AC17" s="94">
        <v>9.9783777687739459</v>
      </c>
      <c r="AD17" s="94">
        <f t="shared" si="10"/>
        <v>14.319211687650697</v>
      </c>
      <c r="AE17" s="94"/>
      <c r="AF17" s="40">
        <f t="shared" si="11"/>
        <v>2.7318686124567781</v>
      </c>
      <c r="AG17" s="94">
        <v>3.8081615228264192</v>
      </c>
      <c r="AH17" s="94">
        <v>-0.6689481531577417</v>
      </c>
      <c r="AI17" s="94">
        <v>1.1780102671881654</v>
      </c>
      <c r="AJ17" s="94">
        <f t="shared" si="12"/>
        <v>0.50906211403042367</v>
      </c>
      <c r="AL17" s="40">
        <f t="shared" si="13"/>
        <v>2.8609218734994002</v>
      </c>
      <c r="AM17" s="94">
        <v>13.572153033741255</v>
      </c>
      <c r="AN17" s="94">
        <v>3.0025944902352135</v>
      </c>
      <c r="AO17" s="94">
        <v>4.4228892241268012</v>
      </c>
      <c r="AP17" s="94">
        <f t="shared" si="14"/>
        <v>7.4254837143620147</v>
      </c>
      <c r="AQ17" s="107"/>
      <c r="AR17" s="40">
        <f t="shared" si="15"/>
        <v>3.0500840000298179</v>
      </c>
      <c r="AS17" s="94">
        <v>12.490467649731778</v>
      </c>
      <c r="AT17" s="94">
        <v>2.0071875817992777</v>
      </c>
      <c r="AU17" s="94">
        <v>4.3774782774589784</v>
      </c>
      <c r="AV17" s="94">
        <f t="shared" si="16"/>
        <v>6.3846658592582557</v>
      </c>
      <c r="AW17" s="91" t="str">
        <f t="shared" si="17"/>
        <v>Transport and storage</v>
      </c>
      <c r="AX17" s="40">
        <f t="shared" si="18"/>
        <v>2.6816272634551552</v>
      </c>
      <c r="AY17" s="11">
        <v>8.998417639409773</v>
      </c>
      <c r="AZ17" s="94">
        <v>0.46368333377022369</v>
      </c>
      <c r="BA17" s="94">
        <v>2.7260618724368122</v>
      </c>
      <c r="BB17" s="94">
        <f t="shared" si="19"/>
        <v>3.1897452062070357</v>
      </c>
      <c r="BC17" s="94"/>
      <c r="BD17" s="40">
        <f t="shared" si="20"/>
        <v>2.6174041078364407</v>
      </c>
      <c r="BE17" s="94">
        <v>1.0668407233699537</v>
      </c>
      <c r="BF17" s="94">
        <v>3.2513509332090844E-2</v>
      </c>
      <c r="BG17" s="94">
        <v>0.31452866341566049</v>
      </c>
      <c r="BH17" s="94">
        <f t="shared" si="21"/>
        <v>0.34704217274775134</v>
      </c>
      <c r="BJ17" s="40">
        <f t="shared" si="22"/>
        <v>2.6363264722116364</v>
      </c>
      <c r="BK17" s="94">
        <v>4.9047319312804847</v>
      </c>
      <c r="BL17" s="94">
        <v>0.14017890795839225</v>
      </c>
      <c r="BM17" s="94">
        <v>1.4577457375951082</v>
      </c>
      <c r="BN17" s="94">
        <f t="shared" si="23"/>
        <v>1.5979246455535003</v>
      </c>
      <c r="BO17" s="107"/>
      <c r="BP17" s="40">
        <f t="shared" si="24"/>
        <v>2.7770599340433355</v>
      </c>
      <c r="BQ17" s="94">
        <v>3.0268449847593342</v>
      </c>
      <c r="BR17" s="94">
        <v>0.29099091647974057</v>
      </c>
      <c r="BS17" s="94">
        <v>0.95378747142604337</v>
      </c>
      <c r="BT17" s="94">
        <f t="shared" si="25"/>
        <v>1.2447783879057839</v>
      </c>
      <c r="BU17" s="91" t="str">
        <f t="shared" si="26"/>
        <v>Transport and storage</v>
      </c>
      <c r="BV17" s="40">
        <f t="shared" si="27"/>
        <v>2.3754907319287089</v>
      </c>
      <c r="BW17" s="11">
        <v>50.110811503507264</v>
      </c>
      <c r="BX17" s="94">
        <v>0.37983071614327241</v>
      </c>
      <c r="BY17" s="94">
        <v>13.260311196398852</v>
      </c>
      <c r="BZ17" s="94">
        <f t="shared" si="28"/>
        <v>13.640141912542125</v>
      </c>
      <c r="CA17" s="94"/>
      <c r="CB17" s="40">
        <f t="shared" si="29"/>
        <v>2.3338534370635156</v>
      </c>
      <c r="CC17" s="94">
        <v>14.74166253806875</v>
      </c>
      <c r="CD17" s="94">
        <v>-4.5191002676533572</v>
      </c>
      <c r="CE17" s="94">
        <v>3.8252523053004484</v>
      </c>
      <c r="CF17" s="94">
        <f t="shared" si="30"/>
        <v>-0.6938479623529088</v>
      </c>
      <c r="CH17" s="40">
        <f t="shared" si="31"/>
        <v>2.3772663395688065</v>
      </c>
      <c r="CI17" s="94">
        <v>32.323025931939064</v>
      </c>
      <c r="CJ17" s="94">
        <v>3.459835793309614</v>
      </c>
      <c r="CK17" s="94">
        <v>8.5604017208804635</v>
      </c>
      <c r="CL17" s="94">
        <f t="shared" si="32"/>
        <v>12.020237514190077</v>
      </c>
      <c r="CM17" s="107"/>
      <c r="CN17" s="40">
        <f t="shared" si="33"/>
        <v>2.5563381424586806</v>
      </c>
      <c r="CO17" s="94">
        <v>3.0461230334994571</v>
      </c>
      <c r="CP17" s="94">
        <v>1.4390951904870155</v>
      </c>
      <c r="CQ17" s="94">
        <v>0.87465717021794065</v>
      </c>
      <c r="CR17" s="94">
        <f t="shared" si="34"/>
        <v>2.3137523607049562</v>
      </c>
      <c r="CS17" s="91" t="str">
        <f t="shared" si="35"/>
        <v>Transport and storage</v>
      </c>
      <c r="CT17" s="40">
        <f t="shared" si="36"/>
        <v>2.3083258626595438</v>
      </c>
      <c r="CU17" s="11">
        <v>3.5452200523650017</v>
      </c>
      <c r="CV17" s="94">
        <v>-0.37814690326821171</v>
      </c>
      <c r="CW17" s="94">
        <v>0.90880830691168701</v>
      </c>
      <c r="CX17" s="94">
        <f t="shared" si="37"/>
        <v>0.53066140364347536</v>
      </c>
      <c r="CY17" s="94"/>
      <c r="CZ17" s="40">
        <f t="shared" si="38"/>
        <v>2.3896892286912941</v>
      </c>
      <c r="DA17" s="94">
        <v>1.5820648528550136</v>
      </c>
      <c r="DB17" s="94">
        <v>-0.91701617077097408</v>
      </c>
      <c r="DC17" s="94">
        <v>0.42142215618484119</v>
      </c>
      <c r="DD17" s="94">
        <f t="shared" si="39"/>
        <v>-0.49559401458613289</v>
      </c>
      <c r="DF17" s="40">
        <f t="shared" si="40"/>
        <v>2.2469738978732945</v>
      </c>
      <c r="DG17" s="94">
        <v>1.8589580112301323</v>
      </c>
      <c r="DH17" s="94">
        <v>0.40224479324612111</v>
      </c>
      <c r="DI17" s="94">
        <v>0.4625715344934439</v>
      </c>
      <c r="DJ17" s="94">
        <f t="shared" si="41"/>
        <v>0.86481632773956507</v>
      </c>
      <c r="DK17" s="107"/>
      <c r="DL17" s="40">
        <f t="shared" si="42"/>
        <v>2.1591674565122787</v>
      </c>
      <c r="DM17" s="94">
        <v>0.10419718827985559</v>
      </c>
      <c r="DN17" s="94">
        <v>0.13662447425664134</v>
      </c>
      <c r="DO17" s="94">
        <v>2.4814616233402073E-2</v>
      </c>
      <c r="DP17" s="94">
        <f t="shared" si="43"/>
        <v>0.1614390904900434</v>
      </c>
    </row>
    <row r="18" spans="1:120" x14ac:dyDescent="0.2">
      <c r="A18" s="91" t="str">
        <f>name!B14</f>
        <v>Accommodation and food</v>
      </c>
      <c r="B18" s="40">
        <f t="shared" si="1"/>
        <v>2.7290326750703198</v>
      </c>
      <c r="C18" s="11">
        <v>12.952999999999982</v>
      </c>
      <c r="D18" s="94">
        <v>0.38799999999999019</v>
      </c>
      <c r="E18" s="94">
        <v>4.0021779615326993</v>
      </c>
      <c r="F18" s="94">
        <f t="shared" si="2"/>
        <v>4.3901779615326895</v>
      </c>
      <c r="G18" s="94"/>
      <c r="H18" s="40">
        <f t="shared" si="3"/>
        <v>2.439043046528111</v>
      </c>
      <c r="I18" s="94">
        <v>0.98180011788807253</v>
      </c>
      <c r="J18" s="94">
        <v>-0.31823538887421476</v>
      </c>
      <c r="K18" s="94">
        <v>0.26753287063716108</v>
      </c>
      <c r="L18" s="94">
        <f t="shared" si="4"/>
        <v>-5.0702518237053684E-2</v>
      </c>
      <c r="N18" s="40">
        <f t="shared" si="5"/>
        <v>2.4753153877203893</v>
      </c>
      <c r="O18" s="94">
        <v>4.3897999117505364</v>
      </c>
      <c r="P18" s="94">
        <v>-3.3729018992914917E-3</v>
      </c>
      <c r="Q18" s="94">
        <v>1.2159970209281907</v>
      </c>
      <c r="R18" s="94">
        <f t="shared" si="6"/>
        <v>1.2126241190288993</v>
      </c>
      <c r="S18" s="107"/>
      <c r="T18" s="40">
        <f t="shared" si="7"/>
        <v>2.9099584906887133</v>
      </c>
      <c r="U18" s="94">
        <v>7.5813999703613737</v>
      </c>
      <c r="V18" s="94">
        <v>0.70960829077349641</v>
      </c>
      <c r="W18" s="94">
        <v>2.5186480699673486</v>
      </c>
      <c r="X18" s="94">
        <f t="shared" si="8"/>
        <v>3.2282563607408452</v>
      </c>
      <c r="Y18" s="91" t="str">
        <f t="shared" si="0"/>
        <v>Accommodation and food</v>
      </c>
      <c r="Z18" s="40">
        <f t="shared" si="9"/>
        <v>2.9001988046052141</v>
      </c>
      <c r="AA18" s="11">
        <v>8.41715005869405</v>
      </c>
      <c r="AB18" s="94">
        <v>1.2401845545007941</v>
      </c>
      <c r="AC18" s="94">
        <v>2.7856660704349108</v>
      </c>
      <c r="AD18" s="94">
        <f t="shared" si="10"/>
        <v>4.0258506249357051</v>
      </c>
      <c r="AE18" s="94"/>
      <c r="AF18" s="40">
        <f t="shared" si="11"/>
        <v>2.6294544068126147</v>
      </c>
      <c r="AG18" s="94">
        <v>0.26152951231038224</v>
      </c>
      <c r="AH18" s="94">
        <v>-4.5405475739936016E-2</v>
      </c>
      <c r="AI18" s="94">
        <v>7.7502654523601097E-2</v>
      </c>
      <c r="AJ18" s="94">
        <f t="shared" si="12"/>
        <v>3.2097178783665081E-2</v>
      </c>
      <c r="AL18" s="40">
        <f t="shared" si="13"/>
        <v>2.7712915947119443</v>
      </c>
      <c r="AM18" s="94">
        <v>1.603753842229815</v>
      </c>
      <c r="AN18" s="94">
        <v>0.37014463186933377</v>
      </c>
      <c r="AO18" s="94">
        <v>0.50417456272407901</v>
      </c>
      <c r="AP18" s="94">
        <f t="shared" si="14"/>
        <v>0.87431919459341279</v>
      </c>
      <c r="AQ18" s="107"/>
      <c r="AR18" s="40">
        <f t="shared" si="15"/>
        <v>2.9421782199993585</v>
      </c>
      <c r="AS18" s="94">
        <v>6.5518667041538512</v>
      </c>
      <c r="AT18" s="94">
        <v>0.91544539837139627</v>
      </c>
      <c r="AU18" s="94">
        <v>2.2039888531872305</v>
      </c>
      <c r="AV18" s="94">
        <f t="shared" si="16"/>
        <v>3.1194342515586269</v>
      </c>
      <c r="AW18" s="91" t="str">
        <f t="shared" si="17"/>
        <v>Accommodation and food</v>
      </c>
      <c r="AX18" s="40">
        <f t="shared" si="18"/>
        <v>2.6824624047876666</v>
      </c>
      <c r="AY18" s="11">
        <v>1.5529698962248977</v>
      </c>
      <c r="AZ18" s="94">
        <v>-0.46999464299830562</v>
      </c>
      <c r="BA18" s="94">
        <v>0.47063529840578655</v>
      </c>
      <c r="BB18" s="94">
        <f t="shared" si="19"/>
        <v>6.4065540748092786E-4</v>
      </c>
      <c r="BC18" s="94"/>
      <c r="BD18" s="40">
        <f t="shared" si="20"/>
        <v>2.5523204536911814</v>
      </c>
      <c r="BE18" s="94">
        <v>0.13614442022126955</v>
      </c>
      <c r="BF18" s="94">
        <v>-6.3296157131409597E-2</v>
      </c>
      <c r="BG18" s="94">
        <v>3.9023576340022549E-2</v>
      </c>
      <c r="BH18" s="94">
        <f t="shared" si="21"/>
        <v>-2.4272580791387048E-2</v>
      </c>
      <c r="BJ18" s="40">
        <f t="shared" si="22"/>
        <v>2.6286177015529599</v>
      </c>
      <c r="BK18" s="94">
        <v>0.68908932411816504</v>
      </c>
      <c r="BL18" s="94">
        <v>-0.20218556619821521</v>
      </c>
      <c r="BM18" s="94">
        <v>0.20413453714844726</v>
      </c>
      <c r="BN18" s="94">
        <f t="shared" si="23"/>
        <v>1.948970950232054E-3</v>
      </c>
      <c r="BO18" s="107"/>
      <c r="BP18" s="40">
        <f t="shared" si="24"/>
        <v>2.7572901368161595</v>
      </c>
      <c r="BQ18" s="94">
        <v>0.72773615188546292</v>
      </c>
      <c r="BR18" s="94">
        <v>-0.20451291966868082</v>
      </c>
      <c r="BS18" s="94">
        <v>0.22747718491731678</v>
      </c>
      <c r="BT18" s="94">
        <f t="shared" si="25"/>
        <v>2.2964265248635957E-2</v>
      </c>
      <c r="BU18" s="91" t="str">
        <f t="shared" si="26"/>
        <v>Accommodation and food</v>
      </c>
      <c r="BV18" s="40">
        <f t="shared" si="27"/>
        <v>2.2597619936791435</v>
      </c>
      <c r="BW18" s="11">
        <v>2.763662773835291</v>
      </c>
      <c r="BX18" s="94">
        <v>-0.23042163432403942</v>
      </c>
      <c r="BY18" s="94">
        <v>0.69201169643440363</v>
      </c>
      <c r="BZ18" s="94">
        <f t="shared" si="28"/>
        <v>0.46159006211036424</v>
      </c>
      <c r="CA18" s="94"/>
      <c r="CB18" s="40">
        <f t="shared" si="29"/>
        <v>2.2744187655870496</v>
      </c>
      <c r="CC18" s="94">
        <v>0.53420672462394658</v>
      </c>
      <c r="CD18" s="94">
        <v>-0.18314245506199275</v>
      </c>
      <c r="CE18" s="94">
        <v>0.13472154653176011</v>
      </c>
      <c r="CF18" s="94">
        <f t="shared" si="30"/>
        <v>-4.8420908530232648E-2</v>
      </c>
      <c r="CH18" s="40">
        <f t="shared" si="31"/>
        <v>2.2063029939758838</v>
      </c>
      <c r="CI18" s="94">
        <v>1.9276589348892854</v>
      </c>
      <c r="CJ18" s="94">
        <v>-4.5954991332827419E-2</v>
      </c>
      <c r="CK18" s="94">
        <v>0.47010811803984248</v>
      </c>
      <c r="CL18" s="94">
        <f t="shared" si="32"/>
        <v>0.42415312670701505</v>
      </c>
      <c r="CM18" s="107"/>
      <c r="CN18" s="40">
        <f t="shared" si="33"/>
        <v>2.5701813988873834</v>
      </c>
      <c r="CO18" s="94">
        <v>0.30179711432205908</v>
      </c>
      <c r="CP18" s="94">
        <v>-1.3241879292192368E-3</v>
      </c>
      <c r="CQ18" s="94">
        <v>8.7182031862801102E-2</v>
      </c>
      <c r="CR18" s="94">
        <f t="shared" si="34"/>
        <v>8.5857843933581868E-2</v>
      </c>
      <c r="CS18" s="91" t="str">
        <f t="shared" si="35"/>
        <v>Accommodation and food</v>
      </c>
      <c r="CT18" s="40">
        <f t="shared" si="36"/>
        <v>2.2214077027330692</v>
      </c>
      <c r="CU18" s="11">
        <v>0.21921727124574525</v>
      </c>
      <c r="CV18" s="94">
        <v>-0.15176827717845895</v>
      </c>
      <c r="CW18" s="94">
        <v>5.386489625759925E-2</v>
      </c>
      <c r="CX18" s="94">
        <f t="shared" si="37"/>
        <v>-9.7903380920859706E-2</v>
      </c>
      <c r="CY18" s="94"/>
      <c r="CZ18" s="40">
        <f t="shared" si="38"/>
        <v>2.8636185424038896</v>
      </c>
      <c r="DA18" s="94">
        <v>4.9919460732474302E-2</v>
      </c>
      <c r="DB18" s="94">
        <v>-2.6391300940876338E-2</v>
      </c>
      <c r="DC18" s="94">
        <v>1.6285093241777283E-2</v>
      </c>
      <c r="DD18" s="94">
        <f t="shared" si="39"/>
        <v>-1.0106207699099055E-2</v>
      </c>
      <c r="DF18" s="40">
        <f t="shared" si="40"/>
        <v>2.0249088908695478</v>
      </c>
      <c r="DG18" s="94">
        <v>0.16929781051327095</v>
      </c>
      <c r="DH18" s="94">
        <v>-0.12537697623758262</v>
      </c>
      <c r="DI18" s="94">
        <v>3.7579803015821964E-2</v>
      </c>
      <c r="DJ18" s="94">
        <f t="shared" si="41"/>
        <v>-8.7797173221760658E-2</v>
      </c>
      <c r="DK18" s="107"/>
      <c r="DL18" s="40">
        <f t="shared" si="42"/>
        <v>0</v>
      </c>
      <c r="DM18" s="94">
        <v>0</v>
      </c>
      <c r="DN18" s="94">
        <v>0</v>
      </c>
      <c r="DO18" s="94">
        <v>0</v>
      </c>
      <c r="DP18" s="94">
        <f t="shared" si="43"/>
        <v>0</v>
      </c>
    </row>
    <row r="19" spans="1:120" x14ac:dyDescent="0.2">
      <c r="A19" s="91" t="str">
        <f>name!B15</f>
        <v>Media</v>
      </c>
      <c r="B19" s="40">
        <f t="shared" si="1"/>
        <v>2.650879874909351</v>
      </c>
      <c r="C19" s="11">
        <v>16.661999999999964</v>
      </c>
      <c r="D19" s="94">
        <v>-1.8919999999999957</v>
      </c>
      <c r="E19" s="94">
        <v>4.9828157385534926</v>
      </c>
      <c r="F19" s="94">
        <f t="shared" si="2"/>
        <v>3.0908157385534967</v>
      </c>
      <c r="G19" s="94"/>
      <c r="H19" s="40">
        <f t="shared" si="3"/>
        <v>2.421853726448564</v>
      </c>
      <c r="I19" s="94">
        <v>1.9434405643167627</v>
      </c>
      <c r="J19" s="94">
        <v>-0.90855133713639524</v>
      </c>
      <c r="K19" s="94">
        <v>0.52542579270375545</v>
      </c>
      <c r="L19" s="94">
        <f t="shared" si="4"/>
        <v>-0.3831255444326398</v>
      </c>
      <c r="N19" s="40">
        <f t="shared" si="5"/>
        <v>2.4061732586688978</v>
      </c>
      <c r="O19" s="94">
        <v>7.733476770699653</v>
      </c>
      <c r="P19" s="94">
        <v>-1.0294803032346584</v>
      </c>
      <c r="Q19" s="94">
        <v>2.0757813219951484</v>
      </c>
      <c r="R19" s="94">
        <f t="shared" si="6"/>
        <v>1.04630101876049</v>
      </c>
      <c r="S19" s="107"/>
      <c r="T19" s="40">
        <f t="shared" si="7"/>
        <v>2.9772916903296753</v>
      </c>
      <c r="U19" s="94">
        <v>6.9850826649835493</v>
      </c>
      <c r="V19" s="94">
        <v>4.6031640371057968E-2</v>
      </c>
      <c r="W19" s="94">
        <v>2.3816086238545888</v>
      </c>
      <c r="X19" s="94">
        <f t="shared" si="8"/>
        <v>2.4276402642256469</v>
      </c>
      <c r="Y19" s="91" t="str">
        <f t="shared" si="0"/>
        <v>Media</v>
      </c>
      <c r="Z19" s="40">
        <f t="shared" si="9"/>
        <v>2.9185657815322896</v>
      </c>
      <c r="AA19" s="11">
        <v>8.3794062941985281</v>
      </c>
      <c r="AB19" s="94">
        <v>-0.17587640052692693</v>
      </c>
      <c r="AC19" s="94">
        <v>2.7930973117040807</v>
      </c>
      <c r="AD19" s="94">
        <f t="shared" si="10"/>
        <v>2.6172209111771538</v>
      </c>
      <c r="AE19" s="94"/>
      <c r="AF19" s="40">
        <f t="shared" si="11"/>
        <v>2.7459576371490213</v>
      </c>
      <c r="AG19" s="94">
        <v>0.31243496317011898</v>
      </c>
      <c r="AH19" s="94">
        <v>-0.10738960201360218</v>
      </c>
      <c r="AI19" s="94">
        <v>9.7209482795084096E-2</v>
      </c>
      <c r="AJ19" s="94">
        <f t="shared" si="12"/>
        <v>-1.018011921851808E-2</v>
      </c>
      <c r="AL19" s="40">
        <f t="shared" si="13"/>
        <v>2.6372520747176109</v>
      </c>
      <c r="AM19" s="94">
        <v>2.000766979672798</v>
      </c>
      <c r="AN19" s="94">
        <v>-0.14537129206384908</v>
      </c>
      <c r="AO19" s="94">
        <v>0.59488625177063192</v>
      </c>
      <c r="AP19" s="94">
        <f t="shared" si="14"/>
        <v>0.44951495970678285</v>
      </c>
      <c r="AQ19" s="107"/>
      <c r="AR19" s="40">
        <f t="shared" si="15"/>
        <v>3.0186007978292295</v>
      </c>
      <c r="AS19" s="94">
        <v>6.0662043513556112</v>
      </c>
      <c r="AT19" s="94">
        <v>7.6884493550524291E-2</v>
      </c>
      <c r="AU19" s="94">
        <v>2.1010015771383648</v>
      </c>
      <c r="AV19" s="94">
        <f t="shared" si="16"/>
        <v>2.177886070688889</v>
      </c>
      <c r="AW19" s="91" t="str">
        <f t="shared" si="17"/>
        <v>Media</v>
      </c>
      <c r="AX19" s="40">
        <f t="shared" si="18"/>
        <v>2.6651859485115947</v>
      </c>
      <c r="AY19" s="11">
        <v>1.664971822536162</v>
      </c>
      <c r="AZ19" s="94">
        <v>-0.7022088254799439</v>
      </c>
      <c r="BA19" s="94">
        <v>0.50093050963156127</v>
      </c>
      <c r="BB19" s="94">
        <f t="shared" si="19"/>
        <v>-0.20127831584838263</v>
      </c>
      <c r="BC19" s="94"/>
      <c r="BD19" s="40">
        <f t="shared" si="20"/>
        <v>2.581820000482149</v>
      </c>
      <c r="BE19" s="94">
        <v>0.26372544688368038</v>
      </c>
      <c r="BF19" s="94">
        <v>-0.10831956062703628</v>
      </c>
      <c r="BG19" s="94">
        <v>7.6569920735424277E-2</v>
      </c>
      <c r="BH19" s="94">
        <f t="shared" si="21"/>
        <v>-3.1749639891612003E-2</v>
      </c>
      <c r="BJ19" s="40">
        <f t="shared" si="22"/>
        <v>2.6382225672916038</v>
      </c>
      <c r="BK19" s="94">
        <v>0.90622693590093328</v>
      </c>
      <c r="BL19" s="94">
        <v>-0.31112932759164502</v>
      </c>
      <c r="BM19" s="94">
        <v>0.26955881347514621</v>
      </c>
      <c r="BN19" s="94">
        <f t="shared" si="23"/>
        <v>-4.1570514116498813E-2</v>
      </c>
      <c r="BO19" s="107"/>
      <c r="BP19" s="40">
        <f t="shared" si="24"/>
        <v>2.7583597057282416</v>
      </c>
      <c r="BQ19" s="94">
        <v>0.4950194397515485</v>
      </c>
      <c r="BR19" s="94">
        <v>-0.28275993726126269</v>
      </c>
      <c r="BS19" s="94">
        <v>0.15480177542099077</v>
      </c>
      <c r="BT19" s="94">
        <f t="shared" si="25"/>
        <v>-0.12795816184027192</v>
      </c>
      <c r="BU19" s="91" t="str">
        <f t="shared" si="26"/>
        <v>Media</v>
      </c>
      <c r="BV19" s="40">
        <f t="shared" si="27"/>
        <v>2.301250253200271</v>
      </c>
      <c r="BW19" s="11">
        <v>5.9165033698801821</v>
      </c>
      <c r="BX19" s="94">
        <v>-1.0278366832146471</v>
      </c>
      <c r="BY19" s="94">
        <v>1.5115416978807021</v>
      </c>
      <c r="BZ19" s="94">
        <f t="shared" si="28"/>
        <v>0.48370501466605509</v>
      </c>
      <c r="CA19" s="94"/>
      <c r="CB19" s="40">
        <f t="shared" si="29"/>
        <v>2.3115008885774335</v>
      </c>
      <c r="CC19" s="94">
        <v>1.2498018824231734</v>
      </c>
      <c r="CD19" s="94">
        <v>-0.61465964280907215</v>
      </c>
      <c r="CE19" s="94">
        <v>0.32087094919664594</v>
      </c>
      <c r="CF19" s="94">
        <f t="shared" si="30"/>
        <v>-0.29378869361242621</v>
      </c>
      <c r="CH19" s="40">
        <f t="shared" si="31"/>
        <v>2.2668844506140928</v>
      </c>
      <c r="CI19" s="94">
        <v>4.2539717403366248</v>
      </c>
      <c r="CJ19" s="94">
        <v>-0.61145217832122922</v>
      </c>
      <c r="CK19" s="94">
        <v>1.0688859433031883</v>
      </c>
      <c r="CL19" s="94">
        <f t="shared" si="32"/>
        <v>0.45743376498195909</v>
      </c>
      <c r="CM19" s="107"/>
      <c r="CN19" s="40">
        <f t="shared" si="33"/>
        <v>2.6193775887513038</v>
      </c>
      <c r="CO19" s="94">
        <v>0.41272974712038374</v>
      </c>
      <c r="CP19" s="94">
        <v>0.19827513791565432</v>
      </c>
      <c r="CQ19" s="94">
        <v>0.12178480538086794</v>
      </c>
      <c r="CR19" s="94">
        <f t="shared" si="34"/>
        <v>0.32005994329652226</v>
      </c>
      <c r="CS19" s="91" t="str">
        <f t="shared" si="35"/>
        <v>Media</v>
      </c>
      <c r="CT19" s="40">
        <f t="shared" si="36"/>
        <v>2.2794409399427673</v>
      </c>
      <c r="CU19" s="11">
        <v>0.70111851338509235</v>
      </c>
      <c r="CV19" s="94">
        <v>1.3921909221522149E-2</v>
      </c>
      <c r="CW19" s="94">
        <v>0.17724621933714907</v>
      </c>
      <c r="CX19" s="94">
        <f t="shared" si="37"/>
        <v>0.19116812855867121</v>
      </c>
      <c r="CY19" s="94"/>
      <c r="CZ19" s="40">
        <f t="shared" si="38"/>
        <v>2.3539960057005649</v>
      </c>
      <c r="DA19" s="94">
        <v>0.11747827183979</v>
      </c>
      <c r="DB19" s="94">
        <v>-7.8182531686684584E-2</v>
      </c>
      <c r="DC19" s="94">
        <v>3.0775439976601052E-2</v>
      </c>
      <c r="DD19" s="94">
        <f t="shared" si="39"/>
        <v>-4.7407091710083532E-2</v>
      </c>
      <c r="DF19" s="40">
        <f t="shared" si="40"/>
        <v>2.2468339355165234</v>
      </c>
      <c r="DG19" s="94">
        <v>0.57251111478929684</v>
      </c>
      <c r="DH19" s="94">
        <v>3.8472494742064697E-2</v>
      </c>
      <c r="DI19" s="94">
        <v>0.14245031344618231</v>
      </c>
      <c r="DJ19" s="94">
        <f t="shared" si="41"/>
        <v>0.18092280818824702</v>
      </c>
      <c r="DK19" s="107"/>
      <c r="DL19" s="40">
        <f t="shared" si="42"/>
        <v>3.132129843378717</v>
      </c>
      <c r="DM19" s="94">
        <v>1.1129126756005558E-2</v>
      </c>
      <c r="DN19" s="94">
        <v>5.3631946166142037E-2</v>
      </c>
      <c r="DO19" s="94">
        <v>4.0204659143656838E-3</v>
      </c>
      <c r="DP19" s="94">
        <f t="shared" si="43"/>
        <v>5.7652412080507719E-2</v>
      </c>
    </row>
    <row r="20" spans="1:120" x14ac:dyDescent="0.2">
      <c r="A20" s="91" t="str">
        <f>name!B16</f>
        <v>Information technology</v>
      </c>
      <c r="B20" s="40">
        <f t="shared" si="1"/>
        <v>2.630000270050048</v>
      </c>
      <c r="C20" s="11">
        <v>34.601999999999876</v>
      </c>
      <c r="D20" s="94">
        <v>-3.8549999999999471</v>
      </c>
      <c r="E20" s="94">
        <v>10.256474686233423</v>
      </c>
      <c r="F20" s="94">
        <f t="shared" si="2"/>
        <v>6.4014746862334757</v>
      </c>
      <c r="G20" s="94"/>
      <c r="H20" s="40">
        <f t="shared" si="3"/>
        <v>2.4896239324975644</v>
      </c>
      <c r="I20" s="94">
        <v>6.3842523172142389</v>
      </c>
      <c r="J20" s="94">
        <v>-1.3027470433857931</v>
      </c>
      <c r="K20" s="94">
        <v>1.7798612708286927</v>
      </c>
      <c r="L20" s="94">
        <f t="shared" si="4"/>
        <v>0.47711422744289966</v>
      </c>
      <c r="N20" s="40">
        <f t="shared" si="5"/>
        <v>2.5461854565335118</v>
      </c>
      <c r="O20" s="94">
        <v>18.08880807286123</v>
      </c>
      <c r="P20" s="94">
        <v>-2.1012037936311048</v>
      </c>
      <c r="Q20" s="94">
        <v>5.1709423641740262</v>
      </c>
      <c r="R20" s="94">
        <f t="shared" si="6"/>
        <v>3.0697385705429214</v>
      </c>
      <c r="S20" s="107"/>
      <c r="T20" s="40">
        <f t="shared" si="7"/>
        <v>2.8646399549337564</v>
      </c>
      <c r="U20" s="94">
        <v>10.128939609924409</v>
      </c>
      <c r="V20" s="94">
        <v>-0.45104916298304948</v>
      </c>
      <c r="W20" s="94">
        <v>3.3056710512307044</v>
      </c>
      <c r="X20" s="94">
        <f t="shared" si="8"/>
        <v>2.8546218882476548</v>
      </c>
      <c r="Y20" s="91" t="str">
        <f t="shared" si="0"/>
        <v>Information technology</v>
      </c>
      <c r="Z20" s="40">
        <f t="shared" si="9"/>
        <v>2.8552821094793401</v>
      </c>
      <c r="AA20" s="11">
        <v>13.953182859548033</v>
      </c>
      <c r="AB20" s="94">
        <v>-1.67980428374619</v>
      </c>
      <c r="AC20" s="94">
        <v>4.5369181113981396</v>
      </c>
      <c r="AD20" s="94">
        <f t="shared" si="10"/>
        <v>2.8571138276519497</v>
      </c>
      <c r="AE20" s="94"/>
      <c r="AF20" s="40">
        <f t="shared" si="11"/>
        <v>2.798663449076022</v>
      </c>
      <c r="AG20" s="94">
        <v>1.2847958755225881</v>
      </c>
      <c r="AH20" s="94">
        <v>-0.12384047360641834</v>
      </c>
      <c r="AI20" s="94">
        <v>0.40840629030865233</v>
      </c>
      <c r="AJ20" s="94">
        <f t="shared" si="12"/>
        <v>0.28456581670223402</v>
      </c>
      <c r="AL20" s="40">
        <f t="shared" si="13"/>
        <v>2.7559320611477256</v>
      </c>
      <c r="AM20" s="94">
        <v>4.8268191334861674</v>
      </c>
      <c r="AN20" s="94">
        <v>-0.57107107367591969</v>
      </c>
      <c r="AO20" s="94">
        <v>1.5079392492593697</v>
      </c>
      <c r="AP20" s="94">
        <f t="shared" si="14"/>
        <v>0.93686817558345004</v>
      </c>
      <c r="AQ20" s="107"/>
      <c r="AR20" s="40">
        <f t="shared" si="15"/>
        <v>2.9252105333952505</v>
      </c>
      <c r="AS20" s="94">
        <v>7.8415678505392767</v>
      </c>
      <c r="AT20" s="94">
        <v>-0.98489273646385189</v>
      </c>
      <c r="AU20" s="94">
        <v>2.6205725718301167</v>
      </c>
      <c r="AV20" s="94">
        <f t="shared" si="16"/>
        <v>1.6356798353662647</v>
      </c>
      <c r="AW20" s="91" t="str">
        <f t="shared" si="17"/>
        <v>Information technology</v>
      </c>
      <c r="AX20" s="40">
        <f t="shared" si="18"/>
        <v>2.6748514920266198</v>
      </c>
      <c r="AY20" s="11">
        <v>4.2099312351777032</v>
      </c>
      <c r="AZ20" s="94">
        <v>-0.56161412539516631</v>
      </c>
      <c r="BA20" s="94">
        <v>1.2717759825285015</v>
      </c>
      <c r="BB20" s="94">
        <f t="shared" si="19"/>
        <v>0.71016185713333524</v>
      </c>
      <c r="BC20" s="94"/>
      <c r="BD20" s="40">
        <f t="shared" si="20"/>
        <v>2.5994582145060452</v>
      </c>
      <c r="BE20" s="94">
        <v>0.53565838194452042</v>
      </c>
      <c r="BF20" s="94">
        <v>-7.8618004194655866E-2</v>
      </c>
      <c r="BG20" s="94">
        <v>0.15671215650903289</v>
      </c>
      <c r="BH20" s="94">
        <f t="shared" si="21"/>
        <v>7.8094152314377024E-2</v>
      </c>
      <c r="BJ20" s="40">
        <f t="shared" si="22"/>
        <v>2.6483527756445246</v>
      </c>
      <c r="BK20" s="94">
        <v>2.2560634885597532</v>
      </c>
      <c r="BL20" s="94">
        <v>-0.30542322205299727</v>
      </c>
      <c r="BM20" s="94">
        <v>0.67396040804007895</v>
      </c>
      <c r="BN20" s="94">
        <f t="shared" si="23"/>
        <v>0.36853718598708168</v>
      </c>
      <c r="BO20" s="107"/>
      <c r="BP20" s="40">
        <f t="shared" si="24"/>
        <v>2.7451216362557762</v>
      </c>
      <c r="BQ20" s="94">
        <v>1.4182093646734297</v>
      </c>
      <c r="BR20" s="94">
        <v>-0.17757289914751315</v>
      </c>
      <c r="BS20" s="94">
        <v>0.44110341797938962</v>
      </c>
      <c r="BT20" s="94">
        <f t="shared" si="25"/>
        <v>0.2635305188318765</v>
      </c>
      <c r="BU20" s="91" t="str">
        <f t="shared" si="26"/>
        <v>Information technology</v>
      </c>
      <c r="BV20" s="40">
        <f t="shared" si="27"/>
        <v>2.4242377604531073</v>
      </c>
      <c r="BW20" s="11">
        <v>15.223628532016798</v>
      </c>
      <c r="BX20" s="94">
        <v>-1.9724996964398605</v>
      </c>
      <c r="BY20" s="94">
        <v>4.1203403348407761</v>
      </c>
      <c r="BZ20" s="94">
        <f t="shared" si="28"/>
        <v>2.1478406384009157</v>
      </c>
      <c r="CA20" s="94"/>
      <c r="CB20" s="40">
        <f t="shared" si="29"/>
        <v>2.4043230891266143</v>
      </c>
      <c r="CC20" s="94">
        <v>4.0549670831540263</v>
      </c>
      <c r="CD20" s="94">
        <v>-0.87521384736118646</v>
      </c>
      <c r="CE20" s="94">
        <v>1.0874848929554206</v>
      </c>
      <c r="CF20" s="94">
        <f t="shared" si="30"/>
        <v>0.21227104559423415</v>
      </c>
      <c r="CH20" s="40">
        <f t="shared" si="31"/>
        <v>2.4287404250380895</v>
      </c>
      <c r="CI20" s="94">
        <v>10.383652468950638</v>
      </c>
      <c r="CJ20" s="94">
        <v>-1.3016002996443403</v>
      </c>
      <c r="CK20" s="94">
        <v>2.8161814283025186</v>
      </c>
      <c r="CL20" s="94">
        <f t="shared" si="32"/>
        <v>1.5145811286581783</v>
      </c>
      <c r="CM20" s="107"/>
      <c r="CN20" s="40">
        <f t="shared" si="33"/>
        <v>2.4673648385086233</v>
      </c>
      <c r="CO20" s="94">
        <v>0.78500897991213381</v>
      </c>
      <c r="CP20" s="94">
        <v>0.20431445056566661</v>
      </c>
      <c r="CQ20" s="94">
        <v>0.21667401358283661</v>
      </c>
      <c r="CR20" s="94">
        <f t="shared" si="34"/>
        <v>0.42098846414850322</v>
      </c>
      <c r="CS20" s="91" t="str">
        <f t="shared" si="35"/>
        <v>Information technology</v>
      </c>
      <c r="CT20" s="40">
        <f t="shared" si="36"/>
        <v>2.4144541847002987</v>
      </c>
      <c r="CU20" s="11">
        <v>1.2152573732573435</v>
      </c>
      <c r="CV20" s="94">
        <v>0.35891810558126896</v>
      </c>
      <c r="CW20" s="94">
        <v>0.32744025746600702</v>
      </c>
      <c r="CX20" s="94">
        <f t="shared" si="37"/>
        <v>0.68635836304727604</v>
      </c>
      <c r="CY20" s="94"/>
      <c r="CZ20" s="40">
        <f t="shared" si="38"/>
        <v>2.2573250871402939</v>
      </c>
      <c r="DA20" s="94">
        <v>0.50883097659310417</v>
      </c>
      <c r="DB20" s="94">
        <v>-0.22507471822353237</v>
      </c>
      <c r="DC20" s="94">
        <v>0.12725793105558686</v>
      </c>
      <c r="DD20" s="94">
        <f t="shared" si="39"/>
        <v>-9.7816787167945507E-2</v>
      </c>
      <c r="DF20" s="40">
        <f t="shared" si="40"/>
        <v>2.4816129596337833</v>
      </c>
      <c r="DG20" s="94">
        <v>0.62227298186467062</v>
      </c>
      <c r="DH20" s="94">
        <v>7.6890801742152348E-2</v>
      </c>
      <c r="DI20" s="94">
        <v>0.1728612785720591</v>
      </c>
      <c r="DJ20" s="94">
        <f t="shared" si="41"/>
        <v>0.24975208031421145</v>
      </c>
      <c r="DK20" s="107"/>
      <c r="DL20" s="40">
        <f t="shared" si="42"/>
        <v>2.8514371248256065</v>
      </c>
      <c r="DM20" s="94">
        <v>8.4153414799568824E-2</v>
      </c>
      <c r="DN20" s="94">
        <v>0.50710202206264898</v>
      </c>
      <c r="DO20" s="94">
        <v>2.7321047838361107E-2</v>
      </c>
      <c r="DP20" s="94">
        <f t="shared" si="43"/>
        <v>0.53442306990101007</v>
      </c>
    </row>
    <row r="21" spans="1:120" x14ac:dyDescent="0.2">
      <c r="A21" s="91" t="str">
        <f>name!B17</f>
        <v>Finance and insurance</v>
      </c>
      <c r="B21" s="40">
        <f t="shared" si="1"/>
        <v>2.4812804219719098</v>
      </c>
      <c r="C21" s="11">
        <v>33.322999999999901</v>
      </c>
      <c r="D21" s="94">
        <v>-3.4569999999999741</v>
      </c>
      <c r="E21" s="94">
        <v>9.2554181233713848</v>
      </c>
      <c r="F21" s="94">
        <f t="shared" si="2"/>
        <v>5.7984181233714107</v>
      </c>
      <c r="G21" s="94"/>
      <c r="H21" s="40">
        <f t="shared" si="3"/>
        <v>2.3436986854765918</v>
      </c>
      <c r="I21" s="94">
        <v>7.7779668974735596</v>
      </c>
      <c r="J21" s="94">
        <v>-2.1913610207501648</v>
      </c>
      <c r="K21" s="94">
        <v>2.0277008362964004</v>
      </c>
      <c r="L21" s="94">
        <f t="shared" si="4"/>
        <v>-0.1636601844537644</v>
      </c>
      <c r="N21" s="40">
        <f t="shared" si="5"/>
        <v>2.3961637037624106</v>
      </c>
      <c r="O21" s="94">
        <v>18.946833896500934</v>
      </c>
      <c r="P21" s="94">
        <v>-1.9125527829377933</v>
      </c>
      <c r="Q21" s="94">
        <v>5.0621349318084921</v>
      </c>
      <c r="R21" s="94">
        <f t="shared" si="6"/>
        <v>3.1495821488706985</v>
      </c>
      <c r="S21" s="107"/>
      <c r="T21" s="40">
        <f t="shared" si="7"/>
        <v>2.878971077935244</v>
      </c>
      <c r="U21" s="94">
        <v>6.5981992060254084</v>
      </c>
      <c r="V21" s="94">
        <v>0.64691380368798412</v>
      </c>
      <c r="W21" s="94">
        <v>2.1655823552664915</v>
      </c>
      <c r="X21" s="94">
        <f t="shared" si="8"/>
        <v>2.8124961589544757</v>
      </c>
      <c r="Y21" s="91" t="str">
        <f t="shared" si="0"/>
        <v>Finance and insurance</v>
      </c>
      <c r="Z21" s="40">
        <f t="shared" si="9"/>
        <v>2.798959749955654</v>
      </c>
      <c r="AA21" s="11">
        <v>12.270868694716109</v>
      </c>
      <c r="AB21" s="94">
        <v>2.9764862885854111</v>
      </c>
      <c r="AC21" s="94">
        <v>3.9010857145843958</v>
      </c>
      <c r="AD21" s="94">
        <f t="shared" si="10"/>
        <v>6.8775720031698064</v>
      </c>
      <c r="AE21" s="94"/>
      <c r="AF21" s="40">
        <f t="shared" si="11"/>
        <v>2.7178804906447418</v>
      </c>
      <c r="AG21" s="94">
        <v>1.4082979674661906</v>
      </c>
      <c r="AH21" s="94">
        <v>5.2896058974020416E-2</v>
      </c>
      <c r="AI21" s="94">
        <v>0.43313132387053488</v>
      </c>
      <c r="AJ21" s="94">
        <f t="shared" si="12"/>
        <v>0.48602738284455527</v>
      </c>
      <c r="AL21" s="40">
        <f t="shared" si="13"/>
        <v>2.6905674486324749</v>
      </c>
      <c r="AM21" s="94">
        <v>5.7129298402976092</v>
      </c>
      <c r="AN21" s="94">
        <v>2.2476050941027323</v>
      </c>
      <c r="AO21" s="94">
        <v>1.737210049999393</v>
      </c>
      <c r="AP21" s="94">
        <f t="shared" si="14"/>
        <v>3.9848151441021251</v>
      </c>
      <c r="AQ21" s="107"/>
      <c r="AR21" s="40">
        <f t="shared" si="15"/>
        <v>2.939861842779945</v>
      </c>
      <c r="AS21" s="94">
        <v>5.1496408869523096</v>
      </c>
      <c r="AT21" s="94">
        <v>0.67598513550865802</v>
      </c>
      <c r="AU21" s="94">
        <v>1.7307443407144678</v>
      </c>
      <c r="AV21" s="94">
        <f t="shared" si="16"/>
        <v>2.4067294762231257</v>
      </c>
      <c r="AW21" s="91" t="str">
        <f t="shared" si="17"/>
        <v>Finance and insurance</v>
      </c>
      <c r="AX21" s="40">
        <f t="shared" si="18"/>
        <v>2.6672196716569507</v>
      </c>
      <c r="AY21" s="11">
        <v>3.1291828896233556</v>
      </c>
      <c r="AZ21" s="94">
        <v>4.7662543576286416E-2</v>
      </c>
      <c r="BA21" s="94">
        <v>0.94226572050611046</v>
      </c>
      <c r="BB21" s="94">
        <f t="shared" si="19"/>
        <v>0.98992826408239687</v>
      </c>
      <c r="BC21" s="94"/>
      <c r="BD21" s="40">
        <f t="shared" si="20"/>
        <v>2.6037899995889902</v>
      </c>
      <c r="BE21" s="94">
        <v>0.61592438154919227</v>
      </c>
      <c r="BF21" s="94">
        <v>-3.7382232284277769E-2</v>
      </c>
      <c r="BG21" s="94">
        <v>0.18053095656887813</v>
      </c>
      <c r="BH21" s="94">
        <f t="shared" si="21"/>
        <v>0.14314872428460035</v>
      </c>
      <c r="BJ21" s="40">
        <f t="shared" si="22"/>
        <v>2.6401755891724665</v>
      </c>
      <c r="BK21" s="94">
        <v>1.812577752323878</v>
      </c>
      <c r="BL21" s="94">
        <v>-1.6849737964863366E-2</v>
      </c>
      <c r="BM21" s="94">
        <v>0.53960200635034938</v>
      </c>
      <c r="BN21" s="94">
        <f t="shared" si="23"/>
        <v>0.52275226838548605</v>
      </c>
      <c r="BO21" s="107"/>
      <c r="BP21" s="40">
        <f t="shared" si="24"/>
        <v>2.7920140765933743</v>
      </c>
      <c r="BQ21" s="94">
        <v>0.70068075575028521</v>
      </c>
      <c r="BR21" s="94">
        <v>0.10189451382542755</v>
      </c>
      <c r="BS21" s="94">
        <v>0.22213275758688292</v>
      </c>
      <c r="BT21" s="94">
        <f t="shared" si="25"/>
        <v>0.32402727141231047</v>
      </c>
      <c r="BU21" s="91" t="str">
        <f t="shared" si="26"/>
        <v>Finance and insurance</v>
      </c>
      <c r="BV21" s="40">
        <f t="shared" si="27"/>
        <v>2.2225807612637372</v>
      </c>
      <c r="BW21" s="11">
        <v>17.010496310706994</v>
      </c>
      <c r="BX21" s="94">
        <v>-6.2268929517639569</v>
      </c>
      <c r="BY21" s="94">
        <v>4.1821600833902677</v>
      </c>
      <c r="BZ21" s="94">
        <f t="shared" si="28"/>
        <v>-2.0447328683736892</v>
      </c>
      <c r="CA21" s="94"/>
      <c r="CB21" s="40">
        <f t="shared" si="29"/>
        <v>2.2178133748506523</v>
      </c>
      <c r="CC21" s="94">
        <v>5.361386794682045</v>
      </c>
      <c r="CD21" s="94">
        <v>-2.3999699747148724</v>
      </c>
      <c r="CE21" s="94">
        <v>1.3150232829970165</v>
      </c>
      <c r="CF21" s="94">
        <f t="shared" si="30"/>
        <v>-1.0849466917178558</v>
      </c>
      <c r="CH21" s="40">
        <f t="shared" si="31"/>
        <v>2.2046166739490669</v>
      </c>
      <c r="CI21" s="94">
        <v>10.966559197882978</v>
      </c>
      <c r="CJ21" s="94">
        <v>-3.7501749723874718</v>
      </c>
      <c r="CK21" s="94">
        <v>2.6722208134635381</v>
      </c>
      <c r="CL21" s="94">
        <f t="shared" si="32"/>
        <v>-1.0779541589239336</v>
      </c>
      <c r="CM21" s="107"/>
      <c r="CN21" s="40">
        <f t="shared" si="33"/>
        <v>2.5438402112385017</v>
      </c>
      <c r="CO21" s="94">
        <v>0.68255031814196876</v>
      </c>
      <c r="CP21" s="94">
        <v>-7.6748004661612662E-2</v>
      </c>
      <c r="CQ21" s="94">
        <v>0.19491598692971274</v>
      </c>
      <c r="CR21" s="94">
        <f t="shared" si="34"/>
        <v>0.11816798226810007</v>
      </c>
      <c r="CS21" s="91" t="str">
        <f t="shared" si="35"/>
        <v>Finance and insurance</v>
      </c>
      <c r="CT21" s="40">
        <f t="shared" si="36"/>
        <v>2.2725870846393104</v>
      </c>
      <c r="CU21" s="11">
        <v>0.91245210495344775</v>
      </c>
      <c r="CV21" s="94">
        <v>-0.25425588039771407</v>
      </c>
      <c r="CW21" s="94">
        <v>0.22990660489061099</v>
      </c>
      <c r="CX21" s="94">
        <f t="shared" si="37"/>
        <v>-2.4349275507103085E-2</v>
      </c>
      <c r="CY21" s="94"/>
      <c r="CZ21" s="40">
        <f t="shared" si="38"/>
        <v>2.2758052007650242</v>
      </c>
      <c r="DA21" s="94">
        <v>0.3923577537761323</v>
      </c>
      <c r="DB21" s="94">
        <v>0.19309512727496547</v>
      </c>
      <c r="DC21" s="94">
        <v>9.9015272859970554E-2</v>
      </c>
      <c r="DD21" s="94">
        <f t="shared" si="39"/>
        <v>0.29211040013493605</v>
      </c>
      <c r="DF21" s="40">
        <f t="shared" si="40"/>
        <v>2.2459052950809522</v>
      </c>
      <c r="DG21" s="94">
        <v>0.4547671059964703</v>
      </c>
      <c r="DH21" s="94">
        <v>-0.3931331666881907</v>
      </c>
      <c r="DI21" s="94">
        <v>0.11310206199521274</v>
      </c>
      <c r="DJ21" s="94">
        <f t="shared" si="41"/>
        <v>-0.28003110469297798</v>
      </c>
      <c r="DK21" s="107"/>
      <c r="DL21" s="40">
        <f t="shared" si="42"/>
        <v>2.4375771949586511</v>
      </c>
      <c r="DM21" s="94">
        <v>6.5327245180845164E-2</v>
      </c>
      <c r="DN21" s="94">
        <v>-5.4217840984488806E-2</v>
      </c>
      <c r="DO21" s="94">
        <v>1.7789270035427705E-2</v>
      </c>
      <c r="DP21" s="94">
        <f t="shared" si="43"/>
        <v>-3.6428570949061101E-2</v>
      </c>
    </row>
    <row r="22" spans="1:120" x14ac:dyDescent="0.2">
      <c r="A22" s="91" t="str">
        <f>name!B18</f>
        <v>Real estate</v>
      </c>
      <c r="B22" s="40">
        <f t="shared" si="1"/>
        <v>2.6116897758494684</v>
      </c>
      <c r="C22" s="11">
        <v>6.1683349428474763</v>
      </c>
      <c r="D22" s="94">
        <v>0.196627540592925</v>
      </c>
      <c r="E22" s="94">
        <v>1.8141175570326864</v>
      </c>
      <c r="F22" s="94">
        <f t="shared" si="2"/>
        <v>2.0107450976256116</v>
      </c>
      <c r="G22" s="94"/>
      <c r="H22" s="40">
        <f t="shared" si="3"/>
        <v>2.514226030268718</v>
      </c>
      <c r="I22" s="94">
        <v>1.4414399971181822</v>
      </c>
      <c r="J22" s="94">
        <v>-0.35250015246161959</v>
      </c>
      <c r="K22" s="94">
        <v>0.40628757914793828</v>
      </c>
      <c r="L22" s="94">
        <f t="shared" si="4"/>
        <v>5.3787426686318696E-2</v>
      </c>
      <c r="N22" s="40">
        <f t="shared" si="5"/>
        <v>2.6214470082087438</v>
      </c>
      <c r="O22" s="94">
        <v>2.3753843717507803</v>
      </c>
      <c r="P22" s="94">
        <v>0.12579529520222252</v>
      </c>
      <c r="Q22" s="94">
        <v>0.701528764239294</v>
      </c>
      <c r="R22" s="94">
        <f t="shared" si="6"/>
        <v>0.82732405944151655</v>
      </c>
      <c r="S22" s="107"/>
      <c r="T22" s="40">
        <f t="shared" si="7"/>
        <v>2.6612106513108635</v>
      </c>
      <c r="U22" s="94">
        <v>2.3515105739785147</v>
      </c>
      <c r="V22" s="94">
        <v>0.42333239785232213</v>
      </c>
      <c r="W22" s="94">
        <v>0.70630121364545417</v>
      </c>
      <c r="X22" s="94">
        <f t="shared" si="8"/>
        <v>1.1296336114977763</v>
      </c>
      <c r="Y22" s="91" t="str">
        <f t="shared" si="0"/>
        <v>Real estate</v>
      </c>
      <c r="Z22" s="40">
        <f t="shared" si="9"/>
        <v>2.7183631629002836</v>
      </c>
      <c r="AA22" s="11">
        <v>3.1732901245624543</v>
      </c>
      <c r="AB22" s="94">
        <v>0.6841817025054634</v>
      </c>
      <c r="AC22" s="94">
        <v>0.97616127527036756</v>
      </c>
      <c r="AD22" s="94">
        <f t="shared" si="10"/>
        <v>1.660342977775831</v>
      </c>
      <c r="AE22" s="94"/>
      <c r="AF22" s="40">
        <f t="shared" si="11"/>
        <v>2.6131607505413434</v>
      </c>
      <c r="AG22" s="94">
        <v>0.19250680994422617</v>
      </c>
      <c r="AH22" s="94">
        <v>0.16401414967811412</v>
      </c>
      <c r="AI22" s="94">
        <v>5.6652287723932618E-2</v>
      </c>
      <c r="AJ22" s="94">
        <f t="shared" si="12"/>
        <v>0.22066643740204672</v>
      </c>
      <c r="AL22" s="40">
        <f t="shared" si="13"/>
        <v>2.8445633977957741</v>
      </c>
      <c r="AM22" s="94">
        <v>0.85860730100895899</v>
      </c>
      <c r="AN22" s="94">
        <v>4.2190547756578954E-2</v>
      </c>
      <c r="AO22" s="94">
        <v>0.27799351979985232</v>
      </c>
      <c r="AP22" s="94">
        <f t="shared" si="14"/>
        <v>0.32018406755643125</v>
      </c>
      <c r="AQ22" s="107"/>
      <c r="AR22" s="40">
        <f t="shared" si="15"/>
        <v>2.6764431790775811</v>
      </c>
      <c r="AS22" s="94">
        <v>2.1221760136092689</v>
      </c>
      <c r="AT22" s="94">
        <v>0.47797700507077023</v>
      </c>
      <c r="AU22" s="94">
        <v>0.64151546774658263</v>
      </c>
      <c r="AV22" s="94">
        <f t="shared" si="16"/>
        <v>1.119492472817353</v>
      </c>
      <c r="AW22" s="91" t="str">
        <f t="shared" si="17"/>
        <v>Real estate</v>
      </c>
      <c r="AX22" s="40">
        <f t="shared" si="18"/>
        <v>2.6817205379647824</v>
      </c>
      <c r="AY22" s="11">
        <v>0.48397528340046003</v>
      </c>
      <c r="AZ22" s="94">
        <v>-0.12994053725972496</v>
      </c>
      <c r="BA22" s="94">
        <v>0.14662556967400292</v>
      </c>
      <c r="BB22" s="94">
        <f t="shared" si="19"/>
        <v>1.6685032414277962E-2</v>
      </c>
      <c r="BC22" s="94"/>
      <c r="BD22" s="40">
        <f t="shared" si="20"/>
        <v>2.6291172026759568</v>
      </c>
      <c r="BE22" s="94">
        <v>9.4966037850212306E-2</v>
      </c>
      <c r="BF22" s="94">
        <v>-2.1192060628218386E-2</v>
      </c>
      <c r="BG22" s="94">
        <v>2.8138553500052236E-2</v>
      </c>
      <c r="BH22" s="94">
        <f t="shared" si="21"/>
        <v>6.9464928718338502E-3</v>
      </c>
      <c r="BJ22" s="40">
        <f t="shared" si="22"/>
        <v>2.6564659717416284</v>
      </c>
      <c r="BK22" s="94">
        <v>0.28934641044130943</v>
      </c>
      <c r="BL22" s="94">
        <v>-6.9725317303981571E-2</v>
      </c>
      <c r="BM22" s="94">
        <v>8.6734415154016753E-2</v>
      </c>
      <c r="BN22" s="94">
        <f t="shared" si="23"/>
        <v>1.7009097850035182E-2</v>
      </c>
      <c r="BO22" s="107"/>
      <c r="BP22" s="40">
        <f t="shared" si="24"/>
        <v>2.8043080569318812</v>
      </c>
      <c r="BQ22" s="94">
        <v>9.9662835108938322E-2</v>
      </c>
      <c r="BR22" s="94">
        <v>-3.9023159327524995E-2</v>
      </c>
      <c r="BS22" s="94">
        <v>3.1752601019933914E-2</v>
      </c>
      <c r="BT22" s="94">
        <f t="shared" si="25"/>
        <v>-7.270558307591081E-3</v>
      </c>
      <c r="BU22" s="91" t="str">
        <f t="shared" si="26"/>
        <v>Real estate</v>
      </c>
      <c r="BV22" s="40">
        <f t="shared" si="27"/>
        <v>2.4416221739186561</v>
      </c>
      <c r="BW22" s="11">
        <v>2.2997640416194169</v>
      </c>
      <c r="BX22" s="94">
        <v>-0.8033658212946152</v>
      </c>
      <c r="BY22" s="94">
        <v>0.6274046319250105</v>
      </c>
      <c r="BZ22" s="94">
        <f t="shared" si="28"/>
        <v>-0.1759611893696047</v>
      </c>
      <c r="CA22" s="94"/>
      <c r="CB22" s="40">
        <f t="shared" si="29"/>
        <v>2.4552545911513901</v>
      </c>
      <c r="CC22" s="94">
        <v>1.0388676866360598</v>
      </c>
      <c r="CD22" s="94">
        <v>-0.38022277882383149</v>
      </c>
      <c r="CE22" s="94">
        <v>0.285176888828165</v>
      </c>
      <c r="CF22" s="94">
        <f t="shared" si="30"/>
        <v>-9.5045889995666488E-2</v>
      </c>
      <c r="CH22" s="40">
        <f t="shared" si="31"/>
        <v>2.4368885305120269</v>
      </c>
      <c r="CI22" s="94">
        <v>1.1528693059881228</v>
      </c>
      <c r="CJ22" s="94">
        <v>-0.40179371550567344</v>
      </c>
      <c r="CK22" s="94">
        <v>0.31383937301156528</v>
      </c>
      <c r="CL22" s="94">
        <f t="shared" si="32"/>
        <v>-8.7954342494108162E-2</v>
      </c>
      <c r="CM22" s="107"/>
      <c r="CN22" s="40">
        <f t="shared" si="33"/>
        <v>2.3606641104796822</v>
      </c>
      <c r="CO22" s="94">
        <v>0.10802704899523392</v>
      </c>
      <c r="CP22" s="94">
        <v>-2.134932696511032E-2</v>
      </c>
      <c r="CQ22" s="94">
        <v>2.8388370085280102E-2</v>
      </c>
      <c r="CR22" s="94">
        <f t="shared" si="34"/>
        <v>7.0390431201697821E-3</v>
      </c>
      <c r="CS22" s="91" t="str">
        <f t="shared" si="35"/>
        <v>Real estate</v>
      </c>
      <c r="CT22" s="40">
        <f t="shared" si="36"/>
        <v>2.6783181831917302</v>
      </c>
      <c r="CU22" s="11">
        <v>0.21130549326514642</v>
      </c>
      <c r="CV22" s="94">
        <v>0.44575219664180188</v>
      </c>
      <c r="CW22" s="94">
        <v>6.3926080163305615E-2</v>
      </c>
      <c r="CX22" s="94">
        <f t="shared" si="37"/>
        <v>0.50967827680510747</v>
      </c>
      <c r="CY22" s="94"/>
      <c r="CZ22" s="40">
        <f t="shared" si="38"/>
        <v>2.7805168236047173</v>
      </c>
      <c r="DA22" s="94">
        <v>0.11509946268768383</v>
      </c>
      <c r="DB22" s="94">
        <v>-0.11509946268768383</v>
      </c>
      <c r="DC22" s="94">
        <v>3.6319849095788476E-2</v>
      </c>
      <c r="DD22" s="94">
        <f t="shared" si="39"/>
        <v>-7.8779613591895351E-2</v>
      </c>
      <c r="DF22" s="40">
        <f t="shared" si="40"/>
        <v>2.7210008218849335</v>
      </c>
      <c r="DG22" s="94">
        <v>7.4561354312388889E-2</v>
      </c>
      <c r="DH22" s="94">
        <v>0.55512378025529863</v>
      </c>
      <c r="DI22" s="94">
        <v>2.2961456273859673E-2</v>
      </c>
      <c r="DJ22" s="94">
        <f t="shared" si="41"/>
        <v>0.57808523652915833</v>
      </c>
      <c r="DK22" s="107"/>
      <c r="DL22" s="40">
        <f t="shared" si="42"/>
        <v>1.9631026785993377</v>
      </c>
      <c r="DM22" s="94">
        <v>2.1644676265073697E-2</v>
      </c>
      <c r="DN22" s="94">
        <v>5.7278790741871642E-3</v>
      </c>
      <c r="DO22" s="94">
        <v>4.64477479365746E-3</v>
      </c>
      <c r="DP22" s="94">
        <f t="shared" si="43"/>
        <v>1.0372653867844625E-2</v>
      </c>
    </row>
    <row r="23" spans="1:120" x14ac:dyDescent="0.2">
      <c r="A23" s="91" t="str">
        <f>name!B19</f>
        <v>Professional services</v>
      </c>
      <c r="B23" s="40">
        <f t="shared" si="1"/>
        <v>2.6743157766083714</v>
      </c>
      <c r="C23" s="11">
        <v>38.965266386568921</v>
      </c>
      <c r="D23" s="94">
        <v>11.458986137276469</v>
      </c>
      <c r="E23" s="94">
        <v>11.768350327197798</v>
      </c>
      <c r="F23" s="94">
        <f t="shared" si="2"/>
        <v>23.227336464474266</v>
      </c>
      <c r="G23" s="94"/>
      <c r="H23" s="40">
        <f t="shared" si="3"/>
        <v>2.5161455631662166</v>
      </c>
      <c r="I23" s="94">
        <v>10.746753519096059</v>
      </c>
      <c r="J23" s="94">
        <v>0.60470899426028668</v>
      </c>
      <c r="K23" s="94">
        <v>3.0316842468873038</v>
      </c>
      <c r="L23" s="94">
        <f t="shared" si="4"/>
        <v>3.6363932411475903</v>
      </c>
      <c r="N23" s="40">
        <f t="shared" si="5"/>
        <v>2.6382849635641303</v>
      </c>
      <c r="O23" s="94">
        <v>19.377813500619759</v>
      </c>
      <c r="P23" s="94">
        <v>6.3961252707032488</v>
      </c>
      <c r="Q23" s="94">
        <v>5.7641179254827515</v>
      </c>
      <c r="R23" s="94">
        <f t="shared" si="6"/>
        <v>12.160243196186</v>
      </c>
      <c r="S23" s="107"/>
      <c r="T23" s="40">
        <f t="shared" si="7"/>
        <v>2.9409728215002984</v>
      </c>
      <c r="U23" s="94">
        <v>8.8406993668531033</v>
      </c>
      <c r="V23" s="94">
        <v>4.4581518723129312</v>
      </c>
      <c r="W23" s="94">
        <v>2.972548154827741</v>
      </c>
      <c r="X23" s="94">
        <f t="shared" si="8"/>
        <v>7.4307000271406718</v>
      </c>
      <c r="Y23" s="91" t="str">
        <f t="shared" si="0"/>
        <v>Professional services</v>
      </c>
      <c r="Z23" s="40">
        <f t="shared" si="9"/>
        <v>3.0111146972381153</v>
      </c>
      <c r="AA23" s="11">
        <v>12.983727410431358</v>
      </c>
      <c r="AB23" s="94">
        <v>7.3161535468635082</v>
      </c>
      <c r="AC23" s="94">
        <v>4.4841548751658866</v>
      </c>
      <c r="AD23" s="94">
        <f t="shared" si="10"/>
        <v>11.800308422029396</v>
      </c>
      <c r="AE23" s="94"/>
      <c r="AF23" s="40">
        <f t="shared" si="11"/>
        <v>2.8731628500449968</v>
      </c>
      <c r="AG23" s="94">
        <v>1.9378479390650463</v>
      </c>
      <c r="AH23" s="94">
        <v>1.549926671508655</v>
      </c>
      <c r="AI23" s="94">
        <v>0.63456461426776711</v>
      </c>
      <c r="AJ23" s="94">
        <f t="shared" si="12"/>
        <v>2.184491285776422</v>
      </c>
      <c r="AL23" s="40">
        <f t="shared" si="13"/>
        <v>3.0369546647093459</v>
      </c>
      <c r="AM23" s="94">
        <v>4.9791010176174728</v>
      </c>
      <c r="AN23" s="94">
        <v>2.6541784276946645</v>
      </c>
      <c r="AO23" s="94">
        <v>1.7364411510950009</v>
      </c>
      <c r="AP23" s="94">
        <f t="shared" si="14"/>
        <v>4.3906195787896651</v>
      </c>
      <c r="AQ23" s="107"/>
      <c r="AR23" s="40">
        <f t="shared" si="15"/>
        <v>3.0336611731275553</v>
      </c>
      <c r="AS23" s="94">
        <v>6.0667784537488378</v>
      </c>
      <c r="AT23" s="94">
        <v>3.1120484476601886</v>
      </c>
      <c r="AU23" s="94">
        <v>2.113149109803119</v>
      </c>
      <c r="AV23" s="94">
        <f t="shared" si="16"/>
        <v>5.2251975574633072</v>
      </c>
      <c r="AW23" s="91" t="str">
        <f t="shared" si="17"/>
        <v>Professional services</v>
      </c>
      <c r="AX23" s="40">
        <f t="shared" si="18"/>
        <v>2.6662390167296435</v>
      </c>
      <c r="AY23" s="11">
        <v>4.377709221482184</v>
      </c>
      <c r="AZ23" s="94">
        <v>0.80308463988107726</v>
      </c>
      <c r="BA23" s="94">
        <v>1.3176803910698349</v>
      </c>
      <c r="BB23" s="94">
        <f t="shared" si="19"/>
        <v>2.1207650309509121</v>
      </c>
      <c r="BC23" s="94"/>
      <c r="BD23" s="40">
        <f t="shared" si="20"/>
        <v>2.5700639379084178</v>
      </c>
      <c r="BE23" s="94">
        <v>0.73699369082515398</v>
      </c>
      <c r="BF23" s="94">
        <v>8.1502387714943961E-2</v>
      </c>
      <c r="BG23" s="94">
        <v>0.21288912804948243</v>
      </c>
      <c r="BH23" s="94">
        <f t="shared" si="21"/>
        <v>0.2943915157644264</v>
      </c>
      <c r="BJ23" s="40">
        <f t="shared" si="22"/>
        <v>2.6279165568233287</v>
      </c>
      <c r="BK23" s="94">
        <v>2.307013712695364</v>
      </c>
      <c r="BL23" s="94">
        <v>0.55219489458428639</v>
      </c>
      <c r="BM23" s="94">
        <v>0.6832211463125315</v>
      </c>
      <c r="BN23" s="94">
        <f t="shared" si="23"/>
        <v>1.2354160408968178</v>
      </c>
      <c r="BO23" s="107"/>
      <c r="BP23" s="40">
        <f t="shared" si="24"/>
        <v>2.784722232207959</v>
      </c>
      <c r="BQ23" s="94">
        <v>1.3337018179616666</v>
      </c>
      <c r="BR23" s="94">
        <v>0.16938735758184675</v>
      </c>
      <c r="BS23" s="94">
        <v>0.42157011670782107</v>
      </c>
      <c r="BT23" s="94">
        <f t="shared" si="25"/>
        <v>0.59095747428966783</v>
      </c>
      <c r="BU23" s="91" t="str">
        <f t="shared" si="26"/>
        <v>Professional services</v>
      </c>
      <c r="BV23" s="40">
        <f t="shared" si="27"/>
        <v>2.4703617034511627</v>
      </c>
      <c r="BW23" s="11">
        <v>20.365934087380882</v>
      </c>
      <c r="BX23" s="94">
        <v>2.1048678580900813</v>
      </c>
      <c r="BY23" s="94">
        <v>5.6288985612392128</v>
      </c>
      <c r="BZ23" s="94">
        <f t="shared" si="28"/>
        <v>7.7337664193292941</v>
      </c>
      <c r="CA23" s="94"/>
      <c r="CB23" s="40">
        <f t="shared" si="29"/>
        <v>2.4286762007679874</v>
      </c>
      <c r="CC23" s="94">
        <v>7.4477312798356223</v>
      </c>
      <c r="CD23" s="94">
        <v>-0.68225133953011141</v>
      </c>
      <c r="CE23" s="94">
        <v>2.0198621022347334</v>
      </c>
      <c r="CF23" s="94">
        <f t="shared" si="30"/>
        <v>1.3376107627046219</v>
      </c>
      <c r="CH23" s="40">
        <f t="shared" si="31"/>
        <v>2.4720591117074919</v>
      </c>
      <c r="CI23" s="94">
        <v>11.586627461599615</v>
      </c>
      <c r="CJ23" s="94">
        <v>1.943280535192967</v>
      </c>
      <c r="CK23" s="94">
        <v>3.2048540580010663</v>
      </c>
      <c r="CL23" s="94">
        <f t="shared" si="32"/>
        <v>5.1481345931940332</v>
      </c>
      <c r="CM23" s="107"/>
      <c r="CN23" s="40">
        <f t="shared" si="33"/>
        <v>2.6862600536722958</v>
      </c>
      <c r="CO23" s="94">
        <v>1.3315753459456456</v>
      </c>
      <c r="CP23" s="94">
        <v>0.84383866242722605</v>
      </c>
      <c r="CQ23" s="94">
        <v>0.40418240100341252</v>
      </c>
      <c r="CR23" s="94">
        <f t="shared" si="34"/>
        <v>1.2480210634306386</v>
      </c>
      <c r="CS23" s="91" t="str">
        <f t="shared" si="35"/>
        <v>Professional services</v>
      </c>
      <c r="CT23" s="40">
        <f t="shared" si="36"/>
        <v>2.4409911721383182</v>
      </c>
      <c r="CU23" s="11">
        <v>1.2378956672744925</v>
      </c>
      <c r="CV23" s="94">
        <v>1.2348800924418006</v>
      </c>
      <c r="CW23" s="94">
        <v>0.33761649972286273</v>
      </c>
      <c r="CX23" s="94">
        <f t="shared" si="37"/>
        <v>1.5724965921646634</v>
      </c>
      <c r="CY23" s="94"/>
      <c r="CZ23" s="40">
        <f t="shared" si="38"/>
        <v>2.365082760893733</v>
      </c>
      <c r="DA23" s="94">
        <v>0.62418060937023667</v>
      </c>
      <c r="DB23" s="94">
        <v>-0.34446872543320101</v>
      </c>
      <c r="DC23" s="94">
        <v>0.16436840233532063</v>
      </c>
      <c r="DD23" s="94">
        <f t="shared" si="39"/>
        <v>-0.18010032309788038</v>
      </c>
      <c r="DF23" s="40">
        <f t="shared" si="40"/>
        <v>2.4704563056764162</v>
      </c>
      <c r="DG23" s="94">
        <v>0.50507130870730466</v>
      </c>
      <c r="DH23" s="94">
        <v>1.2464714132313313</v>
      </c>
      <c r="DI23" s="94">
        <v>0.13960157007415316</v>
      </c>
      <c r="DJ23" s="94">
        <f t="shared" si="41"/>
        <v>1.3860729833054843</v>
      </c>
      <c r="DK23" s="107"/>
      <c r="DL23" s="40">
        <f t="shared" si="42"/>
        <v>2.7346741769566751</v>
      </c>
      <c r="DM23" s="94">
        <v>0.10864374919695106</v>
      </c>
      <c r="DN23" s="94">
        <v>0.33287740464367022</v>
      </c>
      <c r="DO23" s="94">
        <v>3.3646527313388873E-2</v>
      </c>
      <c r="DP23" s="94">
        <f t="shared" si="43"/>
        <v>0.36652393195705907</v>
      </c>
    </row>
    <row r="24" spans="1:120" x14ac:dyDescent="0.2">
      <c r="A24" s="91" t="str">
        <f>name!B20</f>
        <v>Support services</v>
      </c>
      <c r="B24" s="40">
        <f t="shared" si="1"/>
        <v>2.784566936730104</v>
      </c>
      <c r="C24" s="11">
        <v>18.720999999999954</v>
      </c>
      <c r="D24" s="94">
        <v>-3.057999999999971</v>
      </c>
      <c r="E24" s="94">
        <v>5.9171529721011353</v>
      </c>
      <c r="F24" s="94">
        <f t="shared" si="2"/>
        <v>2.8591529721011644</v>
      </c>
      <c r="G24" s="94"/>
      <c r="H24" s="40">
        <f t="shared" si="3"/>
        <v>2.6966927781337358</v>
      </c>
      <c r="I24" s="94">
        <v>1.8191700717908714</v>
      </c>
      <c r="J24" s="94">
        <v>6.4644504245958259E-2</v>
      </c>
      <c r="K24" s="94">
        <v>0.55459579978511464</v>
      </c>
      <c r="L24" s="94">
        <f t="shared" si="4"/>
        <v>0.61924030403107289</v>
      </c>
      <c r="N24" s="40">
        <f t="shared" si="5"/>
        <v>2.6438542588397285</v>
      </c>
      <c r="O24" s="94">
        <v>7.3253420053436527</v>
      </c>
      <c r="P24" s="94">
        <v>-2.4007825753231029</v>
      </c>
      <c r="Q24" s="94">
        <v>2.1841522273672624</v>
      </c>
      <c r="R24" s="94">
        <f t="shared" si="6"/>
        <v>-0.21663034795584046</v>
      </c>
      <c r="S24" s="107"/>
      <c r="T24" s="40">
        <f t="shared" si="7"/>
        <v>2.9075064601009837</v>
      </c>
      <c r="U24" s="94">
        <v>9.5764879228654252</v>
      </c>
      <c r="V24" s="94">
        <v>-0.72186192892282663</v>
      </c>
      <c r="W24" s="94">
        <v>3.1784049449487575</v>
      </c>
      <c r="X24" s="94">
        <f t="shared" si="8"/>
        <v>2.4565430160259307</v>
      </c>
      <c r="Y24" s="91" t="str">
        <f t="shared" si="0"/>
        <v>Support services</v>
      </c>
      <c r="Z24" s="40">
        <f t="shared" si="9"/>
        <v>2.8851376822058405</v>
      </c>
      <c r="AA24" s="11">
        <v>10.861879630593116</v>
      </c>
      <c r="AB24" s="94">
        <v>-1.2989925832272919</v>
      </c>
      <c r="AC24" s="94">
        <v>3.5736065944117534</v>
      </c>
      <c r="AD24" s="94">
        <f t="shared" si="10"/>
        <v>2.2746140111844615</v>
      </c>
      <c r="AE24" s="94"/>
      <c r="AF24" s="40">
        <f t="shared" si="11"/>
        <v>2.8363041726111371</v>
      </c>
      <c r="AG24" s="94">
        <v>0.7258796023165236</v>
      </c>
      <c r="AH24" s="94">
        <v>0.20317213116103808</v>
      </c>
      <c r="AI24" s="94">
        <v>0.23424852857398526</v>
      </c>
      <c r="AJ24" s="94">
        <f t="shared" si="12"/>
        <v>0.43742065973502331</v>
      </c>
      <c r="AL24" s="40">
        <f t="shared" si="13"/>
        <v>2.7318188913306285</v>
      </c>
      <c r="AM24" s="94">
        <v>2.8702469151779071</v>
      </c>
      <c r="AN24" s="94">
        <v>-1.1155443530893807</v>
      </c>
      <c r="AO24" s="94">
        <v>0.88785915434127438</v>
      </c>
      <c r="AP24" s="94">
        <f t="shared" si="14"/>
        <v>-0.22768519874810633</v>
      </c>
      <c r="AQ24" s="107"/>
      <c r="AR24" s="40">
        <f t="shared" si="15"/>
        <v>2.949983891234198</v>
      </c>
      <c r="AS24" s="94">
        <v>7.2657531130986843</v>
      </c>
      <c r="AT24" s="94">
        <v>-0.38662036129894933</v>
      </c>
      <c r="AU24" s="94">
        <v>2.4514989114964938</v>
      </c>
      <c r="AV24" s="94">
        <f t="shared" si="16"/>
        <v>2.0648785501975446</v>
      </c>
      <c r="AW24" s="91" t="str">
        <f t="shared" si="17"/>
        <v>Support services</v>
      </c>
      <c r="AX24" s="40">
        <f t="shared" si="18"/>
        <v>2.6712682976482327</v>
      </c>
      <c r="AY24" s="11">
        <v>4.6040936604188767</v>
      </c>
      <c r="AZ24" s="94">
        <v>-0.6550004254648718</v>
      </c>
      <c r="BA24" s="94">
        <v>1.3887564948003865</v>
      </c>
      <c r="BB24" s="94">
        <f t="shared" si="19"/>
        <v>0.73375606933551474</v>
      </c>
      <c r="BC24" s="94"/>
      <c r="BD24" s="40">
        <f t="shared" si="20"/>
        <v>2.5535596624300272</v>
      </c>
      <c r="BE24" s="94">
        <v>0.37306162643140794</v>
      </c>
      <c r="BF24" s="94">
        <v>1.7209773799081063E-3</v>
      </c>
      <c r="BG24" s="94">
        <v>0.10699003130978606</v>
      </c>
      <c r="BH24" s="94">
        <f t="shared" si="21"/>
        <v>0.10871100868969416</v>
      </c>
      <c r="BJ24" s="40">
        <f t="shared" si="22"/>
        <v>2.6033003151062717</v>
      </c>
      <c r="BK24" s="94">
        <v>2.3193614224732308</v>
      </c>
      <c r="BL24" s="94">
        <v>-0.3840544144532913</v>
      </c>
      <c r="BM24" s="94">
        <v>0.67967495424035318</v>
      </c>
      <c r="BN24" s="94">
        <f t="shared" si="23"/>
        <v>0.29562053978706188</v>
      </c>
      <c r="BO24" s="107"/>
      <c r="BP24" s="40">
        <f t="shared" si="24"/>
        <v>2.7758580766296781</v>
      </c>
      <c r="BQ24" s="94">
        <v>1.9116706115142377</v>
      </c>
      <c r="BR24" s="94">
        <v>-0.27266698839148851</v>
      </c>
      <c r="BS24" s="94">
        <v>0.60209150925024713</v>
      </c>
      <c r="BT24" s="94">
        <f t="shared" si="25"/>
        <v>0.32942452085875862</v>
      </c>
      <c r="BU24" s="91" t="str">
        <f t="shared" si="26"/>
        <v>Support services</v>
      </c>
      <c r="BV24" s="40">
        <f t="shared" si="27"/>
        <v>2.5698479897015236</v>
      </c>
      <c r="BW24" s="11">
        <v>2.8786585131525628</v>
      </c>
      <c r="BX24" s="94">
        <v>-1.0291019906527104</v>
      </c>
      <c r="BY24" s="94">
        <v>0.83145560121971473</v>
      </c>
      <c r="BZ24" s="94">
        <f t="shared" si="28"/>
        <v>-0.19764638943299562</v>
      </c>
      <c r="CA24" s="94"/>
      <c r="CB24" s="40">
        <f t="shared" si="29"/>
        <v>2.5646022644531197</v>
      </c>
      <c r="CC24" s="94">
        <v>0.59910933522220677</v>
      </c>
      <c r="CD24" s="94">
        <v>-0.12449271037143683</v>
      </c>
      <c r="CE24" s="94">
        <v>0.17264857384459545</v>
      </c>
      <c r="CF24" s="94">
        <f t="shared" si="30"/>
        <v>4.8155863473158617E-2</v>
      </c>
      <c r="CH24" s="40">
        <f t="shared" si="31"/>
        <v>2.551043008047893</v>
      </c>
      <c r="CI24" s="94">
        <v>1.9475203609870202</v>
      </c>
      <c r="CJ24" s="94">
        <v>-0.84938831927492153</v>
      </c>
      <c r="CK24" s="94">
        <v>0.55791281892363431</v>
      </c>
      <c r="CL24" s="94">
        <f t="shared" si="32"/>
        <v>-0.29147550035128722</v>
      </c>
      <c r="CM24" s="107"/>
      <c r="CN24" s="40">
        <f t="shared" si="33"/>
        <v>2.6888973859664045</v>
      </c>
      <c r="CO24" s="94">
        <v>0.33202881694333602</v>
      </c>
      <c r="CP24" s="94">
        <v>-5.5220961006352098E-2</v>
      </c>
      <c r="CQ24" s="94">
        <v>0.10089420845148493</v>
      </c>
      <c r="CR24" s="94">
        <f t="shared" si="34"/>
        <v>4.5673247445132834E-2</v>
      </c>
      <c r="CS24" s="91" t="str">
        <f t="shared" si="35"/>
        <v>Support services</v>
      </c>
      <c r="CT24" s="40">
        <f t="shared" si="36"/>
        <v>2.8750024457964374</v>
      </c>
      <c r="CU24" s="11">
        <v>0.37636819583539599</v>
      </c>
      <c r="CV24" s="94">
        <v>-7.4905000655096768E-2</v>
      </c>
      <c r="CW24" s="94">
        <v>0.12333428166928057</v>
      </c>
      <c r="CX24" s="94">
        <f t="shared" si="37"/>
        <v>4.8429281014183798E-2</v>
      </c>
      <c r="CY24" s="94"/>
      <c r="CZ24" s="40">
        <f t="shared" si="38"/>
        <v>2.9399620026260287</v>
      </c>
      <c r="DA24" s="94">
        <v>0.12111950782073322</v>
      </c>
      <c r="DB24" s="94">
        <v>-1.5755893923551086E-2</v>
      </c>
      <c r="DC24" s="94">
        <v>4.0708666056747972E-2</v>
      </c>
      <c r="DD24" s="94">
        <f t="shared" si="39"/>
        <v>2.4952772133196886E-2</v>
      </c>
      <c r="DF24" s="40">
        <f t="shared" si="40"/>
        <v>2.7520154670829022</v>
      </c>
      <c r="DG24" s="94">
        <v>0.18821330670549469</v>
      </c>
      <c r="DH24" s="94">
        <v>-5.1795488505508955E-2</v>
      </c>
      <c r="DI24" s="94">
        <v>5.8705299862000827E-2</v>
      </c>
      <c r="DJ24" s="94">
        <f t="shared" si="41"/>
        <v>6.9098113564918726E-3</v>
      </c>
      <c r="DK24" s="107"/>
      <c r="DL24" s="40">
        <f t="shared" si="42"/>
        <v>3.0985559180604971</v>
      </c>
      <c r="DM24" s="94">
        <v>6.7035381309168043E-2</v>
      </c>
      <c r="DN24" s="94">
        <v>-7.3536182260367233E-3</v>
      </c>
      <c r="DO24" s="94">
        <v>2.3920315750531766E-2</v>
      </c>
      <c r="DP24" s="94">
        <f t="shared" si="43"/>
        <v>1.6566697524495043E-2</v>
      </c>
    </row>
    <row r="25" spans="1:120" x14ac:dyDescent="0.2">
      <c r="A25" s="91" t="str">
        <f>name!B21</f>
        <v>Public admin. and defence</v>
      </c>
      <c r="B25" s="40">
        <f t="shared" si="1"/>
        <v>2.7845669367305037</v>
      </c>
      <c r="C25" s="11">
        <v>1.4539999999999971</v>
      </c>
      <c r="D25" s="94">
        <v>0.21500000000000094</v>
      </c>
      <c r="E25" s="94">
        <v>0.45956628499740532</v>
      </c>
      <c r="F25" s="94">
        <f t="shared" si="2"/>
        <v>0.67456628499740623</v>
      </c>
      <c r="G25" s="94"/>
      <c r="H25" s="40">
        <f t="shared" si="3"/>
        <v>2.6966927781336025</v>
      </c>
      <c r="I25" s="94">
        <v>0.14128910231210851</v>
      </c>
      <c r="J25" s="94">
        <v>5.9444251924195786E-2</v>
      </c>
      <c r="K25" s="94">
        <v>4.3073676239935618E-2</v>
      </c>
      <c r="L25" s="94">
        <f t="shared" si="4"/>
        <v>0.10251792816413141</v>
      </c>
      <c r="N25" s="40">
        <f t="shared" si="5"/>
        <v>2.6438542588399061</v>
      </c>
      <c r="O25" s="94">
        <v>0.56893580875873839</v>
      </c>
      <c r="P25" s="94">
        <v>-4.4190249880834614E-2</v>
      </c>
      <c r="Q25" s="94">
        <v>0.1696360952189005</v>
      </c>
      <c r="R25" s="94">
        <f t="shared" si="6"/>
        <v>0.12544584533806588</v>
      </c>
      <c r="S25" s="107"/>
      <c r="T25" s="40">
        <f t="shared" si="7"/>
        <v>2.9075064601016942</v>
      </c>
      <c r="U25" s="94">
        <v>0.74377508892915023</v>
      </c>
      <c r="V25" s="94">
        <v>0.1997459979566398</v>
      </c>
      <c r="W25" s="94">
        <v>0.24685651353856922</v>
      </c>
      <c r="X25" s="94">
        <f t="shared" si="8"/>
        <v>0.44660251149520902</v>
      </c>
      <c r="Y25" s="91" t="str">
        <f t="shared" si="0"/>
        <v>Public admin. and defence</v>
      </c>
      <c r="Z25" s="40">
        <f t="shared" si="9"/>
        <v>2.8851376822067953</v>
      </c>
      <c r="AA25" s="11">
        <v>0.84360733843630331</v>
      </c>
      <c r="AB25" s="94">
        <v>0.17538381792273638</v>
      </c>
      <c r="AC25" s="94">
        <v>0.27755055757017433</v>
      </c>
      <c r="AD25" s="94">
        <f t="shared" si="10"/>
        <v>0.45293437549291071</v>
      </c>
      <c r="AE25" s="94"/>
      <c r="AF25" s="40">
        <f t="shared" si="11"/>
        <v>2.8363041726107818</v>
      </c>
      <c r="AG25" s="94">
        <v>5.6376739584906382E-2</v>
      </c>
      <c r="AH25" s="94">
        <v>4.262009008845738E-2</v>
      </c>
      <c r="AI25" s="94">
        <v>1.819333158200891E-2</v>
      </c>
      <c r="AJ25" s="94">
        <f t="shared" si="12"/>
        <v>6.0813421670466286E-2</v>
      </c>
      <c r="AL25" s="40">
        <f t="shared" si="13"/>
        <v>2.7318188913314945</v>
      </c>
      <c r="AM25" s="94">
        <v>0.2229228681509284</v>
      </c>
      <c r="AN25" s="94">
        <v>-3.594728389981916E-2</v>
      </c>
      <c r="AO25" s="94">
        <v>6.895717164724055E-2</v>
      </c>
      <c r="AP25" s="94">
        <f t="shared" si="14"/>
        <v>3.300988774742139E-2</v>
      </c>
      <c r="AQ25" s="107"/>
      <c r="AR25" s="40">
        <f t="shared" si="15"/>
        <v>2.9499838912350862</v>
      </c>
      <c r="AS25" s="94">
        <v>0.56430773070046847</v>
      </c>
      <c r="AT25" s="94">
        <v>0.16871101173409817</v>
      </c>
      <c r="AU25" s="94">
        <v>0.1904000543409248</v>
      </c>
      <c r="AV25" s="94">
        <f t="shared" si="16"/>
        <v>0.35911106607502297</v>
      </c>
      <c r="AW25" s="91" t="str">
        <f t="shared" si="17"/>
        <v>Public admin. and defence</v>
      </c>
      <c r="AX25" s="40">
        <f t="shared" si="18"/>
        <v>2.6712682976481661</v>
      </c>
      <c r="AY25" s="11">
        <v>0.35758518146798612</v>
      </c>
      <c r="AZ25" s="94">
        <v>6.3217768742032318E-2</v>
      </c>
      <c r="BA25" s="94">
        <v>0.10786026085378261</v>
      </c>
      <c r="BB25" s="94">
        <f t="shared" si="19"/>
        <v>0.17107802959581492</v>
      </c>
      <c r="BC25" s="94"/>
      <c r="BD25" s="40">
        <f t="shared" si="20"/>
        <v>2.5535596624299828</v>
      </c>
      <c r="BE25" s="94">
        <v>2.8974499483491539E-2</v>
      </c>
      <c r="BF25" s="94">
        <v>1.0961155611916022E-2</v>
      </c>
      <c r="BG25" s="94">
        <v>8.3095724333202906E-3</v>
      </c>
      <c r="BH25" s="94">
        <f t="shared" si="21"/>
        <v>1.9270728045236312E-2</v>
      </c>
      <c r="BJ25" s="40">
        <f t="shared" si="22"/>
        <v>2.6033003151064049</v>
      </c>
      <c r="BK25" s="94">
        <v>0.18013735955834875</v>
      </c>
      <c r="BL25" s="94">
        <v>2.6082866221255052E-2</v>
      </c>
      <c r="BM25" s="94">
        <v>5.2788172825711882E-2</v>
      </c>
      <c r="BN25" s="94">
        <f t="shared" si="23"/>
        <v>7.8871039046966934E-2</v>
      </c>
      <c r="BO25" s="107"/>
      <c r="BP25" s="40">
        <f t="shared" si="24"/>
        <v>2.7758580766297891</v>
      </c>
      <c r="BQ25" s="94">
        <v>0.1484733224261458</v>
      </c>
      <c r="BR25" s="94">
        <v>2.6173746908861251E-2</v>
      </c>
      <c r="BS25" s="94">
        <v>4.6762515594750455E-2</v>
      </c>
      <c r="BT25" s="94">
        <f t="shared" si="25"/>
        <v>7.293626250361171E-2</v>
      </c>
      <c r="BU25" s="91" t="str">
        <f t="shared" si="26"/>
        <v>Public admin. and defence</v>
      </c>
      <c r="BV25" s="40">
        <f t="shared" si="27"/>
        <v>2.5698479897014792</v>
      </c>
      <c r="BW25" s="11">
        <v>0.22357616997639901</v>
      </c>
      <c r="BX25" s="94">
        <v>-2.6493246139725597E-2</v>
      </c>
      <c r="BY25" s="94">
        <v>6.4576488658442441E-2</v>
      </c>
      <c r="BZ25" s="94">
        <f t="shared" si="28"/>
        <v>3.8083242518716844E-2</v>
      </c>
      <c r="CA25" s="94"/>
      <c r="CB25" s="40">
        <f t="shared" si="29"/>
        <v>2.5646022644530531</v>
      </c>
      <c r="CC25" s="94">
        <v>4.6530899706966611E-2</v>
      </c>
      <c r="CD25" s="94">
        <v>4.0427545658888358E-3</v>
      </c>
      <c r="CE25" s="94">
        <v>1.3409060753716812E-2</v>
      </c>
      <c r="CF25" s="94">
        <f t="shared" si="30"/>
        <v>1.7451815319605646E-2</v>
      </c>
      <c r="CH25" s="40">
        <f t="shared" si="31"/>
        <v>2.5510430080478264</v>
      </c>
      <c r="CI25" s="94">
        <v>0.1512576574370198</v>
      </c>
      <c r="CJ25" s="94">
        <v>-3.4244162090111052E-2</v>
      </c>
      <c r="CK25" s="94">
        <v>4.3331298473152743E-2</v>
      </c>
      <c r="CL25" s="94">
        <f t="shared" si="32"/>
        <v>9.0871363830416912E-3</v>
      </c>
      <c r="CM25" s="107"/>
      <c r="CN25" s="40">
        <f t="shared" si="33"/>
        <v>2.6888973859667598</v>
      </c>
      <c r="CO25" s="94">
        <v>2.5787612832412595E-2</v>
      </c>
      <c r="CP25" s="94">
        <v>3.7081613844966248E-3</v>
      </c>
      <c r="CQ25" s="94">
        <v>7.836129431572891E-3</v>
      </c>
      <c r="CR25" s="94">
        <f t="shared" si="34"/>
        <v>1.1544290816069516E-2</v>
      </c>
      <c r="CS25" s="91" t="str">
        <f t="shared" si="35"/>
        <v>Public admin. and defence</v>
      </c>
      <c r="CT25" s="40">
        <f t="shared" si="36"/>
        <v>2.8750024457971257</v>
      </c>
      <c r="CU25" s="11">
        <v>2.9231310119308785E-2</v>
      </c>
      <c r="CV25" s="94">
        <v>2.8916594749578122E-3</v>
      </c>
      <c r="CW25" s="94">
        <v>9.578977915005971E-3</v>
      </c>
      <c r="CX25" s="94">
        <f t="shared" si="37"/>
        <v>1.2470637389963783E-2</v>
      </c>
      <c r="CY25" s="94"/>
      <c r="CZ25" s="40">
        <f t="shared" si="38"/>
        <v>2.9399620026260287</v>
      </c>
      <c r="DA25" s="94">
        <v>9.4069635367439817E-3</v>
      </c>
      <c r="DB25" s="94">
        <v>1.8202516579335466E-3</v>
      </c>
      <c r="DC25" s="94">
        <v>3.1617114708896062E-3</v>
      </c>
      <c r="DD25" s="94">
        <f t="shared" si="39"/>
        <v>4.9819631288231525E-3</v>
      </c>
      <c r="DF25" s="40">
        <f t="shared" si="40"/>
        <v>2.7520154670842789</v>
      </c>
      <c r="DG25" s="94">
        <v>1.4617923612441512E-2</v>
      </c>
      <c r="DH25" s="94">
        <v>-8.1670112159448079E-5</v>
      </c>
      <c r="DI25" s="94">
        <v>4.5594522727953144E-3</v>
      </c>
      <c r="DJ25" s="94">
        <f t="shared" si="41"/>
        <v>4.4777821606358662E-3</v>
      </c>
      <c r="DK25" s="107"/>
      <c r="DL25" s="40">
        <f t="shared" si="42"/>
        <v>3.0985559180585875</v>
      </c>
      <c r="DM25" s="94">
        <v>5.2064229701232886E-3</v>
      </c>
      <c r="DN25" s="94">
        <v>1.1530779291837137E-3</v>
      </c>
      <c r="DO25" s="94">
        <v>1.8578141713210513E-3</v>
      </c>
      <c r="DP25" s="94">
        <f t="shared" si="43"/>
        <v>3.0108921005047649E-3</v>
      </c>
    </row>
    <row r="26" spans="1:120" x14ac:dyDescent="0.2">
      <c r="A26" s="91" t="str">
        <f>name!B22</f>
        <v>Education</v>
      </c>
      <c r="B26" s="40">
        <f t="shared" si="1"/>
        <v>2.7941946420653396</v>
      </c>
      <c r="C26" s="11">
        <v>27.519999999999932</v>
      </c>
      <c r="D26" s="94">
        <v>5.4400000000000306</v>
      </c>
      <c r="E26" s="94">
        <v>8.7321954612186001</v>
      </c>
      <c r="F26" s="94">
        <f t="shared" si="2"/>
        <v>14.172195461218632</v>
      </c>
      <c r="G26" s="94"/>
      <c r="H26" s="40">
        <f t="shared" si="3"/>
        <v>2.7029013910380817</v>
      </c>
      <c r="I26" s="94">
        <v>4.1940595367848887</v>
      </c>
      <c r="J26" s="94">
        <v>0.48827775119455635</v>
      </c>
      <c r="K26" s="94">
        <v>1.2819187642232284</v>
      </c>
      <c r="L26" s="94">
        <f t="shared" si="4"/>
        <v>1.7701965154177848</v>
      </c>
      <c r="N26" s="40">
        <f t="shared" si="5"/>
        <v>2.6641720196424856</v>
      </c>
      <c r="O26" s="94">
        <v>13.503625138933433</v>
      </c>
      <c r="P26" s="94">
        <v>0.84821921937760381</v>
      </c>
      <c r="Q26" s="94">
        <v>4.0610233469695309</v>
      </c>
      <c r="R26" s="94">
        <f t="shared" si="6"/>
        <v>4.9092425663471344</v>
      </c>
      <c r="S26" s="107"/>
      <c r="T26" s="40">
        <f t="shared" si="7"/>
        <v>3.008734431358584</v>
      </c>
      <c r="U26" s="94">
        <v>9.822315324281611</v>
      </c>
      <c r="V26" s="94">
        <v>4.1035030294278707</v>
      </c>
      <c r="W26" s="94">
        <v>3.3892533500258399</v>
      </c>
      <c r="X26" s="94">
        <f t="shared" si="8"/>
        <v>7.4927563794537111</v>
      </c>
      <c r="Y26" s="91" t="str">
        <f t="shared" si="0"/>
        <v>Education</v>
      </c>
      <c r="Z26" s="40">
        <f t="shared" si="9"/>
        <v>2.9117760664267189</v>
      </c>
      <c r="AA26" s="11">
        <v>12.395569669075353</v>
      </c>
      <c r="AB26" s="94">
        <v>5.0801062397678249</v>
      </c>
      <c r="AC26" s="94">
        <v>4.1209000120001473</v>
      </c>
      <c r="AD26" s="94">
        <f t="shared" si="10"/>
        <v>9.2010062517679714</v>
      </c>
      <c r="AE26" s="94"/>
      <c r="AF26" s="40">
        <f t="shared" si="11"/>
        <v>2.5937636321570645</v>
      </c>
      <c r="AG26" s="94">
        <v>0.81258397047140074</v>
      </c>
      <c r="AH26" s="94">
        <v>0.63966731573933144</v>
      </c>
      <c r="AI26" s="94">
        <v>0.23714666545277929</v>
      </c>
      <c r="AJ26" s="94">
        <f t="shared" si="12"/>
        <v>0.87681398119211074</v>
      </c>
      <c r="AL26" s="40">
        <f t="shared" si="13"/>
        <v>2.6939990649745837</v>
      </c>
      <c r="AM26" s="94">
        <v>4.0463139611233547</v>
      </c>
      <c r="AN26" s="94">
        <v>0.77655527040304539</v>
      </c>
      <c r="AO26" s="94">
        <v>1.2321825690004835</v>
      </c>
      <c r="AP26" s="94">
        <f t="shared" si="14"/>
        <v>2.0087378394035289</v>
      </c>
      <c r="AQ26" s="107"/>
      <c r="AR26" s="40">
        <f t="shared" si="15"/>
        <v>3.0604341026309489</v>
      </c>
      <c r="AS26" s="94">
        <v>7.5366717374805985</v>
      </c>
      <c r="AT26" s="94">
        <v>3.6638836536254487</v>
      </c>
      <c r="AU26" s="94">
        <v>2.6515707775468846</v>
      </c>
      <c r="AV26" s="94">
        <f t="shared" si="16"/>
        <v>6.3154544311723333</v>
      </c>
      <c r="AW26" s="91" t="str">
        <f t="shared" si="17"/>
        <v>Education</v>
      </c>
      <c r="AX26" s="40">
        <f t="shared" si="18"/>
        <v>2.6688337014858732</v>
      </c>
      <c r="AY26" s="11">
        <v>4.0745695684818486</v>
      </c>
      <c r="AZ26" s="94">
        <v>-0.65076923691411093</v>
      </c>
      <c r="BA26" s="94">
        <v>1.227775929825986</v>
      </c>
      <c r="BB26" s="94">
        <f t="shared" si="19"/>
        <v>0.57700669291187512</v>
      </c>
      <c r="BC26" s="94"/>
      <c r="BD26" s="40">
        <f t="shared" si="20"/>
        <v>2.5882032430875057</v>
      </c>
      <c r="BE26" s="94">
        <v>0.26691123725535981</v>
      </c>
      <c r="BF26" s="94">
        <v>-0.19380533282346687</v>
      </c>
      <c r="BG26" s="94">
        <v>7.7709251306618335E-2</v>
      </c>
      <c r="BH26" s="94">
        <f t="shared" si="21"/>
        <v>-0.11609608151684854</v>
      </c>
      <c r="BJ26" s="40">
        <f t="shared" si="22"/>
        <v>2.6104632834062169</v>
      </c>
      <c r="BK26" s="94">
        <v>2.4396136341847261</v>
      </c>
      <c r="BL26" s="94">
        <v>-0.51114595901616455</v>
      </c>
      <c r="BM26" s="94">
        <v>0.7171170827738349</v>
      </c>
      <c r="BN26" s="94">
        <f t="shared" si="23"/>
        <v>0.20597112375767035</v>
      </c>
      <c r="BO26" s="107"/>
      <c r="BP26" s="40">
        <f t="shared" si="24"/>
        <v>2.7877134101330858</v>
      </c>
      <c r="BQ26" s="94">
        <v>1.3680446970417623</v>
      </c>
      <c r="BR26" s="94">
        <v>5.4182054925520501E-2</v>
      </c>
      <c r="BS26" s="94">
        <v>0.43294959574553271</v>
      </c>
      <c r="BT26" s="94">
        <f t="shared" si="25"/>
        <v>0.48713165067105324</v>
      </c>
      <c r="BU26" s="91" t="str">
        <f t="shared" si="26"/>
        <v>Education</v>
      </c>
      <c r="BV26" s="40">
        <f t="shared" si="27"/>
        <v>2.5719174756100083</v>
      </c>
      <c r="BW26" s="11">
        <v>6.5723358416890418</v>
      </c>
      <c r="BX26" s="94">
        <v>-0.15751225654061013</v>
      </c>
      <c r="BY26" s="94">
        <v>1.9000258963583028</v>
      </c>
      <c r="BZ26" s="94">
        <f t="shared" si="28"/>
        <v>1.7425136398176926</v>
      </c>
      <c r="CA26" s="94"/>
      <c r="CB26" s="40">
        <f t="shared" si="29"/>
        <v>2.5863835000538682</v>
      </c>
      <c r="CC26" s="94">
        <v>1.6317851440554909</v>
      </c>
      <c r="CD26" s="94">
        <v>-0.43279551678413736</v>
      </c>
      <c r="CE26" s="94">
        <v>0.47470859686707906</v>
      </c>
      <c r="CF26" s="94">
        <f t="shared" si="30"/>
        <v>4.1913080082941701E-2</v>
      </c>
      <c r="CH26" s="40">
        <f t="shared" si="31"/>
        <v>2.542118825536166</v>
      </c>
      <c r="CI26" s="94">
        <v>4.3810752206434573</v>
      </c>
      <c r="CJ26" s="94">
        <v>2.5793305536142896E-2</v>
      </c>
      <c r="CK26" s="94">
        <v>1.250158852183944</v>
      </c>
      <c r="CL26" s="94">
        <f t="shared" si="32"/>
        <v>1.275952157720087</v>
      </c>
      <c r="CM26" s="107"/>
      <c r="CN26" s="40">
        <f t="shared" si="33"/>
        <v>2.7611586651374198</v>
      </c>
      <c r="CO26" s="94">
        <v>0.55947547699009315</v>
      </c>
      <c r="CP26" s="94">
        <v>0.24948995470738433</v>
      </c>
      <c r="CQ26" s="94">
        <v>0.17515844730727984</v>
      </c>
      <c r="CR26" s="94">
        <f t="shared" si="34"/>
        <v>0.42464840201466414</v>
      </c>
      <c r="CS26" s="91" t="str">
        <f t="shared" si="35"/>
        <v>Education</v>
      </c>
      <c r="CT26" s="40">
        <f t="shared" si="36"/>
        <v>2.9030497321535176</v>
      </c>
      <c r="CU26" s="11">
        <v>4.4775249207536891</v>
      </c>
      <c r="CV26" s="94">
        <v>1.168175253686927</v>
      </c>
      <c r="CW26" s="94">
        <v>1.4834936230341631</v>
      </c>
      <c r="CX26" s="94">
        <f t="shared" si="37"/>
        <v>2.6516688767210903</v>
      </c>
      <c r="CY26" s="94"/>
      <c r="CZ26" s="40">
        <f t="shared" si="38"/>
        <v>2.9086772572280095</v>
      </c>
      <c r="DA26" s="94">
        <v>1.4827791850026377</v>
      </c>
      <c r="DB26" s="94">
        <v>0.47521128506282911</v>
      </c>
      <c r="DC26" s="94">
        <v>0.4923542505967517</v>
      </c>
      <c r="DD26" s="94">
        <f t="shared" si="39"/>
        <v>0.96756553565958081</v>
      </c>
      <c r="DF26" s="40">
        <f t="shared" si="40"/>
        <v>2.8678141931647749</v>
      </c>
      <c r="DG26" s="94">
        <v>2.6366223229818955</v>
      </c>
      <c r="DH26" s="94">
        <v>0.55701660245458018</v>
      </c>
      <c r="DI26" s="94">
        <v>0.86156484301126879</v>
      </c>
      <c r="DJ26" s="94">
        <f t="shared" si="41"/>
        <v>1.418581445465849</v>
      </c>
      <c r="DK26" s="107"/>
      <c r="DL26" s="40">
        <f t="shared" si="42"/>
        <v>3.1363650139041965</v>
      </c>
      <c r="DM26" s="94">
        <v>0.35812341276915594</v>
      </c>
      <c r="DN26" s="94">
        <v>0.13594736616951764</v>
      </c>
      <c r="DO26" s="94">
        <v>0.12957452942614286</v>
      </c>
      <c r="DP26" s="94">
        <f t="shared" si="43"/>
        <v>0.26552189559566053</v>
      </c>
    </row>
    <row r="27" spans="1:120" x14ac:dyDescent="0.2">
      <c r="A27" s="91" t="str">
        <f>name!B23</f>
        <v>Health and social work</v>
      </c>
      <c r="B27" s="40">
        <f t="shared" si="1"/>
        <v>2.5950961839178666</v>
      </c>
      <c r="C27" s="11">
        <v>275.60199999999969</v>
      </c>
      <c r="D27" s="94">
        <v>-1.6730000000003524</v>
      </c>
      <c r="E27" s="94">
        <v>80.47866678861341</v>
      </c>
      <c r="F27" s="94">
        <f t="shared" si="2"/>
        <v>78.805666788613053</v>
      </c>
      <c r="G27" s="94"/>
      <c r="H27" s="40">
        <f t="shared" si="3"/>
        <v>2.4695756737683316</v>
      </c>
      <c r="I27" s="94">
        <v>81.511675089783012</v>
      </c>
      <c r="J27" s="94">
        <v>-19.797720579312639</v>
      </c>
      <c r="K27" s="94">
        <v>22.520863469623457</v>
      </c>
      <c r="L27" s="94">
        <f t="shared" si="4"/>
        <v>2.7231428903108181</v>
      </c>
      <c r="N27" s="40">
        <f t="shared" si="5"/>
        <v>2.5552337751491017</v>
      </c>
      <c r="O27" s="94">
        <v>150.28991841904894</v>
      </c>
      <c r="P27" s="94">
        <v>8.7057795230669974</v>
      </c>
      <c r="Q27" s="94">
        <v>43.133091870505552</v>
      </c>
      <c r="R27" s="94">
        <f t="shared" si="6"/>
        <v>51.838871393572546</v>
      </c>
      <c r="S27" s="107"/>
      <c r="T27" s="40">
        <f t="shared" si="7"/>
        <v>2.9581093378684198</v>
      </c>
      <c r="U27" s="94">
        <v>43.800406491167763</v>
      </c>
      <c r="V27" s="94">
        <v>9.418941056245286</v>
      </c>
      <c r="W27" s="94">
        <v>14.824711448484381</v>
      </c>
      <c r="X27" s="94">
        <f t="shared" si="8"/>
        <v>24.243652504729667</v>
      </c>
      <c r="Y27" s="91" t="str">
        <f t="shared" si="0"/>
        <v>Health and social work</v>
      </c>
      <c r="Z27" s="40">
        <f t="shared" si="9"/>
        <v>3.1186773432537507</v>
      </c>
      <c r="AA27" s="11">
        <v>64.293915126009693</v>
      </c>
      <c r="AB27" s="94">
        <v>17.722549991381833</v>
      </c>
      <c r="AC27" s="94">
        <v>23.112480454512202</v>
      </c>
      <c r="AD27" s="94">
        <f t="shared" si="10"/>
        <v>40.835030445894034</v>
      </c>
      <c r="AE27" s="94"/>
      <c r="AF27" s="40">
        <f t="shared" si="11"/>
        <v>3.0783063740929206</v>
      </c>
      <c r="AG27" s="94">
        <v>9.9195473983854772</v>
      </c>
      <c r="AH27" s="94">
        <v>1.4973424642898829</v>
      </c>
      <c r="AI27" s="94">
        <v>3.5131923201060649</v>
      </c>
      <c r="AJ27" s="94">
        <f t="shared" si="12"/>
        <v>5.010534784395948</v>
      </c>
      <c r="AL27" s="40">
        <f t="shared" si="13"/>
        <v>3.1315372831501653</v>
      </c>
      <c r="AM27" s="94">
        <v>25.525698517196087</v>
      </c>
      <c r="AN27" s="94">
        <v>10.147584573449684</v>
      </c>
      <c r="AO27" s="94">
        <v>9.2193201705336563</v>
      </c>
      <c r="AP27" s="94">
        <f t="shared" si="14"/>
        <v>19.366904743983341</v>
      </c>
      <c r="AQ27" s="107"/>
      <c r="AR27" s="40">
        <f t="shared" si="15"/>
        <v>3.121149070624285</v>
      </c>
      <c r="AS27" s="94">
        <v>28.848669210428131</v>
      </c>
      <c r="AT27" s="94">
        <v>6.0776229536422628</v>
      </c>
      <c r="AU27" s="94">
        <v>10.379967963872479</v>
      </c>
      <c r="AV27" s="94">
        <f t="shared" si="16"/>
        <v>16.457590917514743</v>
      </c>
      <c r="AW27" s="91" t="str">
        <f t="shared" si="17"/>
        <v>Health and social work</v>
      </c>
      <c r="AX27" s="40">
        <f t="shared" si="18"/>
        <v>2.6759668403012915</v>
      </c>
      <c r="AY27" s="11">
        <v>16.521747365931887</v>
      </c>
      <c r="AZ27" s="94">
        <v>-0.90533997621618789</v>
      </c>
      <c r="BA27" s="94">
        <v>4.9933832774217386</v>
      </c>
      <c r="BB27" s="94">
        <f t="shared" si="19"/>
        <v>4.088043301205551</v>
      </c>
      <c r="BC27" s="94"/>
      <c r="BD27" s="40">
        <f t="shared" si="20"/>
        <v>2.5787165892088737</v>
      </c>
      <c r="BE27" s="94">
        <v>2.1756544236878499</v>
      </c>
      <c r="BF27" s="94">
        <v>-0.17162265131127769</v>
      </c>
      <c r="BG27" s="94">
        <v>0.63082928217437373</v>
      </c>
      <c r="BH27" s="94">
        <f t="shared" si="21"/>
        <v>0.45920663086309604</v>
      </c>
      <c r="BJ27" s="40">
        <f t="shared" si="22"/>
        <v>2.6312555462310261</v>
      </c>
      <c r="BK27" s="94">
        <v>8.5774116106248197</v>
      </c>
      <c r="BL27" s="94">
        <v>-1.3110321038488253</v>
      </c>
      <c r="BM27" s="94">
        <v>2.5438144946044696</v>
      </c>
      <c r="BN27" s="94">
        <f t="shared" si="23"/>
        <v>1.2327823907556443</v>
      </c>
      <c r="BO27" s="107"/>
      <c r="BP27" s="40">
        <f t="shared" si="24"/>
        <v>2.7783786676990552</v>
      </c>
      <c r="BQ27" s="94">
        <v>5.7686813316192156</v>
      </c>
      <c r="BR27" s="94">
        <v>0.57731477894391503</v>
      </c>
      <c r="BS27" s="94">
        <v>1.8187395006428966</v>
      </c>
      <c r="BT27" s="94">
        <f t="shared" si="25"/>
        <v>2.3960542795868118</v>
      </c>
      <c r="BU27" s="91" t="str">
        <f t="shared" si="26"/>
        <v>Health and social work</v>
      </c>
      <c r="BV27" s="40">
        <f t="shared" si="27"/>
        <v>2.4185311777933372</v>
      </c>
      <c r="BW27" s="11">
        <v>185.64731569674743</v>
      </c>
      <c r="BX27" s="94">
        <v>-20.042065793695048</v>
      </c>
      <c r="BY27" s="94">
        <v>50.114846449207548</v>
      </c>
      <c r="BZ27" s="94">
        <f t="shared" si="28"/>
        <v>30.072780655512499</v>
      </c>
      <c r="CA27" s="94"/>
      <c r="CB27" s="40">
        <f t="shared" si="29"/>
        <v>2.3870453919311752</v>
      </c>
      <c r="CC27" s="94">
        <v>65.07948365464064</v>
      </c>
      <c r="CD27" s="94">
        <v>-20.422001047817911</v>
      </c>
      <c r="CE27" s="94">
        <v>17.314254108560334</v>
      </c>
      <c r="CF27" s="94">
        <f t="shared" si="30"/>
        <v>-3.1077469392575772</v>
      </c>
      <c r="CH27" s="40">
        <f t="shared" si="31"/>
        <v>2.4258065702267961</v>
      </c>
      <c r="CI27" s="94">
        <v>111.69445579336453</v>
      </c>
      <c r="CJ27" s="94">
        <v>-1.7999732059359685</v>
      </c>
      <c r="CK27" s="94">
        <v>30.252323208272195</v>
      </c>
      <c r="CL27" s="94">
        <f t="shared" si="32"/>
        <v>28.452350002336225</v>
      </c>
      <c r="CM27" s="107"/>
      <c r="CN27" s="40">
        <f t="shared" si="33"/>
        <v>2.5566857264312626</v>
      </c>
      <c r="CO27" s="94">
        <v>8.8733762487422378</v>
      </c>
      <c r="CP27" s="94">
        <v>2.1799084600588299</v>
      </c>
      <c r="CQ27" s="94">
        <v>2.5482691323750268</v>
      </c>
      <c r="CR27" s="94">
        <f t="shared" si="34"/>
        <v>4.7281775924338572</v>
      </c>
      <c r="CS27" s="91" t="str">
        <f t="shared" si="35"/>
        <v>Health and social work</v>
      </c>
      <c r="CT27" s="40">
        <f t="shared" si="36"/>
        <v>2.2325047123997521</v>
      </c>
      <c r="CU27" s="11">
        <v>9.139021811310748</v>
      </c>
      <c r="CV27" s="94">
        <v>1.5518557785290545</v>
      </c>
      <c r="CW27" s="94">
        <v>2.2579566074718973</v>
      </c>
      <c r="CX27" s="94">
        <f t="shared" si="37"/>
        <v>3.8098123860009521</v>
      </c>
      <c r="CY27" s="94"/>
      <c r="CZ27" s="40">
        <f t="shared" si="38"/>
        <v>2.2155897378276945</v>
      </c>
      <c r="DA27" s="94">
        <v>4.3369896130690391</v>
      </c>
      <c r="DB27" s="94">
        <v>-0.70143934447333278</v>
      </c>
      <c r="DC27" s="94">
        <v>1.0625877587826875</v>
      </c>
      <c r="DD27" s="94">
        <f t="shared" si="39"/>
        <v>0.36114841430935474</v>
      </c>
      <c r="DF27" s="40">
        <f t="shared" si="40"/>
        <v>2.2465820104417666</v>
      </c>
      <c r="DG27" s="94">
        <v>4.4923524978635268</v>
      </c>
      <c r="DH27" s="94">
        <v>1.6692002594021076</v>
      </c>
      <c r="DI27" s="94">
        <v>1.1176339970952323</v>
      </c>
      <c r="DJ27" s="94">
        <f t="shared" si="41"/>
        <v>2.7868342564973396</v>
      </c>
      <c r="DK27" s="107"/>
      <c r="DL27" s="40">
        <f t="shared" si="42"/>
        <v>2.2648343335861076</v>
      </c>
      <c r="DM27" s="94">
        <v>0.30967970037818215</v>
      </c>
      <c r="DN27" s="94">
        <v>0.58409486360027985</v>
      </c>
      <c r="DO27" s="94">
        <v>7.7734851593977319E-2</v>
      </c>
      <c r="DP27" s="94">
        <f t="shared" si="43"/>
        <v>0.66182971519425715</v>
      </c>
    </row>
    <row r="28" spans="1:120" x14ac:dyDescent="0.2">
      <c r="A28" s="91" t="str">
        <f>name!B24</f>
        <v>Arts and entertainment</v>
      </c>
      <c r="B28" s="40">
        <f t="shared" si="1"/>
        <v>2.6894345447805668</v>
      </c>
      <c r="C28" s="11">
        <v>583.99199872311158</v>
      </c>
      <c r="D28" s="94">
        <v>22.974992839555728</v>
      </c>
      <c r="E28" s="94">
        <v>177.49855672479771</v>
      </c>
      <c r="F28" s="94">
        <f t="shared" si="2"/>
        <v>200.47354956435345</v>
      </c>
      <c r="G28" s="94"/>
      <c r="H28" s="40">
        <f t="shared" si="3"/>
        <v>2.5241340757117703</v>
      </c>
      <c r="I28" s="94">
        <v>112.61142831364945</v>
      </c>
      <c r="J28" s="94">
        <v>-19.950461975362895</v>
      </c>
      <c r="K28" s="94">
        <v>31.880492992433172</v>
      </c>
      <c r="L28" s="94">
        <f t="shared" si="4"/>
        <v>11.930031017070277</v>
      </c>
      <c r="N28" s="40">
        <f t="shared" si="5"/>
        <v>2.5965813402446081</v>
      </c>
      <c r="O28" s="94">
        <v>322.09728549501801</v>
      </c>
      <c r="P28" s="94">
        <v>22.98072850143604</v>
      </c>
      <c r="Q28" s="94">
        <v>94.116022316887069</v>
      </c>
      <c r="R28" s="94">
        <f t="shared" si="6"/>
        <v>117.0967508183231</v>
      </c>
      <c r="S28" s="107"/>
      <c r="T28" s="40">
        <f t="shared" si="7"/>
        <v>3.0082665428908584</v>
      </c>
      <c r="U28" s="94">
        <v>149.28328491444404</v>
      </c>
      <c r="V28" s="94">
        <v>19.94472631348258</v>
      </c>
      <c r="W28" s="94">
        <v>51.5020414154775</v>
      </c>
      <c r="X28" s="94">
        <f t="shared" si="8"/>
        <v>71.446767728960083</v>
      </c>
      <c r="Y28" s="91" t="str">
        <f t="shared" si="0"/>
        <v>Arts and entertainment</v>
      </c>
      <c r="Z28" s="40">
        <f t="shared" si="9"/>
        <v>3.2588943559272998</v>
      </c>
      <c r="AA28" s="11">
        <v>161.66137310285907</v>
      </c>
      <c r="AB28" s="94">
        <v>1.3326548882882316</v>
      </c>
      <c r="AC28" s="94">
        <v>61.121073231490051</v>
      </c>
      <c r="AD28" s="94">
        <f t="shared" si="10"/>
        <v>62.453728119778283</v>
      </c>
      <c r="AE28" s="94"/>
      <c r="AF28" s="40">
        <f t="shared" si="11"/>
        <v>3.2768095159466437</v>
      </c>
      <c r="AG28" s="94">
        <v>13.303128548274954</v>
      </c>
      <c r="AH28" s="94">
        <v>-1.9338514027227476</v>
      </c>
      <c r="AI28" s="94">
        <v>5.0614902397360089</v>
      </c>
      <c r="AJ28" s="94">
        <f t="shared" si="12"/>
        <v>3.1276388370132615</v>
      </c>
      <c r="AL28" s="40">
        <f t="shared" si="13"/>
        <v>3.2222682296140004</v>
      </c>
      <c r="AM28" s="94">
        <v>61.167755464113846</v>
      </c>
      <c r="AN28" s="94">
        <v>-4.1267654969595462</v>
      </c>
      <c r="AO28" s="94">
        <v>22.827842408062001</v>
      </c>
      <c r="AP28" s="94">
        <f t="shared" si="14"/>
        <v>18.701076911102454</v>
      </c>
      <c r="AQ28" s="107"/>
      <c r="AR28" s="40">
        <f t="shared" si="15"/>
        <v>3.2817897264484586</v>
      </c>
      <c r="AS28" s="94">
        <v>87.190489090470265</v>
      </c>
      <c r="AT28" s="94">
        <v>7.3932717879705248</v>
      </c>
      <c r="AU28" s="94">
        <v>33.231740583692044</v>
      </c>
      <c r="AV28" s="94">
        <f t="shared" si="16"/>
        <v>40.625012371662571</v>
      </c>
      <c r="AW28" s="91" t="str">
        <f t="shared" si="17"/>
        <v>Arts and entertainment</v>
      </c>
      <c r="AX28" s="40">
        <f t="shared" si="18"/>
        <v>2.4581982255185597</v>
      </c>
      <c r="AY28" s="11">
        <v>274.12096692663408</v>
      </c>
      <c r="AZ28" s="94">
        <v>19.909375624336565</v>
      </c>
      <c r="BA28" s="94">
        <v>75.348629505054475</v>
      </c>
      <c r="BB28" s="94">
        <f t="shared" si="19"/>
        <v>95.258005129391037</v>
      </c>
      <c r="BC28" s="94"/>
      <c r="BD28" s="40">
        <f t="shared" si="20"/>
        <v>2.3965751535212299</v>
      </c>
      <c r="BE28" s="94">
        <v>52.434042602494252</v>
      </c>
      <c r="BF28" s="94">
        <v>-10.478560037555006</v>
      </c>
      <c r="BG28" s="94">
        <v>14.01177557326081</v>
      </c>
      <c r="BH28" s="94">
        <f t="shared" si="21"/>
        <v>3.5332155357058035</v>
      </c>
      <c r="BJ28" s="40">
        <f t="shared" si="22"/>
        <v>2.4303568044377055</v>
      </c>
      <c r="BK28" s="94">
        <v>169.82026195600062</v>
      </c>
      <c r="BL28" s="94">
        <v>22.045877770222617</v>
      </c>
      <c r="BM28" s="94">
        <v>46.091529986569107</v>
      </c>
      <c r="BN28" s="94">
        <f t="shared" si="23"/>
        <v>68.137407756791731</v>
      </c>
      <c r="BO28" s="107"/>
      <c r="BP28" s="40">
        <f t="shared" si="24"/>
        <v>2.6103523894776215</v>
      </c>
      <c r="BQ28" s="94">
        <v>51.866662368139195</v>
      </c>
      <c r="BR28" s="94">
        <v>8.3420578916689543</v>
      </c>
      <c r="BS28" s="94">
        <v>15.245323945224559</v>
      </c>
      <c r="BT28" s="94">
        <f t="shared" si="25"/>
        <v>23.587381836893513</v>
      </c>
      <c r="BU28" s="91" t="str">
        <f t="shared" si="26"/>
        <v>Arts and entertainment</v>
      </c>
      <c r="BV28" s="40">
        <f t="shared" si="27"/>
        <v>2.5546872517099084</v>
      </c>
      <c r="BW28" s="11">
        <v>107.2598983032326</v>
      </c>
      <c r="BX28" s="94">
        <v>-4.6347125764802879</v>
      </c>
      <c r="BY28" s="94">
        <v>30.776152696349076</v>
      </c>
      <c r="BZ28" s="94">
        <f t="shared" si="28"/>
        <v>26.14144011986879</v>
      </c>
      <c r="CA28" s="94"/>
      <c r="CB28" s="40">
        <f t="shared" si="29"/>
        <v>2.4937117735407188</v>
      </c>
      <c r="CC28" s="94">
        <v>30.58519142119675</v>
      </c>
      <c r="CD28" s="94">
        <v>-4.9664708583329622</v>
      </c>
      <c r="CE28" s="94">
        <v>8.5424270700257328</v>
      </c>
      <c r="CF28" s="94">
        <f t="shared" si="30"/>
        <v>3.5759562116927706</v>
      </c>
      <c r="CH28" s="40">
        <f t="shared" si="31"/>
        <v>2.5657893609980054</v>
      </c>
      <c r="CI28" s="94">
        <v>68.527793794387208</v>
      </c>
      <c r="CJ28" s="94">
        <v>-2.6111534978573356</v>
      </c>
      <c r="CK28" s="94">
        <v>19.75824225652681</v>
      </c>
      <c r="CL28" s="94">
        <f t="shared" si="32"/>
        <v>17.147088758669476</v>
      </c>
      <c r="CM28" s="107"/>
      <c r="CN28" s="40">
        <f t="shared" si="33"/>
        <v>2.6887677275016175</v>
      </c>
      <c r="CO28" s="94">
        <v>8.1469130876486417</v>
      </c>
      <c r="CP28" s="94">
        <v>2.9429117797100104</v>
      </c>
      <c r="CQ28" s="94">
        <v>2.4754833697965344</v>
      </c>
      <c r="CR28" s="94">
        <f t="shared" si="34"/>
        <v>5.4183951495065443</v>
      </c>
      <c r="CS28" s="91" t="str">
        <f t="shared" si="35"/>
        <v>Arts and entertainment</v>
      </c>
      <c r="CT28" s="40">
        <f t="shared" si="36"/>
        <v>2.2595665716523383</v>
      </c>
      <c r="CU28" s="11">
        <v>40.949760390385762</v>
      </c>
      <c r="CV28" s="94">
        <v>6.3676749034112179</v>
      </c>
      <c r="CW28" s="94">
        <v>10.252701291904129</v>
      </c>
      <c r="CX28" s="94">
        <f t="shared" si="37"/>
        <v>16.620376195315348</v>
      </c>
      <c r="CY28" s="94"/>
      <c r="CZ28" s="40">
        <f t="shared" si="38"/>
        <v>2.3528014807572273</v>
      </c>
      <c r="DA28" s="94">
        <v>16.289065741683487</v>
      </c>
      <c r="DB28" s="94">
        <v>-2.5715796767521768</v>
      </c>
      <c r="DC28" s="94">
        <v>4.264800109410622</v>
      </c>
      <c r="DD28" s="94">
        <f t="shared" si="39"/>
        <v>1.6932204326584452</v>
      </c>
      <c r="DF28" s="40">
        <f t="shared" si="40"/>
        <v>2.1812946342883111</v>
      </c>
      <c r="DG28" s="94">
        <v>22.581474280516332</v>
      </c>
      <c r="DH28" s="94">
        <v>7.6727697260303049</v>
      </c>
      <c r="DI28" s="94">
        <v>5.438407665729156</v>
      </c>
      <c r="DJ28" s="94">
        <f t="shared" si="41"/>
        <v>13.111177391759462</v>
      </c>
      <c r="DK28" s="107"/>
      <c r="DL28" s="40">
        <f t="shared" si="42"/>
        <v>2.372728806531299</v>
      </c>
      <c r="DM28" s="94">
        <v>2.0792203681859425</v>
      </c>
      <c r="DN28" s="94">
        <v>1.2664848541330906</v>
      </c>
      <c r="DO28" s="94">
        <v>0.54949351676435321</v>
      </c>
      <c r="DP28" s="94">
        <f t="shared" si="43"/>
        <v>1.8159783708974437</v>
      </c>
    </row>
    <row r="29" spans="1:120" x14ac:dyDescent="0.2">
      <c r="A29" s="91" t="str">
        <f>name!B25</f>
        <v>Other services</v>
      </c>
      <c r="B29" s="40">
        <f t="shared" si="1"/>
        <v>2.7838069142694266</v>
      </c>
      <c r="C29" s="11">
        <v>108.16125170522943</v>
      </c>
      <c r="D29" s="94">
        <v>8.1774730396989117</v>
      </c>
      <c r="E29" s="94">
        <v>34.176039083117807</v>
      </c>
      <c r="F29" s="94">
        <f t="shared" si="2"/>
        <v>42.353512122816717</v>
      </c>
      <c r="G29" s="94"/>
      <c r="H29" s="40">
        <f t="shared" si="3"/>
        <v>2.6834266880037649</v>
      </c>
      <c r="I29" s="94">
        <v>32.326959698464499</v>
      </c>
      <c r="J29" s="94">
        <v>-6.1167969801013387</v>
      </c>
      <c r="K29" s="94">
        <v>9.8008028887364027</v>
      </c>
      <c r="L29" s="94">
        <f t="shared" si="4"/>
        <v>3.6840059086350641</v>
      </c>
      <c r="N29" s="40">
        <f t="shared" si="5"/>
        <v>2.7760834170330817</v>
      </c>
      <c r="O29" s="94">
        <v>57.398886868822629</v>
      </c>
      <c r="P29" s="94">
        <v>7.6406602287910461</v>
      </c>
      <c r="Q29" s="94">
        <v>18.079760081959783</v>
      </c>
      <c r="R29" s="94">
        <f t="shared" si="6"/>
        <v>25.720420310750828</v>
      </c>
      <c r="S29" s="107"/>
      <c r="T29" s="40">
        <f t="shared" si="7"/>
        <v>2.981376043016648</v>
      </c>
      <c r="U29" s="94">
        <v>18.435405137942325</v>
      </c>
      <c r="V29" s="94">
        <v>6.6536097910092034</v>
      </c>
      <c r="W29" s="94">
        <v>6.2954761124216301</v>
      </c>
      <c r="X29" s="94">
        <f t="shared" si="8"/>
        <v>12.949085903430834</v>
      </c>
      <c r="Y29" s="91" t="str">
        <f t="shared" si="0"/>
        <v>Other services</v>
      </c>
      <c r="Z29" s="40">
        <f t="shared" si="9"/>
        <v>3.3946693153821483</v>
      </c>
      <c r="AA29" s="11">
        <v>18.73707769261355</v>
      </c>
      <c r="AB29" s="94">
        <v>3.9696712217231607</v>
      </c>
      <c r="AC29" s="94">
        <v>7.4256694078981278</v>
      </c>
      <c r="AD29" s="94">
        <f t="shared" si="10"/>
        <v>11.395340629621288</v>
      </c>
      <c r="AE29" s="94"/>
      <c r="AF29" s="40">
        <f t="shared" si="11"/>
        <v>3.6016336348735356</v>
      </c>
      <c r="AG29" s="94">
        <v>2.3415431027696858</v>
      </c>
      <c r="AH29" s="94">
        <v>0.24514900613498003</v>
      </c>
      <c r="AI29" s="94">
        <v>0.99401256180311637</v>
      </c>
      <c r="AJ29" s="94">
        <f t="shared" si="12"/>
        <v>1.2391615679380963</v>
      </c>
      <c r="AL29" s="40">
        <f t="shared" si="13"/>
        <v>3.5014338519299582</v>
      </c>
      <c r="AM29" s="94">
        <v>8.1965364975682427</v>
      </c>
      <c r="AN29" s="94">
        <v>1.8824630168780692</v>
      </c>
      <c r="AO29" s="94">
        <v>3.3670895885720658</v>
      </c>
      <c r="AP29" s="94">
        <f t="shared" si="14"/>
        <v>5.2495526054501349</v>
      </c>
      <c r="AQ29" s="107"/>
      <c r="AR29" s="40">
        <f t="shared" si="15"/>
        <v>3.2265730612790922</v>
      </c>
      <c r="AS29" s="94">
        <v>8.1989980922756232</v>
      </c>
      <c r="AT29" s="94">
        <v>1.8420591987101114</v>
      </c>
      <c r="AU29" s="94">
        <v>3.0645672575229463</v>
      </c>
      <c r="AV29" s="94">
        <f t="shared" si="16"/>
        <v>4.9066264562330577</v>
      </c>
      <c r="AW29" s="91" t="str">
        <f t="shared" si="17"/>
        <v>Other services</v>
      </c>
      <c r="AX29" s="40">
        <f t="shared" si="18"/>
        <v>2.6483238273837584</v>
      </c>
      <c r="AY29" s="11">
        <v>19.032176889267678</v>
      </c>
      <c r="AZ29" s="94">
        <v>1.0956652491419592</v>
      </c>
      <c r="BA29" s="94">
        <v>5.685467852803928</v>
      </c>
      <c r="BB29" s="94">
        <f t="shared" si="19"/>
        <v>6.7811331019458869</v>
      </c>
      <c r="BC29" s="94"/>
      <c r="BD29" s="40">
        <f t="shared" si="20"/>
        <v>2.5698311582555533</v>
      </c>
      <c r="BE29" s="94">
        <v>3.4123327833961343</v>
      </c>
      <c r="BF29" s="94">
        <v>-0.44962292514756064</v>
      </c>
      <c r="BG29" s="94">
        <v>0.9855918713750732</v>
      </c>
      <c r="BH29" s="94">
        <f t="shared" si="21"/>
        <v>0.53596894622751257</v>
      </c>
      <c r="BJ29" s="40">
        <f t="shared" si="22"/>
        <v>2.6113519594407553</v>
      </c>
      <c r="BK29" s="94">
        <v>10.441678809376455</v>
      </c>
      <c r="BL29" s="94">
        <v>0.67813132541245391</v>
      </c>
      <c r="BM29" s="94">
        <v>3.0704702368243959</v>
      </c>
      <c r="BN29" s="94">
        <f t="shared" si="23"/>
        <v>3.7486015622368498</v>
      </c>
      <c r="BO29" s="107"/>
      <c r="BP29" s="40">
        <f t="shared" si="24"/>
        <v>2.7736136732418482</v>
      </c>
      <c r="BQ29" s="94">
        <v>5.1781652964950879</v>
      </c>
      <c r="BR29" s="94">
        <v>0.86715684887706568</v>
      </c>
      <c r="BS29" s="94">
        <v>1.6294057446044583</v>
      </c>
      <c r="BT29" s="94">
        <f t="shared" si="25"/>
        <v>2.4965625934815239</v>
      </c>
      <c r="BU29" s="91" t="str">
        <f t="shared" si="26"/>
        <v>Other services</v>
      </c>
      <c r="BV29" s="40">
        <f t="shared" si="27"/>
        <v>2.6772484709001398</v>
      </c>
      <c r="BW29" s="11">
        <v>66.201397878138252</v>
      </c>
      <c r="BX29" s="94">
        <v>1.2456325163985658</v>
      </c>
      <c r="BY29" s="94">
        <v>20.01887239295467</v>
      </c>
      <c r="BZ29" s="94">
        <f t="shared" si="28"/>
        <v>21.264504909353235</v>
      </c>
      <c r="CA29" s="94"/>
      <c r="CB29" s="40">
        <f t="shared" si="29"/>
        <v>2.6461497895164943</v>
      </c>
      <c r="CC29" s="94">
        <v>24.360601420401576</v>
      </c>
      <c r="CD29" s="94">
        <v>-5.6900213912272246</v>
      </c>
      <c r="CE29" s="94">
        <v>7.2705240080694988</v>
      </c>
      <c r="CF29" s="94">
        <f t="shared" si="30"/>
        <v>1.5805026168422742</v>
      </c>
      <c r="CH29" s="40">
        <f t="shared" si="31"/>
        <v>2.6783758996457463</v>
      </c>
      <c r="CI29" s="94">
        <v>37.050128855405674</v>
      </c>
      <c r="CJ29" s="94">
        <v>3.896536363658667</v>
      </c>
      <c r="CK29" s="94">
        <v>11.209016818125267</v>
      </c>
      <c r="CL29" s="94">
        <f t="shared" si="32"/>
        <v>15.105553181783934</v>
      </c>
      <c r="CM29" s="107"/>
      <c r="CN29" s="40">
        <f t="shared" si="33"/>
        <v>2.8254837692558654</v>
      </c>
      <c r="CO29" s="94">
        <v>4.7906676023310046</v>
      </c>
      <c r="CP29" s="94">
        <v>3.0391175439671234</v>
      </c>
      <c r="CQ29" s="94">
        <v>1.5393315667599037</v>
      </c>
      <c r="CR29" s="94">
        <f t="shared" si="34"/>
        <v>4.5784491107270266</v>
      </c>
      <c r="CS29" s="91" t="str">
        <f t="shared" si="35"/>
        <v>Other services</v>
      </c>
      <c r="CT29" s="40">
        <f t="shared" si="36"/>
        <v>2.2533546481934286</v>
      </c>
      <c r="CU29" s="11">
        <v>4.1905992452099587</v>
      </c>
      <c r="CV29" s="94">
        <v>1.8665040524352257</v>
      </c>
      <c r="CW29" s="94">
        <v>1.046029429461087</v>
      </c>
      <c r="CX29" s="94">
        <f t="shared" si="37"/>
        <v>2.9125334818963129</v>
      </c>
      <c r="CY29" s="94"/>
      <c r="CZ29" s="40">
        <f t="shared" si="38"/>
        <v>2.2474701591650437</v>
      </c>
      <c r="DA29" s="94">
        <v>2.2124823918971015</v>
      </c>
      <c r="DB29" s="94">
        <v>-0.22230166986153393</v>
      </c>
      <c r="DC29" s="94">
        <v>0.55067444748871397</v>
      </c>
      <c r="DD29" s="94">
        <f t="shared" si="39"/>
        <v>0.32837277762718003</v>
      </c>
      <c r="DF29" s="40">
        <f t="shared" si="40"/>
        <v>2.2830190168655617</v>
      </c>
      <c r="DG29" s="94">
        <v>1.7105427064722503</v>
      </c>
      <c r="DH29" s="94">
        <v>1.1835295228418568</v>
      </c>
      <c r="DI29" s="94">
        <v>0.43318343843805091</v>
      </c>
      <c r="DJ29" s="94">
        <f t="shared" si="41"/>
        <v>1.6167129612799076</v>
      </c>
      <c r="DK29" s="107"/>
      <c r="DL29" s="40">
        <f t="shared" si="42"/>
        <v>2.1112277164391235</v>
      </c>
      <c r="DM29" s="94">
        <v>0.26757414684060715</v>
      </c>
      <c r="DN29" s="94">
        <v>0.90527619945490279</v>
      </c>
      <c r="DO29" s="94">
        <v>6.2171543534321853E-2</v>
      </c>
      <c r="DP29" s="94">
        <f t="shared" si="43"/>
        <v>0.96744774298922465</v>
      </c>
    </row>
    <row r="30" spans="1:120" x14ac:dyDescent="0.2">
      <c r="A30" s="91">
        <f>name!B26</f>
        <v>0</v>
      </c>
      <c r="B30" s="40">
        <f t="shared" si="1"/>
        <v>2.81853341281606</v>
      </c>
      <c r="C30" s="11">
        <v>3.6239999999999957</v>
      </c>
      <c r="D30" s="94">
        <v>0.24699999999999425</v>
      </c>
      <c r="E30" s="94">
        <v>1.161223619177874</v>
      </c>
      <c r="F30" s="94">
        <f t="shared" si="2"/>
        <v>1.4082236191778683</v>
      </c>
      <c r="G30" s="94"/>
      <c r="H30" s="40">
        <f t="shared" si="3"/>
        <v>2.6181998345442992</v>
      </c>
      <c r="I30" s="94">
        <v>0.8854137576985297</v>
      </c>
      <c r="J30" s="94">
        <v>-0.37920842251297887</v>
      </c>
      <c r="K30" s="94">
        <v>0.26112881202833382</v>
      </c>
      <c r="L30" s="94">
        <f t="shared" si="4"/>
        <v>-0.11807961048464505</v>
      </c>
      <c r="N30" s="40">
        <f t="shared" si="5"/>
        <v>2.6529788153066836</v>
      </c>
      <c r="O30" s="94">
        <v>1.3832584282800451</v>
      </c>
      <c r="P30" s="94">
        <v>0.23337200314420425</v>
      </c>
      <c r="Q30" s="94">
        <v>0.41403459662136033</v>
      </c>
      <c r="R30" s="94">
        <f t="shared" si="6"/>
        <v>0.64740659976556458</v>
      </c>
      <c r="S30" s="107"/>
      <c r="T30" s="40">
        <f t="shared" si="7"/>
        <v>3.1122102767148885</v>
      </c>
      <c r="U30" s="94">
        <v>1.3553278140214204</v>
      </c>
      <c r="V30" s="94">
        <v>0.39283641936876895</v>
      </c>
      <c r="W30" s="94">
        <v>0.48606021052817994</v>
      </c>
      <c r="X30" s="94">
        <f t="shared" si="8"/>
        <v>0.87889662989694894</v>
      </c>
      <c r="Y30" s="91">
        <f t="shared" si="0"/>
        <v>0</v>
      </c>
      <c r="Z30" s="40">
        <f t="shared" si="9"/>
        <v>2.9443653428279148</v>
      </c>
      <c r="AA30" s="11">
        <v>1.8811280324430137</v>
      </c>
      <c r="AB30" s="94">
        <v>0.12648602226143923</v>
      </c>
      <c r="AC30" s="94">
        <v>0.63332866226922047</v>
      </c>
      <c r="AD30" s="94">
        <f t="shared" si="10"/>
        <v>0.7598146845306597</v>
      </c>
      <c r="AE30" s="94"/>
      <c r="AF30" s="40">
        <f t="shared" si="11"/>
        <v>2.5616056481945648</v>
      </c>
      <c r="AG30" s="94">
        <v>0.39195326978431944</v>
      </c>
      <c r="AH30" s="94">
        <v>-0.20952388317933862</v>
      </c>
      <c r="AI30" s="94">
        <v>0.11280379340146277</v>
      </c>
      <c r="AJ30" s="94">
        <f t="shared" si="12"/>
        <v>-9.6720089777875856E-2</v>
      </c>
      <c r="AL30" s="40">
        <f t="shared" si="13"/>
        <v>2.6346340495356335</v>
      </c>
      <c r="AM30" s="94">
        <v>0.4129117991411031</v>
      </c>
      <c r="AN30" s="94">
        <v>-1.2440580648808345E-2</v>
      </c>
      <c r="AO30" s="94">
        <v>0.1226340711227917</v>
      </c>
      <c r="AP30" s="94">
        <f t="shared" si="14"/>
        <v>0.11019349047398336</v>
      </c>
      <c r="AQ30" s="107"/>
      <c r="AR30" s="40">
        <f t="shared" si="15"/>
        <v>3.1958990333170068</v>
      </c>
      <c r="AS30" s="94">
        <v>1.0762629635175913</v>
      </c>
      <c r="AT30" s="94">
        <v>0.34845048608958623</v>
      </c>
      <c r="AU30" s="94">
        <v>0.39789079774496594</v>
      </c>
      <c r="AV30" s="94">
        <f t="shared" si="16"/>
        <v>0.74634128383455223</v>
      </c>
      <c r="AW30" s="91">
        <f t="shared" si="17"/>
        <v>0</v>
      </c>
      <c r="AX30" s="40">
        <f t="shared" si="18"/>
        <v>2.6556901882889949</v>
      </c>
      <c r="AY30" s="11">
        <v>0.79016052016002847</v>
      </c>
      <c r="AZ30" s="94">
        <v>-5.5512159780558507E-3</v>
      </c>
      <c r="BA30" s="94">
        <v>0.23678073042517134</v>
      </c>
      <c r="BB30" s="94">
        <f t="shared" si="19"/>
        <v>0.23122951444711548</v>
      </c>
      <c r="BC30" s="94"/>
      <c r="BD30" s="40">
        <f t="shared" si="20"/>
        <v>2.6320188411371737</v>
      </c>
      <c r="BE30" s="94">
        <v>0.10890628043772764</v>
      </c>
      <c r="BF30" s="94">
        <v>-3.6714040606319942E-2</v>
      </c>
      <c r="BG30" s="94">
        <v>3.2308984136424024E-2</v>
      </c>
      <c r="BH30" s="94">
        <f t="shared" si="21"/>
        <v>-4.4050564698959183E-3</v>
      </c>
      <c r="BJ30" s="40">
        <f t="shared" si="22"/>
        <v>2.632798184440821</v>
      </c>
      <c r="BK30" s="94">
        <v>0.54343409949213617</v>
      </c>
      <c r="BL30" s="94">
        <v>6.5977065103502874E-2</v>
      </c>
      <c r="BM30" s="94">
        <v>0.16127289650651028</v>
      </c>
      <c r="BN30" s="94">
        <f t="shared" si="23"/>
        <v>0.22724996161001315</v>
      </c>
      <c r="BO30" s="107"/>
      <c r="BP30" s="40">
        <f t="shared" si="24"/>
        <v>2.7640342004974006</v>
      </c>
      <c r="BQ30" s="94">
        <v>0.13782014023016467</v>
      </c>
      <c r="BR30" s="94">
        <v>-3.4814240475238789E-2</v>
      </c>
      <c r="BS30" s="94">
        <v>4.319884978223705E-2</v>
      </c>
      <c r="BT30" s="94">
        <f t="shared" si="25"/>
        <v>8.3846093069982613E-3</v>
      </c>
      <c r="BU30" s="91">
        <f t="shared" si="26"/>
        <v>0</v>
      </c>
      <c r="BV30" s="40">
        <f t="shared" si="27"/>
        <v>2.7443857826882523</v>
      </c>
      <c r="BW30" s="11">
        <v>0.71149816309577474</v>
      </c>
      <c r="BX30" s="94">
        <v>0.24504437900903087</v>
      </c>
      <c r="BY30" s="94">
        <v>0.22122934558787391</v>
      </c>
      <c r="BZ30" s="94">
        <f t="shared" si="28"/>
        <v>0.46627372459690475</v>
      </c>
      <c r="CA30" s="94"/>
      <c r="CB30" s="40">
        <f t="shared" si="29"/>
        <v>2.6198589066564582</v>
      </c>
      <c r="CC30" s="94">
        <v>0.18443335988879814</v>
      </c>
      <c r="CD30" s="94">
        <v>-4.0323210155314967E-2</v>
      </c>
      <c r="CE30" s="94">
        <v>5.4432240278174497E-2</v>
      </c>
      <c r="CF30" s="94">
        <f t="shared" si="30"/>
        <v>1.410903012285953E-2</v>
      </c>
      <c r="CH30" s="40">
        <f t="shared" si="31"/>
        <v>2.782142672137855</v>
      </c>
      <c r="CI30" s="94">
        <v>0.38582009293331226</v>
      </c>
      <c r="CJ30" s="94">
        <v>0.20616741540992439</v>
      </c>
      <c r="CK30" s="94">
        <v>0.12182654230872253</v>
      </c>
      <c r="CL30" s="94">
        <f t="shared" si="32"/>
        <v>0.32799395771864692</v>
      </c>
      <c r="CM30" s="107"/>
      <c r="CN30" s="40">
        <f t="shared" si="33"/>
        <v>2.802650191366185</v>
      </c>
      <c r="CO30" s="94">
        <v>0.14124471027366434</v>
      </c>
      <c r="CP30" s="94">
        <v>7.9200173754421455E-2</v>
      </c>
      <c r="CQ30" s="94">
        <v>4.4970563000976925E-2</v>
      </c>
      <c r="CR30" s="94">
        <f t="shared" si="34"/>
        <v>0.12417073675539839</v>
      </c>
      <c r="CS30" s="91">
        <f t="shared" si="35"/>
        <v>0</v>
      </c>
      <c r="CT30" s="40">
        <f t="shared" si="36"/>
        <v>2.5769124618272299</v>
      </c>
      <c r="CU30" s="11">
        <v>0.24121328430117833</v>
      </c>
      <c r="CV30" s="94">
        <v>-0.11897918529242003</v>
      </c>
      <c r="CW30" s="94">
        <v>6.9884880895608265E-2</v>
      </c>
      <c r="CX30" s="94">
        <f t="shared" si="37"/>
        <v>-4.9094304396811769E-2</v>
      </c>
      <c r="CY30" s="94"/>
      <c r="CZ30" s="40">
        <f t="shared" si="38"/>
        <v>2.7192664271063816</v>
      </c>
      <c r="DA30" s="94">
        <v>0.20012084758768453</v>
      </c>
      <c r="DB30" s="94">
        <v>-9.2647288572005396E-2</v>
      </c>
      <c r="DC30" s="94">
        <v>6.1583794212272509E-2</v>
      </c>
      <c r="DD30" s="94">
        <f t="shared" si="39"/>
        <v>-3.1063494359732886E-2</v>
      </c>
      <c r="DF30" s="40">
        <f t="shared" si="40"/>
        <v>1.8569836908540527</v>
      </c>
      <c r="DG30" s="94">
        <v>4.1092436713493816E-2</v>
      </c>
      <c r="DH30" s="94">
        <v>-2.6331896720414642E-2</v>
      </c>
      <c r="DI30" s="94">
        <v>8.3010866833357552E-3</v>
      </c>
      <c r="DJ30" s="94">
        <f t="shared" si="41"/>
        <v>-1.8030810037078886E-2</v>
      </c>
      <c r="DK30" s="107"/>
      <c r="DL30" s="40">
        <f t="shared" si="42"/>
        <v>0</v>
      </c>
      <c r="DM30" s="94">
        <v>0</v>
      </c>
      <c r="DN30" s="94">
        <v>0</v>
      </c>
      <c r="DO30" s="94">
        <v>0</v>
      </c>
      <c r="DP30" s="94">
        <f t="shared" si="43"/>
        <v>0</v>
      </c>
    </row>
    <row r="31" spans="1:120" x14ac:dyDescent="0.2">
      <c r="A31" s="91">
        <f>name!B27</f>
        <v>0</v>
      </c>
      <c r="B31" s="40">
        <f t="shared" si="1"/>
        <v>2.6734729787020628</v>
      </c>
      <c r="C31" s="11">
        <v>5.3973840679838156</v>
      </c>
      <c r="D31" s="94">
        <v>1.1408021816129781</v>
      </c>
      <c r="E31" s="94">
        <v>1.6295494976716494</v>
      </c>
      <c r="F31" s="94">
        <f t="shared" si="2"/>
        <v>2.7703516792846274</v>
      </c>
      <c r="G31" s="94"/>
      <c r="H31" s="40">
        <f t="shared" si="3"/>
        <v>2.4242144760953321</v>
      </c>
      <c r="I31" s="94">
        <v>0.66792410715744144</v>
      </c>
      <c r="J31" s="94">
        <v>8.7081733597755159E-2</v>
      </c>
      <c r="K31" s="94">
        <v>0.18077459401533136</v>
      </c>
      <c r="L31" s="94">
        <f t="shared" si="4"/>
        <v>0.26785632761308653</v>
      </c>
      <c r="N31" s="40">
        <f t="shared" si="5"/>
        <v>2.609263332573919</v>
      </c>
      <c r="O31" s="94">
        <v>2.0775695012091084</v>
      </c>
      <c r="P31" s="94">
        <v>0.2544737074116219</v>
      </c>
      <c r="Q31" s="94">
        <v>0.6103809444492555</v>
      </c>
      <c r="R31" s="94">
        <f t="shared" si="6"/>
        <v>0.8648546518608774</v>
      </c>
      <c r="S31" s="107"/>
      <c r="T31" s="40">
        <f t="shared" si="7"/>
        <v>2.7851854419137734</v>
      </c>
      <c r="U31" s="94">
        <v>2.6518904596172663</v>
      </c>
      <c r="V31" s="94">
        <v>0.79924674060360146</v>
      </c>
      <c r="W31" s="94">
        <v>0.83839395920706195</v>
      </c>
      <c r="X31" s="94">
        <f t="shared" si="8"/>
        <v>1.6376406998106634</v>
      </c>
      <c r="Y31" s="91">
        <f t="shared" si="0"/>
        <v>0</v>
      </c>
      <c r="Z31" s="40">
        <f t="shared" si="9"/>
        <v>2.8165513572584899</v>
      </c>
      <c r="AA31" s="11">
        <v>2.214362158393115</v>
      </c>
      <c r="AB31" s="94">
        <v>0.76697330164247091</v>
      </c>
      <c r="AC31" s="94">
        <v>0.7089754858112105</v>
      </c>
      <c r="AD31" s="94">
        <f t="shared" si="10"/>
        <v>1.4759487874536814</v>
      </c>
      <c r="AE31" s="94"/>
      <c r="AF31" s="40">
        <f t="shared" si="11"/>
        <v>2.4947991741868014</v>
      </c>
      <c r="AG31" s="94">
        <v>9.3295900311954727E-2</v>
      </c>
      <c r="AH31" s="94">
        <v>7.3611029159494539E-3</v>
      </c>
      <c r="AI31" s="94">
        <v>2.6070156753053058E-2</v>
      </c>
      <c r="AJ31" s="94">
        <f t="shared" si="12"/>
        <v>3.3431259669002511E-2</v>
      </c>
      <c r="AL31" s="40">
        <f t="shared" si="13"/>
        <v>2.7753358006801676</v>
      </c>
      <c r="AM31" s="94">
        <v>0.4972447918516455</v>
      </c>
      <c r="AN31" s="94">
        <v>9.6394295735497987E-2</v>
      </c>
      <c r="AO31" s="94">
        <v>0.15657684325353696</v>
      </c>
      <c r="AP31" s="94">
        <f t="shared" si="14"/>
        <v>0.25297113898903495</v>
      </c>
      <c r="AQ31" s="107"/>
      <c r="AR31" s="40">
        <f t="shared" si="15"/>
        <v>2.8473360407721415</v>
      </c>
      <c r="AS31" s="94">
        <v>1.6238214662295147</v>
      </c>
      <c r="AT31" s="94">
        <v>0.66321790299102346</v>
      </c>
      <c r="AU31" s="94">
        <v>0.52632848580462055</v>
      </c>
      <c r="AV31" s="94">
        <f t="shared" si="16"/>
        <v>1.1895463887956441</v>
      </c>
      <c r="AW31" s="91">
        <f t="shared" si="17"/>
        <v>0</v>
      </c>
      <c r="AX31" s="40">
        <f t="shared" si="18"/>
        <v>2.6299606183572521</v>
      </c>
      <c r="AY31" s="11">
        <v>2.2783095768098032</v>
      </c>
      <c r="AZ31" s="94">
        <v>0.28087299486229567</v>
      </c>
      <c r="BA31" s="94">
        <v>0.67530864231188981</v>
      </c>
      <c r="BB31" s="94">
        <f t="shared" si="19"/>
        <v>0.95618163717418547</v>
      </c>
      <c r="BC31" s="94"/>
      <c r="BD31" s="40">
        <f t="shared" si="20"/>
        <v>2.5631080985660804</v>
      </c>
      <c r="BE31" s="94">
        <v>0.22101247964060855</v>
      </c>
      <c r="BF31" s="94">
        <v>-1.6947941898083588E-2</v>
      </c>
      <c r="BG31" s="94">
        <v>6.3648887364331108E-2</v>
      </c>
      <c r="BH31" s="94">
        <f t="shared" si="21"/>
        <v>4.670094546624752E-2</v>
      </c>
      <c r="BJ31" s="40">
        <f t="shared" si="22"/>
        <v>2.5856877347969265</v>
      </c>
      <c r="BK31" s="94">
        <v>1.1148096584511451</v>
      </c>
      <c r="BL31" s="94">
        <v>0.19268434666122614</v>
      </c>
      <c r="BM31" s="94">
        <v>0.32421576182958223</v>
      </c>
      <c r="BN31" s="94">
        <f t="shared" si="23"/>
        <v>0.51690010849080836</v>
      </c>
      <c r="BO31" s="107"/>
      <c r="BP31" s="40">
        <f t="shared" si="24"/>
        <v>2.6976564051442775</v>
      </c>
      <c r="BQ31" s="94">
        <v>0.94248743871804974</v>
      </c>
      <c r="BR31" s="94">
        <v>0.10513659009915316</v>
      </c>
      <c r="BS31" s="94">
        <v>0.28744399311797653</v>
      </c>
      <c r="BT31" s="94">
        <f t="shared" si="25"/>
        <v>0.39258058321712969</v>
      </c>
      <c r="BU31" s="91">
        <f t="shared" si="26"/>
        <v>0</v>
      </c>
      <c r="BV31" s="40">
        <f t="shared" si="27"/>
        <v>2.6073314286228833</v>
      </c>
      <c r="BW31" s="11">
        <v>0.44551231145339021</v>
      </c>
      <c r="BX31" s="94">
        <v>-8.3373030656131442E-3</v>
      </c>
      <c r="BY31" s="94">
        <v>0.13078107806231981</v>
      </c>
      <c r="BZ31" s="94">
        <f t="shared" si="28"/>
        <v>0.12244377499670667</v>
      </c>
      <c r="CA31" s="94"/>
      <c r="CB31" s="40">
        <f t="shared" si="29"/>
        <v>2.4365291604826034</v>
      </c>
      <c r="CC31" s="94">
        <v>8.6276945213152031E-2</v>
      </c>
      <c r="CD31" s="94">
        <v>-4.2074055456051036E-2</v>
      </c>
      <c r="CE31" s="94">
        <v>2.3482855274529982E-2</v>
      </c>
      <c r="CF31" s="94">
        <f t="shared" si="30"/>
        <v>-1.8591200181521054E-2</v>
      </c>
      <c r="CH31" s="40">
        <f t="shared" si="31"/>
        <v>2.6262299218310803</v>
      </c>
      <c r="CI31" s="94">
        <v>0.29498731949520918</v>
      </c>
      <c r="CJ31" s="94">
        <v>2.0855293533474064E-2</v>
      </c>
      <c r="CK31" s="94">
        <v>8.7297539162572352E-2</v>
      </c>
      <c r="CL31" s="94">
        <f t="shared" si="32"/>
        <v>0.10815283269604642</v>
      </c>
      <c r="CM31" s="107"/>
      <c r="CN31" s="40">
        <f t="shared" si="33"/>
        <v>2.7472823291570414</v>
      </c>
      <c r="CO31" s="94">
        <v>6.4248046745029E-2</v>
      </c>
      <c r="CP31" s="94">
        <v>1.2881458856963826E-2</v>
      </c>
      <c r="CQ31" s="94">
        <v>2.000068362521747E-2</v>
      </c>
      <c r="CR31" s="94">
        <f t="shared" si="34"/>
        <v>3.2882142482181298E-2</v>
      </c>
      <c r="CS31" s="91">
        <f t="shared" si="35"/>
        <v>0</v>
      </c>
      <c r="CT31" s="40">
        <f t="shared" si="36"/>
        <v>2.2508925088840614</v>
      </c>
      <c r="CU31" s="11">
        <v>0.45920002132750753</v>
      </c>
      <c r="CV31" s="94">
        <v>0.10129318817382489</v>
      </c>
      <c r="CW31" s="94">
        <v>0.11448429148622874</v>
      </c>
      <c r="CX31" s="94">
        <f t="shared" si="37"/>
        <v>0.21577747966005362</v>
      </c>
      <c r="CY31" s="94"/>
      <c r="CZ31" s="40">
        <f t="shared" si="38"/>
        <v>2.2790784934704211</v>
      </c>
      <c r="DA31" s="94">
        <v>0.26733878199172612</v>
      </c>
      <c r="DB31" s="94">
        <v>0.13874262803594034</v>
      </c>
      <c r="DC31" s="94">
        <v>6.7572694623417223E-2</v>
      </c>
      <c r="DD31" s="94">
        <f t="shared" si="39"/>
        <v>0.20631532265935756</v>
      </c>
      <c r="DF31" s="40">
        <f t="shared" si="40"/>
        <v>2.2401417134240154</v>
      </c>
      <c r="DG31" s="94">
        <v>0.17052773141110822</v>
      </c>
      <c r="DH31" s="94">
        <v>-5.5460228518576328E-2</v>
      </c>
      <c r="DI31" s="94">
        <v>4.2290800203563968E-2</v>
      </c>
      <c r="DJ31" s="94">
        <f t="shared" si="41"/>
        <v>-1.316942831501236E-2</v>
      </c>
      <c r="DK31" s="107"/>
      <c r="DL31" s="40">
        <f t="shared" si="42"/>
        <v>1.9799306613629053</v>
      </c>
      <c r="DM31" s="94">
        <v>2.1333507924673225E-2</v>
      </c>
      <c r="DN31" s="94">
        <v>1.8010788656460896E-2</v>
      </c>
      <c r="DO31" s="94">
        <v>4.6207966592475454E-3</v>
      </c>
      <c r="DP31" s="94">
        <f t="shared" si="43"/>
        <v>2.2631585315708441E-2</v>
      </c>
    </row>
    <row r="32" spans="1:120" x14ac:dyDescent="0.2">
      <c r="A32" s="91">
        <f>name!B28</f>
        <v>0</v>
      </c>
      <c r="B32" s="40">
        <f t="shared" si="1"/>
        <v>2.7212419765566098</v>
      </c>
      <c r="C32" s="11">
        <v>123.7608458367669</v>
      </c>
      <c r="D32" s="94">
        <v>13.119074771958418</v>
      </c>
      <c r="E32" s="94">
        <v>38.116429497024313</v>
      </c>
      <c r="F32" s="94">
        <f t="shared" si="2"/>
        <v>51.23550426898273</v>
      </c>
      <c r="G32" s="94"/>
      <c r="H32" s="40">
        <f t="shared" si="3"/>
        <v>2.5243885852895165</v>
      </c>
      <c r="I32" s="94">
        <v>26.847077802333636</v>
      </c>
      <c r="J32" s="94">
        <v>-7.8031435741815161</v>
      </c>
      <c r="K32" s="94">
        <v>7.6013099907891046</v>
      </c>
      <c r="L32" s="94">
        <f t="shared" si="4"/>
        <v>-0.20183358339241142</v>
      </c>
      <c r="N32" s="40">
        <f t="shared" si="5"/>
        <v>2.6624455318525975</v>
      </c>
      <c r="O32" s="94">
        <v>63.941359181744446</v>
      </c>
      <c r="P32" s="94">
        <v>7.8349731558739144</v>
      </c>
      <c r="Q32" s="94">
        <v>19.215469387990549</v>
      </c>
      <c r="R32" s="94">
        <f t="shared" si="6"/>
        <v>27.050442543864463</v>
      </c>
      <c r="S32" s="107"/>
      <c r="T32" s="40">
        <f t="shared" si="7"/>
        <v>2.9906749697417023</v>
      </c>
      <c r="U32" s="94">
        <v>32.972408852688829</v>
      </c>
      <c r="V32" s="94">
        <v>13.087245190266019</v>
      </c>
      <c r="W32" s="94">
        <v>11.299650118244649</v>
      </c>
      <c r="X32" s="94">
        <f t="shared" si="8"/>
        <v>24.386895308510667</v>
      </c>
      <c r="Y32" s="91">
        <f t="shared" si="0"/>
        <v>0</v>
      </c>
      <c r="Z32" s="40">
        <f t="shared" si="9"/>
        <v>3.0765850108950499</v>
      </c>
      <c r="AA32" s="11">
        <v>38.83635765848959</v>
      </c>
      <c r="AB32" s="94">
        <v>9.7986800365741935</v>
      </c>
      <c r="AC32" s="94">
        <v>13.745837027625093</v>
      </c>
      <c r="AD32" s="94">
        <f t="shared" si="10"/>
        <v>23.544517064199287</v>
      </c>
      <c r="AE32" s="94"/>
      <c r="AF32" s="40">
        <f t="shared" si="11"/>
        <v>3.0191901547181432</v>
      </c>
      <c r="AG32" s="94">
        <v>2.7303033528832836</v>
      </c>
      <c r="AH32" s="94">
        <v>7.5430584829441968E-2</v>
      </c>
      <c r="AI32" s="94">
        <v>0.94583812987341553</v>
      </c>
      <c r="AJ32" s="94">
        <f t="shared" si="12"/>
        <v>1.0212687147028574</v>
      </c>
      <c r="AL32" s="40">
        <f t="shared" si="13"/>
        <v>3.0173281094963533</v>
      </c>
      <c r="AM32" s="94">
        <v>15.834000720976697</v>
      </c>
      <c r="AN32" s="94">
        <v>4.2727073292572078</v>
      </c>
      <c r="AO32" s="94">
        <v>5.4813988049700901</v>
      </c>
      <c r="AP32" s="94">
        <f t="shared" si="14"/>
        <v>9.7541061342272979</v>
      </c>
      <c r="AQ32" s="107"/>
      <c r="AR32" s="40">
        <f t="shared" si="15"/>
        <v>3.1303340410858471</v>
      </c>
      <c r="AS32" s="94">
        <v>20.272053584629607</v>
      </c>
      <c r="AT32" s="94">
        <v>5.4505421224875432</v>
      </c>
      <c r="AU32" s="94">
        <v>7.3186000927815886</v>
      </c>
      <c r="AV32" s="94">
        <f t="shared" si="16"/>
        <v>12.769142215269131</v>
      </c>
      <c r="AW32" s="91">
        <f t="shared" si="17"/>
        <v>0</v>
      </c>
      <c r="AX32" s="40">
        <f t="shared" si="18"/>
        <v>2.6584881857450782</v>
      </c>
      <c r="AY32" s="11">
        <v>47.806403154901318</v>
      </c>
      <c r="AZ32" s="94">
        <v>-7.0421609841178725</v>
      </c>
      <c r="BA32" s="94">
        <v>14.342678022761262</v>
      </c>
      <c r="BB32" s="94">
        <f t="shared" si="19"/>
        <v>7.30051703864339</v>
      </c>
      <c r="BC32" s="94"/>
      <c r="BD32" s="40">
        <f t="shared" si="20"/>
        <v>2.6161806421257428</v>
      </c>
      <c r="BE32" s="94">
        <v>10.847301910693686</v>
      </c>
      <c r="BF32" s="94">
        <v>-4.5098176413100948</v>
      </c>
      <c r="BG32" s="94">
        <v>3.196354334448817</v>
      </c>
      <c r="BH32" s="94">
        <f t="shared" si="21"/>
        <v>-1.3134633068612778</v>
      </c>
      <c r="BJ32" s="40">
        <f t="shared" si="22"/>
        <v>2.6374751567947108</v>
      </c>
      <c r="BK32" s="94">
        <v>28.371369231702417</v>
      </c>
      <c r="BL32" s="94">
        <v>-3.0931884379730161</v>
      </c>
      <c r="BM32" s="94">
        <v>8.4364337781793513</v>
      </c>
      <c r="BN32" s="94">
        <f t="shared" si="23"/>
        <v>5.3432453402063356</v>
      </c>
      <c r="BO32" s="107"/>
      <c r="BP32" s="40">
        <f t="shared" si="24"/>
        <v>2.7805305911498435</v>
      </c>
      <c r="BQ32" s="94">
        <v>8.5877320125052172</v>
      </c>
      <c r="BR32" s="94">
        <v>0.56084509516523873</v>
      </c>
      <c r="BS32" s="94">
        <v>2.7098899101330933</v>
      </c>
      <c r="BT32" s="94">
        <f t="shared" si="25"/>
        <v>3.2707350052983322</v>
      </c>
      <c r="BU32" s="91">
        <f t="shared" si="26"/>
        <v>0</v>
      </c>
      <c r="BV32" s="40">
        <f t="shared" si="27"/>
        <v>2.6565095608896083</v>
      </c>
      <c r="BW32" s="11">
        <v>19.849533341962385</v>
      </c>
      <c r="BX32" s="94">
        <v>1.9836189361300114</v>
      </c>
      <c r="BY32" s="94">
        <v>5.9502012149531671</v>
      </c>
      <c r="BZ32" s="94">
        <f t="shared" si="28"/>
        <v>7.9338201510831787</v>
      </c>
      <c r="CA32" s="94"/>
      <c r="CB32" s="40">
        <f t="shared" si="29"/>
        <v>2.6205599538537738</v>
      </c>
      <c r="CC32" s="94">
        <v>6.8203543745401731</v>
      </c>
      <c r="CD32" s="94">
        <v>-1.6267924145713057</v>
      </c>
      <c r="CE32" s="94">
        <v>2.0135102832400635</v>
      </c>
      <c r="CF32" s="94">
        <f t="shared" si="30"/>
        <v>0.38671786866875779</v>
      </c>
      <c r="CH32" s="40">
        <f t="shared" si="31"/>
        <v>2.6438862721386736</v>
      </c>
      <c r="CI32" s="94">
        <v>10.586487257709154</v>
      </c>
      <c r="CJ32" s="94">
        <v>1.7602610215326151</v>
      </c>
      <c r="CK32" s="94">
        <v>3.1565507372840993</v>
      </c>
      <c r="CL32" s="94">
        <f t="shared" si="32"/>
        <v>4.9168117588167144</v>
      </c>
      <c r="CM32" s="107"/>
      <c r="CN32" s="40">
        <f t="shared" si="33"/>
        <v>2.8103646649090264</v>
      </c>
      <c r="CO32" s="94">
        <v>2.4426917097130554</v>
      </c>
      <c r="CP32" s="94">
        <v>1.850150329168702</v>
      </c>
      <c r="CQ32" s="94">
        <v>0.78014019442900417</v>
      </c>
      <c r="CR32" s="94">
        <f t="shared" si="34"/>
        <v>2.6302905235977061</v>
      </c>
      <c r="CS32" s="91">
        <f t="shared" si="35"/>
        <v>0</v>
      </c>
      <c r="CT32" s="40">
        <f t="shared" si="36"/>
        <v>2.1425269866725216</v>
      </c>
      <c r="CU32" s="11">
        <v>17.268551681413616</v>
      </c>
      <c r="CV32" s="94">
        <v>8.3789367833720867</v>
      </c>
      <c r="CW32" s="94">
        <v>4.0777132316847844</v>
      </c>
      <c r="CX32" s="94">
        <f t="shared" si="37"/>
        <v>12.456650015056871</v>
      </c>
      <c r="CY32" s="94"/>
      <c r="CZ32" s="40">
        <f t="shared" si="38"/>
        <v>2.0431060525095246</v>
      </c>
      <c r="DA32" s="94">
        <v>6.4491181642164932</v>
      </c>
      <c r="DB32" s="94">
        <v>-1.7419641031295572</v>
      </c>
      <c r="DC32" s="94">
        <v>1.4456072432268086</v>
      </c>
      <c r="DD32" s="94">
        <f t="shared" si="39"/>
        <v>-0.29635685990274863</v>
      </c>
      <c r="DF32" s="40">
        <f t="shared" si="40"/>
        <v>2.1249626362792373</v>
      </c>
      <c r="DG32" s="94">
        <v>9.1495019713561767</v>
      </c>
      <c r="DH32" s="94">
        <v>4.8951932430571077</v>
      </c>
      <c r="DI32" s="94">
        <v>2.1410860675570116</v>
      </c>
      <c r="DJ32" s="94">
        <f t="shared" si="41"/>
        <v>7.0362793106141197</v>
      </c>
      <c r="DK32" s="107"/>
      <c r="DL32" s="40">
        <f t="shared" si="42"/>
        <v>2.6111687821135154</v>
      </c>
      <c r="DM32" s="94">
        <v>1.6699315458409487</v>
      </c>
      <c r="DN32" s="94">
        <v>5.2257076434445349</v>
      </c>
      <c r="DO32" s="94">
        <v>0.49101992090096452</v>
      </c>
      <c r="DP32" s="94">
        <f t="shared" si="43"/>
        <v>5.7167275643454998</v>
      </c>
    </row>
    <row r="33" spans="1:120" x14ac:dyDescent="0.2">
      <c r="A33" s="91">
        <f>name!B29</f>
        <v>0</v>
      </c>
      <c r="B33" s="40">
        <f t="shared" si="1"/>
        <v>3.0653273318685947</v>
      </c>
      <c r="C33" s="11">
        <v>154.97099999999972</v>
      </c>
      <c r="D33" s="94">
        <v>3.3030000000000879</v>
      </c>
      <c r="E33" s="94">
        <v>54.621773436017577</v>
      </c>
      <c r="F33" s="94">
        <f t="shared" si="2"/>
        <v>57.924773436017666</v>
      </c>
      <c r="G33" s="94"/>
      <c r="H33" s="40">
        <f t="shared" si="3"/>
        <v>2.9436319407800893</v>
      </c>
      <c r="I33" s="94">
        <v>50.957790570188273</v>
      </c>
      <c r="J33" s="94">
        <v>-5.207332958391917</v>
      </c>
      <c r="K33" s="94">
        <v>17.151358481765701</v>
      </c>
      <c r="L33" s="94">
        <f t="shared" si="4"/>
        <v>11.944025523373785</v>
      </c>
      <c r="N33" s="40">
        <f t="shared" si="5"/>
        <v>3.080091904459592</v>
      </c>
      <c r="O33" s="94">
        <v>82.75191339584687</v>
      </c>
      <c r="P33" s="94">
        <v>5.6365125249630674</v>
      </c>
      <c r="Q33" s="94">
        <v>29.327542834156286</v>
      </c>
      <c r="R33" s="94">
        <f t="shared" si="6"/>
        <v>34.964055359119357</v>
      </c>
      <c r="S33" s="107"/>
      <c r="T33" s="40">
        <f t="shared" si="7"/>
        <v>3.2956222869682472</v>
      </c>
      <c r="U33" s="94">
        <v>21.261296033964598</v>
      </c>
      <c r="V33" s="94">
        <v>2.873820433428937</v>
      </c>
      <c r="W33" s="94">
        <v>8.1428721200955785</v>
      </c>
      <c r="X33" s="94">
        <f t="shared" si="8"/>
        <v>11.016692553524516</v>
      </c>
      <c r="Y33" s="91">
        <f t="shared" si="0"/>
        <v>0</v>
      </c>
      <c r="Z33" s="40">
        <f t="shared" si="9"/>
        <v>4.0504340600003408</v>
      </c>
      <c r="AA33" s="11">
        <v>43.296648877844632</v>
      </c>
      <c r="AB33" s="94">
        <v>-7.3473712231151156</v>
      </c>
      <c r="AC33" s="94">
        <v>21.104445332065058</v>
      </c>
      <c r="AD33" s="94">
        <f t="shared" si="10"/>
        <v>13.757074108949944</v>
      </c>
      <c r="AE33" s="94"/>
      <c r="AF33" s="40">
        <f t="shared" si="11"/>
        <v>4.0754800931313673</v>
      </c>
      <c r="AG33" s="94">
        <v>10.106732188154798</v>
      </c>
      <c r="AH33" s="94">
        <v>-4.7657768055697005</v>
      </c>
      <c r="AI33" s="94">
        <v>4.9626340231866539</v>
      </c>
      <c r="AJ33" s="94">
        <f t="shared" si="12"/>
        <v>0.19685721761695341</v>
      </c>
      <c r="AL33" s="40">
        <f t="shared" si="13"/>
        <v>4.032928627335286</v>
      </c>
      <c r="AM33" s="94">
        <v>24.904995907126381</v>
      </c>
      <c r="AN33" s="94">
        <v>-2.8493267756162344</v>
      </c>
      <c r="AO33" s="94">
        <v>12.077372396997415</v>
      </c>
      <c r="AP33" s="94">
        <f t="shared" si="14"/>
        <v>9.228045621381181</v>
      </c>
      <c r="AQ33" s="107"/>
      <c r="AR33" s="40">
        <f t="shared" si="15"/>
        <v>4.0724091362593917</v>
      </c>
      <c r="AS33" s="94">
        <v>8.2849207825634537</v>
      </c>
      <c r="AT33" s="94">
        <v>0.26773235807081874</v>
      </c>
      <c r="AU33" s="94">
        <v>4.0644389118809876</v>
      </c>
      <c r="AV33" s="94">
        <f t="shared" si="16"/>
        <v>4.3321712699518065</v>
      </c>
      <c r="AW33" s="91">
        <f t="shared" si="17"/>
        <v>0</v>
      </c>
      <c r="AX33" s="40">
        <f t="shared" si="18"/>
        <v>2.5547598396461035</v>
      </c>
      <c r="AY33" s="11">
        <v>78.997845710276223</v>
      </c>
      <c r="AZ33" s="94">
        <v>9.7021663700437788</v>
      </c>
      <c r="BA33" s="94">
        <v>22.667623064076533</v>
      </c>
      <c r="BB33" s="94">
        <f t="shared" si="19"/>
        <v>32.369789434120314</v>
      </c>
      <c r="BC33" s="94"/>
      <c r="BD33" s="40">
        <f t="shared" si="20"/>
        <v>2.5174195387168252</v>
      </c>
      <c r="BE33" s="94">
        <v>26.37395315468379</v>
      </c>
      <c r="BF33" s="94">
        <v>1.6686028083983007</v>
      </c>
      <c r="BG33" s="94">
        <v>7.4443560709851919</v>
      </c>
      <c r="BH33" s="94">
        <f t="shared" si="21"/>
        <v>9.112958879383493</v>
      </c>
      <c r="BJ33" s="40">
        <f t="shared" si="22"/>
        <v>2.5486671581746334</v>
      </c>
      <c r="BK33" s="94">
        <v>42.663657472306795</v>
      </c>
      <c r="BL33" s="94">
        <v>6.2773062085895344</v>
      </c>
      <c r="BM33" s="94">
        <v>12.209289576322305</v>
      </c>
      <c r="BN33" s="94">
        <f t="shared" si="23"/>
        <v>18.486595784911842</v>
      </c>
      <c r="BO33" s="107"/>
      <c r="BP33" s="40">
        <f t="shared" si="24"/>
        <v>2.6788844840362147</v>
      </c>
      <c r="BQ33" s="94">
        <v>9.9602350832856388</v>
      </c>
      <c r="BR33" s="94">
        <v>1.7562573530559429</v>
      </c>
      <c r="BS33" s="94">
        <v>3.0139774167690323</v>
      </c>
      <c r="BT33" s="94">
        <f t="shared" si="25"/>
        <v>4.7702347698249756</v>
      </c>
      <c r="BU33" s="91">
        <f t="shared" si="26"/>
        <v>0</v>
      </c>
      <c r="BV33" s="40">
        <f t="shared" si="27"/>
        <v>2.6173395636761576</v>
      </c>
      <c r="BW33" s="11">
        <v>3.1913404184740064</v>
      </c>
      <c r="BX33" s="94">
        <v>1.1226335486044625</v>
      </c>
      <c r="BY33" s="94">
        <v>0.94085301244670572</v>
      </c>
      <c r="BZ33" s="94">
        <f t="shared" si="28"/>
        <v>2.0634865610511683</v>
      </c>
      <c r="CA33" s="94"/>
      <c r="CB33" s="40">
        <f t="shared" si="29"/>
        <v>2.5929383707474774</v>
      </c>
      <c r="CC33" s="94">
        <v>1.3470262007787908</v>
      </c>
      <c r="CD33" s="94">
        <v>-0.26599294418410591</v>
      </c>
      <c r="CE33" s="94">
        <v>0.39297973448013812</v>
      </c>
      <c r="CF33" s="94">
        <f t="shared" si="30"/>
        <v>0.12698679029603221</v>
      </c>
      <c r="CH33" s="40">
        <f t="shared" si="31"/>
        <v>2.6512654768499289</v>
      </c>
      <c r="CI33" s="94">
        <v>1.6842985207880887</v>
      </c>
      <c r="CJ33" s="94">
        <v>1.2839192112138034</v>
      </c>
      <c r="CK33" s="94">
        <v>0.50377617701394806</v>
      </c>
      <c r="CL33" s="94">
        <f t="shared" si="32"/>
        <v>1.7876953882277515</v>
      </c>
      <c r="CM33" s="107"/>
      <c r="CN33" s="40">
        <f t="shared" si="33"/>
        <v>2.4638723480357561</v>
      </c>
      <c r="CO33" s="94">
        <v>0.16001569690712689</v>
      </c>
      <c r="CP33" s="94">
        <v>0.10470728157476483</v>
      </c>
      <c r="CQ33" s="94">
        <v>4.4097100952619553E-2</v>
      </c>
      <c r="CR33" s="94">
        <f t="shared" si="34"/>
        <v>0.14880438252738437</v>
      </c>
      <c r="CS33" s="91">
        <f t="shared" si="35"/>
        <v>0</v>
      </c>
      <c r="CT33" s="40">
        <f t="shared" si="36"/>
        <v>2.939646040038868</v>
      </c>
      <c r="CU33" s="11">
        <v>29.485164993404876</v>
      </c>
      <c r="CV33" s="94">
        <v>-0.17442869553303728</v>
      </c>
      <c r="CW33" s="94">
        <v>9.9088520274292744</v>
      </c>
      <c r="CX33" s="94">
        <f t="shared" si="37"/>
        <v>9.7344233318962363</v>
      </c>
      <c r="CY33" s="94"/>
      <c r="CZ33" s="40">
        <f t="shared" si="38"/>
        <v>2.9037153176336705</v>
      </c>
      <c r="DA33" s="94">
        <v>13.13007902657089</v>
      </c>
      <c r="DB33" s="94">
        <v>-1.8441660170364109</v>
      </c>
      <c r="DC33" s="94">
        <v>4.3513886531137187</v>
      </c>
      <c r="DD33" s="94">
        <f t="shared" si="39"/>
        <v>2.5072226360773078</v>
      </c>
      <c r="DF33" s="40">
        <f t="shared" si="40"/>
        <v>2.9399957923162523</v>
      </c>
      <c r="DG33" s="94">
        <v>13.498961495625606</v>
      </c>
      <c r="DH33" s="94">
        <v>0.92461388077596329</v>
      </c>
      <c r="DI33" s="94">
        <v>4.5371046838226157</v>
      </c>
      <c r="DJ33" s="94">
        <f t="shared" si="41"/>
        <v>5.4617185645985789</v>
      </c>
      <c r="DK33" s="107"/>
      <c r="DL33" s="40">
        <f t="shared" si="42"/>
        <v>3.1017595685842725</v>
      </c>
      <c r="DM33" s="94">
        <v>2.856124471208378</v>
      </c>
      <c r="DN33" s="94">
        <v>0.74512344072741044</v>
      </c>
      <c r="DO33" s="94">
        <v>1.0203586904929389</v>
      </c>
      <c r="DP33" s="94">
        <f t="shared" si="43"/>
        <v>1.7654821312203492</v>
      </c>
    </row>
    <row r="34" spans="1:120" x14ac:dyDescent="0.2">
      <c r="A34" s="91">
        <f>name!B30</f>
        <v>0</v>
      </c>
      <c r="B34" s="40">
        <f t="shared" si="1"/>
        <v>2.9160956930703641</v>
      </c>
      <c r="C34" s="11">
        <v>23.473999999999943</v>
      </c>
      <c r="D34" s="94">
        <v>1.4800000000000508</v>
      </c>
      <c r="E34" s="94">
        <v>7.8170489049169243</v>
      </c>
      <c r="F34" s="94">
        <f t="shared" si="2"/>
        <v>9.2970489049169753</v>
      </c>
      <c r="G34" s="94"/>
      <c r="H34" s="40">
        <f t="shared" si="3"/>
        <v>2.8413998152179376</v>
      </c>
      <c r="I34" s="94">
        <v>1.0959429864268337</v>
      </c>
      <c r="J34" s="94">
        <v>-0.1037259015403591</v>
      </c>
      <c r="K34" s="94">
        <v>0.35439010241011099</v>
      </c>
      <c r="L34" s="94">
        <f t="shared" si="4"/>
        <v>0.25066420086975189</v>
      </c>
      <c r="N34" s="40">
        <f t="shared" si="5"/>
        <v>2.7368083593868553</v>
      </c>
      <c r="O34" s="94">
        <v>5.7095877901633001</v>
      </c>
      <c r="P34" s="94">
        <v>-0.37327834266091714</v>
      </c>
      <c r="Q34" s="94">
        <v>1.7697896880944277</v>
      </c>
      <c r="R34" s="94">
        <f t="shared" si="6"/>
        <v>1.3965113454335105</v>
      </c>
      <c r="S34" s="107"/>
      <c r="T34" s="40">
        <f t="shared" si="7"/>
        <v>2.9817357423914226</v>
      </c>
      <c r="U34" s="94">
        <v>16.668469223409804</v>
      </c>
      <c r="V34" s="94">
        <v>1.9570042442013271</v>
      </c>
      <c r="W34" s="94">
        <v>5.6928691144123853</v>
      </c>
      <c r="X34" s="94">
        <f t="shared" si="8"/>
        <v>7.6498733586137124</v>
      </c>
      <c r="Y34" s="91">
        <f t="shared" si="0"/>
        <v>0</v>
      </c>
      <c r="Z34" s="40">
        <f t="shared" si="9"/>
        <v>2.9622047611067126</v>
      </c>
      <c r="AA34" s="11">
        <v>19.751750114413298</v>
      </c>
      <c r="AB34" s="94">
        <v>1.9847428369989049</v>
      </c>
      <c r="AC34" s="94">
        <v>6.6957068627363743</v>
      </c>
      <c r="AD34" s="94">
        <f t="shared" si="10"/>
        <v>8.6804496997352789</v>
      </c>
      <c r="AE34" s="94"/>
      <c r="AF34" s="40">
        <f t="shared" si="11"/>
        <v>2.8503434562277441</v>
      </c>
      <c r="AG34" s="94">
        <v>0.53141404120681335</v>
      </c>
      <c r="AH34" s="94">
        <v>5.7773207866578854E-3</v>
      </c>
      <c r="AI34" s="94">
        <v>0.17245277094298822</v>
      </c>
      <c r="AJ34" s="94">
        <f t="shared" si="12"/>
        <v>0.1782300917296461</v>
      </c>
      <c r="AL34" s="40">
        <f t="shared" si="13"/>
        <v>2.8052118952712313</v>
      </c>
      <c r="AM34" s="94">
        <v>3.8176590294715562</v>
      </c>
      <c r="AN34" s="94">
        <v>-9.3651610208796005E-2</v>
      </c>
      <c r="AO34" s="94">
        <v>1.2167495955135688</v>
      </c>
      <c r="AP34" s="94">
        <f t="shared" si="14"/>
        <v>1.1230979853047727</v>
      </c>
      <c r="AQ34" s="107"/>
      <c r="AR34" s="40">
        <f t="shared" si="15"/>
        <v>3.0046124829515852</v>
      </c>
      <c r="AS34" s="94">
        <v>15.402677043734929</v>
      </c>
      <c r="AT34" s="94">
        <v>2.0726171264210431</v>
      </c>
      <c r="AU34" s="94">
        <v>5.3065044962798176</v>
      </c>
      <c r="AV34" s="94">
        <f t="shared" si="16"/>
        <v>7.3791216227008611</v>
      </c>
      <c r="AW34" s="91">
        <f t="shared" si="17"/>
        <v>0</v>
      </c>
      <c r="AX34" s="40">
        <f t="shared" si="18"/>
        <v>2.6373612310459427</v>
      </c>
      <c r="AY34" s="11">
        <v>2.374731535280187</v>
      </c>
      <c r="AZ34" s="94">
        <v>-0.52610301968475415</v>
      </c>
      <c r="BA34" s="94">
        <v>0.70610956275344761</v>
      </c>
      <c r="BB34" s="94">
        <f t="shared" si="19"/>
        <v>0.18000654306869346</v>
      </c>
      <c r="BC34" s="94"/>
      <c r="BD34" s="40">
        <f t="shared" si="20"/>
        <v>2.6142974667533903</v>
      </c>
      <c r="BE34" s="94">
        <v>0.19374258077031151</v>
      </c>
      <c r="BF34" s="94">
        <v>-6.9067346278153099E-2</v>
      </c>
      <c r="BG34" s="94">
        <v>5.7043738869553398E-2</v>
      </c>
      <c r="BH34" s="94">
        <f t="shared" si="21"/>
        <v>-1.2023607408599701E-2</v>
      </c>
      <c r="BJ34" s="40">
        <f t="shared" si="22"/>
        <v>2.5779959595980673</v>
      </c>
      <c r="BK34" s="94">
        <v>1.3032102618231316</v>
      </c>
      <c r="BL34" s="94">
        <v>-0.29057782168208351</v>
      </c>
      <c r="BM34" s="94">
        <v>0.37774669225068269</v>
      </c>
      <c r="BN34" s="94">
        <f t="shared" si="23"/>
        <v>8.7168870568599177E-2</v>
      </c>
      <c r="BO34" s="107"/>
      <c r="BP34" s="40">
        <f t="shared" si="24"/>
        <v>2.7299783965388569</v>
      </c>
      <c r="BQ34" s="94">
        <v>0.87777869268674391</v>
      </c>
      <c r="BR34" s="94">
        <v>-0.16645785172451752</v>
      </c>
      <c r="BS34" s="94">
        <v>0.27131913163321136</v>
      </c>
      <c r="BT34" s="94">
        <f t="shared" si="25"/>
        <v>0.10486127990869384</v>
      </c>
      <c r="BU34" s="91">
        <f t="shared" si="26"/>
        <v>0</v>
      </c>
      <c r="BV34" s="40">
        <f t="shared" si="27"/>
        <v>2.6468617353205159</v>
      </c>
      <c r="BW34" s="11">
        <v>1.0085113638560528</v>
      </c>
      <c r="BX34" s="94">
        <v>-2.6892226884003306E-2</v>
      </c>
      <c r="BY34" s="94">
        <v>0.30108528970707676</v>
      </c>
      <c r="BZ34" s="94">
        <f t="shared" si="28"/>
        <v>0.27419306282307343</v>
      </c>
      <c r="CA34" s="94"/>
      <c r="CB34" s="40">
        <f t="shared" si="29"/>
        <v>2.9715317472071456</v>
      </c>
      <c r="CC34" s="94">
        <v>0.11005468485323042</v>
      </c>
      <c r="CD34" s="94">
        <v>-1.7792453645316623E-2</v>
      </c>
      <c r="CE34" s="94">
        <v>3.7441322944962968E-2</v>
      </c>
      <c r="CF34" s="94">
        <f t="shared" si="30"/>
        <v>1.9648869299646345E-2</v>
      </c>
      <c r="CH34" s="40">
        <f t="shared" si="31"/>
        <v>2.6078916675794428</v>
      </c>
      <c r="CI34" s="94">
        <v>0.53681981591731076</v>
      </c>
      <c r="CJ34" s="94">
        <v>-2.205025681449153E-2</v>
      </c>
      <c r="CK34" s="94">
        <v>0.1576225040625937</v>
      </c>
      <c r="CL34" s="94">
        <f t="shared" si="32"/>
        <v>0.13557224724810218</v>
      </c>
      <c r="CM34" s="107"/>
      <c r="CN34" s="40">
        <f t="shared" si="33"/>
        <v>2.604308479860018</v>
      </c>
      <c r="CO34" s="94">
        <v>0.36163686308551168</v>
      </c>
      <c r="CP34" s="94">
        <v>1.2950483575804845E-2</v>
      </c>
      <c r="CQ34" s="94">
        <v>0.10602146269952011</v>
      </c>
      <c r="CR34" s="94">
        <f t="shared" si="34"/>
        <v>0.11897194627532495</v>
      </c>
      <c r="CS34" s="91">
        <f t="shared" si="35"/>
        <v>0</v>
      </c>
      <c r="CT34" s="40">
        <f t="shared" si="36"/>
        <v>2.9446387229132842</v>
      </c>
      <c r="CU34" s="11">
        <v>0.33900698645039778</v>
      </c>
      <c r="CV34" s="94">
        <v>4.8252409569903426E-2</v>
      </c>
      <c r="CW34" s="94">
        <v>0.11414718972002513</v>
      </c>
      <c r="CX34" s="94">
        <f t="shared" si="37"/>
        <v>0.16239959928992856</v>
      </c>
      <c r="CY34" s="94"/>
      <c r="CZ34" s="40">
        <f t="shared" si="38"/>
        <v>2.9346268426516664</v>
      </c>
      <c r="DA34" s="94">
        <v>0.26073167959647875</v>
      </c>
      <c r="DB34" s="94">
        <v>-2.2643422403547261E-2</v>
      </c>
      <c r="DC34" s="94">
        <v>8.7452269652606385E-2</v>
      </c>
      <c r="DD34" s="94">
        <f t="shared" si="39"/>
        <v>6.4808847249059123E-2</v>
      </c>
      <c r="DF34" s="40">
        <f t="shared" si="40"/>
        <v>2.9736967059325492</v>
      </c>
      <c r="DG34" s="94">
        <v>5.1898682951301692E-2</v>
      </c>
      <c r="DH34" s="94">
        <v>3.3001346044453983E-2</v>
      </c>
      <c r="DI34" s="94">
        <v>1.7670896267582607E-2</v>
      </c>
      <c r="DJ34" s="94">
        <f t="shared" si="41"/>
        <v>5.067224231203659E-2</v>
      </c>
      <c r="DK34" s="107"/>
      <c r="DL34" s="40">
        <f t="shared" si="42"/>
        <v>2.986239445321015</v>
      </c>
      <c r="DM34" s="94">
        <v>2.637662390261741E-2</v>
      </c>
      <c r="DN34" s="94">
        <v>3.7894485928996711E-2</v>
      </c>
      <c r="DO34" s="94">
        <v>9.0240237998361478E-3</v>
      </c>
      <c r="DP34" s="94">
        <f t="shared" si="43"/>
        <v>4.6918509728832859E-2</v>
      </c>
    </row>
    <row r="35" spans="1:120" x14ac:dyDescent="0.2">
      <c r="A35" s="91">
        <f>name!B31</f>
        <v>0</v>
      </c>
      <c r="B35" s="40">
        <f t="shared" si="1"/>
        <v>2.8621080323697479</v>
      </c>
      <c r="C35" s="11">
        <v>28.894999999999936</v>
      </c>
      <c r="D35" s="94">
        <v>1.6460000000000381</v>
      </c>
      <c r="E35" s="94">
        <v>9.420712233917067</v>
      </c>
      <c r="F35" s="94">
        <f t="shared" si="2"/>
        <v>11.066712233917105</v>
      </c>
      <c r="G35" s="94"/>
      <c r="H35" s="40">
        <f t="shared" si="3"/>
        <v>2.6633825373017173</v>
      </c>
      <c r="I35" s="94">
        <v>1.9794220652335754</v>
      </c>
      <c r="J35" s="94">
        <v>-0.35248216003289656</v>
      </c>
      <c r="K35" s="94">
        <v>0.59508506788336712</v>
      </c>
      <c r="L35" s="94">
        <f t="shared" si="4"/>
        <v>0.24260290785047056</v>
      </c>
      <c r="N35" s="40">
        <f t="shared" si="5"/>
        <v>2.6696771260062091</v>
      </c>
      <c r="O35" s="94">
        <v>10.289648262531291</v>
      </c>
      <c r="P35" s="94">
        <v>0.71798490602012099</v>
      </c>
      <c r="Q35" s="94">
        <v>3.1016441026996522</v>
      </c>
      <c r="R35" s="94">
        <f t="shared" si="6"/>
        <v>3.8196290087197733</v>
      </c>
      <c r="S35" s="107"/>
      <c r="T35" s="40">
        <f t="shared" si="7"/>
        <v>3.0027901952621061</v>
      </c>
      <c r="U35" s="94">
        <v>16.625929672235067</v>
      </c>
      <c r="V35" s="94">
        <v>1.2804972540128137</v>
      </c>
      <c r="W35" s="94">
        <v>5.7239830633340478</v>
      </c>
      <c r="X35" s="94">
        <f t="shared" si="8"/>
        <v>7.0044803173468617</v>
      </c>
      <c r="Y35" s="91">
        <f t="shared" si="0"/>
        <v>0</v>
      </c>
      <c r="Z35" s="40">
        <f t="shared" si="9"/>
        <v>3.0215443790052143</v>
      </c>
      <c r="AA35" s="11">
        <v>17.580481963655998</v>
      </c>
      <c r="AB35" s="94">
        <v>2.8098087008328023</v>
      </c>
      <c r="AC35" s="94">
        <v>6.095681909765899</v>
      </c>
      <c r="AD35" s="94">
        <f t="shared" si="10"/>
        <v>8.9054906105987008</v>
      </c>
      <c r="AE35" s="94"/>
      <c r="AF35" s="40">
        <f t="shared" si="11"/>
        <v>2.9707695648767851</v>
      </c>
      <c r="AG35" s="94">
        <v>0.5967101275394916</v>
      </c>
      <c r="AH35" s="94">
        <v>0.21095192443473093</v>
      </c>
      <c r="AI35" s="94">
        <v>0.20294549270816775</v>
      </c>
      <c r="AJ35" s="94">
        <f t="shared" si="12"/>
        <v>0.41389741714289868</v>
      </c>
      <c r="AL35" s="40">
        <f t="shared" si="13"/>
        <v>2.828445336027241</v>
      </c>
      <c r="AM35" s="94">
        <v>4.2778021615675197</v>
      </c>
      <c r="AN35" s="94">
        <v>1.1605153808737563</v>
      </c>
      <c r="AO35" s="94">
        <v>1.3761664496642632</v>
      </c>
      <c r="AP35" s="94">
        <f t="shared" si="14"/>
        <v>2.5366818305380194</v>
      </c>
      <c r="AQ35" s="107"/>
      <c r="AR35" s="40">
        <f t="shared" si="15"/>
        <v>3.0881955582803711</v>
      </c>
      <c r="AS35" s="94">
        <v>12.705969674548985</v>
      </c>
      <c r="AT35" s="94">
        <v>1.4383413955243152</v>
      </c>
      <c r="AU35" s="94">
        <v>4.5165699673934689</v>
      </c>
      <c r="AV35" s="94">
        <f t="shared" si="16"/>
        <v>5.9549113629177839</v>
      </c>
      <c r="AW35" s="91">
        <f t="shared" si="17"/>
        <v>0</v>
      </c>
      <c r="AX35" s="40">
        <f t="shared" si="18"/>
        <v>2.6020134806948869</v>
      </c>
      <c r="AY35" s="11">
        <v>7.0600510279774715</v>
      </c>
      <c r="AZ35" s="94">
        <v>-0.82070299664328927</v>
      </c>
      <c r="BA35" s="94">
        <v>2.067760735617695</v>
      </c>
      <c r="BB35" s="94">
        <f t="shared" si="19"/>
        <v>1.2470577389744057</v>
      </c>
      <c r="BC35" s="94"/>
      <c r="BD35" s="40">
        <f t="shared" si="20"/>
        <v>2.5053318006841074</v>
      </c>
      <c r="BE35" s="94">
        <v>0.58242692656334427</v>
      </c>
      <c r="BF35" s="94">
        <v>-0.32828833435573068</v>
      </c>
      <c r="BG35" s="94">
        <v>0.16351669099146005</v>
      </c>
      <c r="BH35" s="94">
        <f t="shared" si="21"/>
        <v>-0.16477164336427064</v>
      </c>
      <c r="BJ35" s="40">
        <f t="shared" si="22"/>
        <v>2.528922957277846</v>
      </c>
      <c r="BK35" s="94">
        <v>3.4980513979754475</v>
      </c>
      <c r="BL35" s="94">
        <v>-0.21403758136916518</v>
      </c>
      <c r="BM35" s="94">
        <v>0.99240143264883662</v>
      </c>
      <c r="BN35" s="94">
        <f t="shared" si="23"/>
        <v>0.77836385127967145</v>
      </c>
      <c r="BO35" s="107"/>
      <c r="BP35" s="40">
        <f t="shared" si="24"/>
        <v>2.7058922134773455</v>
      </c>
      <c r="BQ35" s="94">
        <v>2.9795727034386803</v>
      </c>
      <c r="BR35" s="94">
        <v>-0.27837708091839342</v>
      </c>
      <c r="BS35" s="94">
        <v>0.91184261197739835</v>
      </c>
      <c r="BT35" s="94">
        <f t="shared" si="25"/>
        <v>0.63346553105900494</v>
      </c>
      <c r="BU35" s="91">
        <f t="shared" si="26"/>
        <v>0</v>
      </c>
      <c r="BV35" s="40">
        <f t="shared" si="27"/>
        <v>2.6025333799874595</v>
      </c>
      <c r="BW35" s="11">
        <v>3.9916086369088277</v>
      </c>
      <c r="BX35" s="94">
        <v>-0.36860749517507152</v>
      </c>
      <c r="BY35" s="94">
        <v>1.1693311871886336</v>
      </c>
      <c r="BZ35" s="94">
        <f t="shared" si="28"/>
        <v>0.80072369201356208</v>
      </c>
      <c r="CA35" s="94"/>
      <c r="CB35" s="40">
        <f t="shared" si="29"/>
        <v>2.5262794249925946</v>
      </c>
      <c r="CC35" s="94">
        <v>0.76479151317239202</v>
      </c>
      <c r="CD35" s="94">
        <v>-0.20773686960970486</v>
      </c>
      <c r="CE35" s="94">
        <v>0.21671918013294533</v>
      </c>
      <c r="CF35" s="94">
        <f t="shared" si="30"/>
        <v>8.9823105232404721E-3</v>
      </c>
      <c r="CH35" s="40">
        <f t="shared" si="31"/>
        <v>2.5896950806788999</v>
      </c>
      <c r="CI35" s="94">
        <v>2.4153471822787229</v>
      </c>
      <c r="CJ35" s="94">
        <v>-0.2502303844660983</v>
      </c>
      <c r="CK35" s="94">
        <v>0.70366416736616388</v>
      </c>
      <c r="CL35" s="94">
        <f t="shared" si="32"/>
        <v>0.45343378290006559</v>
      </c>
      <c r="CM35" s="107"/>
      <c r="CN35" s="40">
        <f t="shared" si="33"/>
        <v>2.7118274856430702</v>
      </c>
      <c r="CO35" s="94">
        <v>0.81146994145771245</v>
      </c>
      <c r="CP35" s="94">
        <v>8.9359758900731598E-2</v>
      </c>
      <c r="CQ35" s="94">
        <v>0.24894783968952428</v>
      </c>
      <c r="CR35" s="94">
        <f t="shared" si="34"/>
        <v>0.33830759859025589</v>
      </c>
      <c r="CS35" s="91">
        <f t="shared" si="35"/>
        <v>0</v>
      </c>
      <c r="CT35" s="40">
        <f t="shared" si="36"/>
        <v>2.9279629310322131</v>
      </c>
      <c r="CU35" s="11">
        <v>0.26285837145763702</v>
      </c>
      <c r="CV35" s="94">
        <v>2.5501790985596576E-2</v>
      </c>
      <c r="CW35" s="94">
        <v>8.7938401344838837E-2</v>
      </c>
      <c r="CX35" s="94">
        <f t="shared" si="37"/>
        <v>0.11344019233043541</v>
      </c>
      <c r="CY35" s="94"/>
      <c r="CZ35" s="40">
        <f t="shared" si="38"/>
        <v>2.9343651326463327</v>
      </c>
      <c r="DA35" s="94">
        <v>3.5493497958347456E-2</v>
      </c>
      <c r="DB35" s="94">
        <v>-2.740888050219192E-2</v>
      </c>
      <c r="DC35" s="94">
        <v>1.1903704050793999E-2</v>
      </c>
      <c r="DD35" s="94">
        <f t="shared" si="39"/>
        <v>-1.5505176451397921E-2</v>
      </c>
      <c r="DF35" s="40">
        <f t="shared" si="40"/>
        <v>2.6485565988142667</v>
      </c>
      <c r="DG35" s="94">
        <v>9.8447520709600847E-2</v>
      </c>
      <c r="DH35" s="94">
        <v>2.1737490981628024E-2</v>
      </c>
      <c r="DI35" s="94">
        <v>2.941205302038874E-2</v>
      </c>
      <c r="DJ35" s="94">
        <f t="shared" si="41"/>
        <v>5.1149544002016767E-2</v>
      </c>
      <c r="DK35" s="107"/>
      <c r="DL35" s="40">
        <f t="shared" si="42"/>
        <v>3.1350944801386671</v>
      </c>
      <c r="DM35" s="94">
        <v>0.12891735278968872</v>
      </c>
      <c r="DN35" s="94">
        <v>3.1173180506160469E-2</v>
      </c>
      <c r="DO35" s="94">
        <v>4.6622644273656109E-2</v>
      </c>
      <c r="DP35" s="94">
        <f t="shared" si="43"/>
        <v>7.7795824779816586E-2</v>
      </c>
    </row>
    <row r="36" spans="1:120" x14ac:dyDescent="0.2">
      <c r="A36" s="91">
        <f>name!B32</f>
        <v>0</v>
      </c>
      <c r="B36" s="40">
        <f t="shared" si="1"/>
        <v>2.9945367077332863</v>
      </c>
      <c r="C36" s="11">
        <v>56.486999999999881</v>
      </c>
      <c r="D36" s="94">
        <v>9.4270000000000458</v>
      </c>
      <c r="E36" s="94">
        <v>19.386548178062384</v>
      </c>
      <c r="F36" s="94">
        <f t="shared" si="2"/>
        <v>28.81354817806243</v>
      </c>
      <c r="G36" s="94"/>
      <c r="H36" s="40">
        <f t="shared" si="3"/>
        <v>2.6683655064911882</v>
      </c>
      <c r="I36" s="94">
        <v>3.0739661220094856</v>
      </c>
      <c r="J36" s="94">
        <v>1.6985913874363638</v>
      </c>
      <c r="K36" s="94">
        <v>0.92608514366015537</v>
      </c>
      <c r="L36" s="94">
        <f t="shared" si="4"/>
        <v>2.6246765310965192</v>
      </c>
      <c r="N36" s="40">
        <f t="shared" si="5"/>
        <v>2.7983270973520824</v>
      </c>
      <c r="O36" s="94">
        <v>10.80483185043264</v>
      </c>
      <c r="P36" s="94">
        <v>0.32429358730751345</v>
      </c>
      <c r="Q36" s="94">
        <v>3.4341351738504251</v>
      </c>
      <c r="R36" s="94">
        <f t="shared" si="6"/>
        <v>3.7584287611579388</v>
      </c>
      <c r="S36" s="107"/>
      <c r="T36" s="40">
        <f t="shared" si="7"/>
        <v>3.0668385216106264</v>
      </c>
      <c r="U36" s="94">
        <v>42.608202027557752</v>
      </c>
      <c r="V36" s="94">
        <v>7.4041150252561669</v>
      </c>
      <c r="W36" s="94">
        <v>15.026327860551801</v>
      </c>
      <c r="X36" s="94">
        <f t="shared" si="8"/>
        <v>22.430442885807967</v>
      </c>
      <c r="Y36" s="91">
        <f t="shared" si="0"/>
        <v>0</v>
      </c>
      <c r="Z36" s="40">
        <f t="shared" si="9"/>
        <v>3.0309771831799281</v>
      </c>
      <c r="AA36" s="11">
        <v>51.021735996170101</v>
      </c>
      <c r="AB36" s="94">
        <v>9.5647099325395999</v>
      </c>
      <c r="AC36" s="94">
        <v>17.753710691282151</v>
      </c>
      <c r="AD36" s="94">
        <f t="shared" si="10"/>
        <v>27.318420623821751</v>
      </c>
      <c r="AE36" s="94"/>
      <c r="AF36" s="40">
        <f t="shared" si="11"/>
        <v>2.7156970530987756</v>
      </c>
      <c r="AG36" s="94">
        <v>1.8966772091595998</v>
      </c>
      <c r="AH36" s="94">
        <v>1.1084660999032749</v>
      </c>
      <c r="AI36" s="94">
        <v>0.58280846211724435</v>
      </c>
      <c r="AJ36" s="94">
        <f t="shared" si="12"/>
        <v>1.6912745620205194</v>
      </c>
      <c r="AL36" s="40">
        <f t="shared" si="13"/>
        <v>2.8544377950161515</v>
      </c>
      <c r="AM36" s="94">
        <v>8.7151787782400429</v>
      </c>
      <c r="AN36" s="94">
        <v>0.37231764916359472</v>
      </c>
      <c r="AO36" s="94">
        <v>2.8328178136294691</v>
      </c>
      <c r="AP36" s="94">
        <f t="shared" si="14"/>
        <v>3.2051354627930637</v>
      </c>
      <c r="AQ36" s="107"/>
      <c r="AR36" s="40">
        <f t="shared" si="15"/>
        <v>3.0832355344662776</v>
      </c>
      <c r="AS36" s="94">
        <v>40.409880008770457</v>
      </c>
      <c r="AT36" s="94">
        <v>8.0839261834727303</v>
      </c>
      <c r="AU36" s="94">
        <v>14.338084415535439</v>
      </c>
      <c r="AV36" s="94">
        <f t="shared" si="16"/>
        <v>22.422010599008168</v>
      </c>
      <c r="AW36" s="91">
        <f t="shared" si="17"/>
        <v>0</v>
      </c>
      <c r="AX36" s="40">
        <f t="shared" si="18"/>
        <v>2.6442828612915692</v>
      </c>
      <c r="AY36" s="11">
        <v>4.1117223502687619</v>
      </c>
      <c r="AZ36" s="94">
        <v>-1.2602457015033561</v>
      </c>
      <c r="BA36" s="94">
        <v>1.2261898817352725</v>
      </c>
      <c r="BB36" s="94">
        <f t="shared" si="19"/>
        <v>-3.4055819768083584E-2</v>
      </c>
      <c r="BC36" s="94"/>
      <c r="BD36" s="40">
        <f t="shared" si="20"/>
        <v>2.5250973136344612</v>
      </c>
      <c r="BE36" s="94">
        <v>0.59212142104784216</v>
      </c>
      <c r="BF36" s="94">
        <v>5.5003227893673415E-2</v>
      </c>
      <c r="BG36" s="94">
        <v>0.1677019969682341</v>
      </c>
      <c r="BH36" s="94">
        <f t="shared" si="21"/>
        <v>0.22270522486190752</v>
      </c>
      <c r="BJ36" s="40">
        <f t="shared" si="22"/>
        <v>2.5953522288273634</v>
      </c>
      <c r="BK36" s="94">
        <v>1.6781048923637909</v>
      </c>
      <c r="BL36" s="94">
        <v>-0.50299398657548378</v>
      </c>
      <c r="BM36" s="94">
        <v>0.49007829174845352</v>
      </c>
      <c r="BN36" s="94">
        <f t="shared" si="23"/>
        <v>-1.2915694827030255E-2</v>
      </c>
      <c r="BO36" s="107"/>
      <c r="BP36" s="40">
        <f t="shared" si="24"/>
        <v>2.7266024857339533</v>
      </c>
      <c r="BQ36" s="94">
        <v>1.8414960368571291</v>
      </c>
      <c r="BR36" s="94">
        <v>-0.81225494282154564</v>
      </c>
      <c r="BS36" s="94">
        <v>0.56840959301858496</v>
      </c>
      <c r="BT36" s="94">
        <f t="shared" si="25"/>
        <v>-0.24384534980296069</v>
      </c>
      <c r="BU36" s="91">
        <f t="shared" si="26"/>
        <v>0</v>
      </c>
      <c r="BV36" s="40">
        <f t="shared" si="27"/>
        <v>2.6699286086445007</v>
      </c>
      <c r="BW36" s="11">
        <v>0.94096087042845011</v>
      </c>
      <c r="BX36" s="94">
        <v>1.0673588590067584</v>
      </c>
      <c r="BY36" s="94">
        <v>0.28366707092484866</v>
      </c>
      <c r="BZ36" s="94">
        <f t="shared" si="28"/>
        <v>1.3510259299316072</v>
      </c>
      <c r="CA36" s="94"/>
      <c r="CB36" s="40">
        <f t="shared" si="29"/>
        <v>2.4755931087015126</v>
      </c>
      <c r="CC36" s="94">
        <v>0.24637925552867021</v>
      </c>
      <c r="CD36" s="94">
        <v>0.45294770729803285</v>
      </c>
      <c r="CE36" s="94">
        <v>6.8256840443345096E-2</v>
      </c>
      <c r="CF36" s="94">
        <f t="shared" si="30"/>
        <v>0.52120454774137792</v>
      </c>
      <c r="CH36" s="40">
        <f t="shared" si="31"/>
        <v>2.5317857369329788</v>
      </c>
      <c r="CI36" s="94">
        <v>0.34250238229029917</v>
      </c>
      <c r="CJ36" s="94">
        <v>0.47722061778305425</v>
      </c>
      <c r="CK36" s="94">
        <v>9.7291120958866453E-2</v>
      </c>
      <c r="CL36" s="94">
        <f t="shared" si="32"/>
        <v>0.57451173874192074</v>
      </c>
      <c r="CM36" s="107"/>
      <c r="CN36" s="40">
        <f t="shared" si="33"/>
        <v>2.9352369214464158</v>
      </c>
      <c r="CO36" s="94">
        <v>0.35207923260948076</v>
      </c>
      <c r="CP36" s="94">
        <v>0.13719053392567115</v>
      </c>
      <c r="CQ36" s="94">
        <v>0.1181191095226371</v>
      </c>
      <c r="CR36" s="94">
        <f t="shared" si="34"/>
        <v>0.25530964344830825</v>
      </c>
      <c r="CS36" s="91">
        <f t="shared" si="35"/>
        <v>0</v>
      </c>
      <c r="CT36" s="40">
        <f t="shared" si="36"/>
        <v>2.6431615692057875</v>
      </c>
      <c r="CU36" s="11">
        <v>0.41258078313257079</v>
      </c>
      <c r="CV36" s="94">
        <v>5.5176909957042726E-2</v>
      </c>
      <c r="CW36" s="94">
        <v>0.12298053412010829</v>
      </c>
      <c r="CX36" s="94">
        <f t="shared" si="37"/>
        <v>0.17815744407715101</v>
      </c>
      <c r="CY36" s="94"/>
      <c r="CZ36" s="40">
        <f t="shared" si="38"/>
        <v>2.7900274591234453</v>
      </c>
      <c r="DA36" s="94">
        <v>0.33878823627337318</v>
      </c>
      <c r="DB36" s="94">
        <v>8.2174352341382664E-2</v>
      </c>
      <c r="DC36" s="94">
        <v>0.10731784413133177</v>
      </c>
      <c r="DD36" s="94">
        <f t="shared" si="39"/>
        <v>0.18949219647271442</v>
      </c>
      <c r="DF36" s="40">
        <f t="shared" si="40"/>
        <v>1.8569836908540527</v>
      </c>
      <c r="DG36" s="94">
        <v>6.9045797538509451E-2</v>
      </c>
      <c r="DH36" s="94">
        <v>-2.2250693063651759E-2</v>
      </c>
      <c r="DI36" s="94">
        <v>1.3947947513635921E-2</v>
      </c>
      <c r="DJ36" s="94">
        <f t="shared" si="41"/>
        <v>-8.3027455500158387E-3</v>
      </c>
      <c r="DK36" s="107"/>
      <c r="DL36" s="40">
        <f t="shared" si="42"/>
        <v>3.1320498905442085</v>
      </c>
      <c r="DM36" s="94">
        <v>4.7467493206881754E-3</v>
      </c>
      <c r="DN36" s="94">
        <v>-4.7467493206881754E-3</v>
      </c>
      <c r="DO36" s="94">
        <v>1.714742475140592E-3</v>
      </c>
      <c r="DP36" s="94">
        <f t="shared" si="43"/>
        <v>-3.0320068455475836E-3</v>
      </c>
    </row>
    <row r="37" spans="1:120" x14ac:dyDescent="0.2">
      <c r="A37" s="91">
        <f>name!B33</f>
        <v>0</v>
      </c>
      <c r="B37" s="40">
        <f t="shared" si="1"/>
        <v>3.0105219210724066</v>
      </c>
      <c r="C37" s="11">
        <v>138.06999999999971</v>
      </c>
      <c r="D37" s="94">
        <v>5.2479999999998874</v>
      </c>
      <c r="E37" s="94">
        <v>47.674174099563118</v>
      </c>
      <c r="F37" s="94">
        <f t="shared" si="2"/>
        <v>52.922174099563009</v>
      </c>
      <c r="G37" s="94"/>
      <c r="H37" s="40">
        <f t="shared" si="3"/>
        <v>2.7387217667445674</v>
      </c>
      <c r="I37" s="94">
        <v>5.0762170042485808</v>
      </c>
      <c r="J37" s="94">
        <v>-1.6886317271375544</v>
      </c>
      <c r="K37" s="94">
        <v>1.5747035569122914</v>
      </c>
      <c r="L37" s="94">
        <f t="shared" si="4"/>
        <v>-0.11392817022526303</v>
      </c>
      <c r="N37" s="40">
        <f t="shared" si="5"/>
        <v>2.8045296362573024</v>
      </c>
      <c r="O37" s="94">
        <v>28.306731283971203</v>
      </c>
      <c r="P37" s="94">
        <v>-8.2765906536960721</v>
      </c>
      <c r="Q37" s="94">
        <v>9.0193352638725663</v>
      </c>
      <c r="R37" s="94">
        <f t="shared" si="6"/>
        <v>0.74274461017649429</v>
      </c>
      <c r="S37" s="107"/>
      <c r="T37" s="40">
        <f t="shared" si="7"/>
        <v>3.078543964604763</v>
      </c>
      <c r="U37" s="94">
        <v>104.68705171177994</v>
      </c>
      <c r="V37" s="94">
        <v>15.213222380833514</v>
      </c>
      <c r="W37" s="94">
        <v>37.080135278778265</v>
      </c>
      <c r="X37" s="94">
        <f t="shared" si="8"/>
        <v>52.293357659611779</v>
      </c>
      <c r="Y37" s="91">
        <f t="shared" si="0"/>
        <v>0</v>
      </c>
      <c r="Z37" s="40">
        <f t="shared" si="9"/>
        <v>3.1854311581563932</v>
      </c>
      <c r="AA37" s="11">
        <v>84.169352157623123</v>
      </c>
      <c r="AB37" s="94">
        <v>11.293223881137797</v>
      </c>
      <c r="AC37" s="94">
        <v>31.000236702092703</v>
      </c>
      <c r="AD37" s="94">
        <f t="shared" si="10"/>
        <v>42.293460583230498</v>
      </c>
      <c r="AE37" s="94"/>
      <c r="AF37" s="40">
        <f t="shared" si="11"/>
        <v>2.8758144240809802</v>
      </c>
      <c r="AG37" s="94">
        <v>1.561209729824472</v>
      </c>
      <c r="AH37" s="94">
        <v>-0.14303116627554172</v>
      </c>
      <c r="AI37" s="94">
        <v>0.51176550062084825</v>
      </c>
      <c r="AJ37" s="94">
        <f t="shared" si="12"/>
        <v>0.36873433434530656</v>
      </c>
      <c r="AL37" s="40">
        <f t="shared" si="13"/>
        <v>3.0188955093647607</v>
      </c>
      <c r="AM37" s="94">
        <v>12.208732860551185</v>
      </c>
      <c r="AN37" s="94">
        <v>-2.5285459351532285</v>
      </c>
      <c r="AO37" s="94">
        <v>4.2289079044003817</v>
      </c>
      <c r="AP37" s="94">
        <f t="shared" si="14"/>
        <v>1.7003619692471532</v>
      </c>
      <c r="AQ37" s="107"/>
      <c r="AR37" s="40">
        <f t="shared" si="15"/>
        <v>3.2208226301510656</v>
      </c>
      <c r="AS37" s="94">
        <v>70.39940956724746</v>
      </c>
      <c r="AT37" s="94">
        <v>13.964800982566569</v>
      </c>
      <c r="AU37" s="94">
        <v>26.259563297071477</v>
      </c>
      <c r="AV37" s="94">
        <f t="shared" si="16"/>
        <v>40.224364279638046</v>
      </c>
      <c r="AW37" s="91">
        <f t="shared" si="17"/>
        <v>0</v>
      </c>
      <c r="AX37" s="40">
        <f t="shared" si="18"/>
        <v>2.7267134522667158</v>
      </c>
      <c r="AY37" s="11">
        <v>51.927409634180037</v>
      </c>
      <c r="AZ37" s="94">
        <v>-6.0856524291559531</v>
      </c>
      <c r="BA37" s="94">
        <v>16.029026927967443</v>
      </c>
      <c r="BB37" s="94">
        <f t="shared" si="19"/>
        <v>9.9433744988114903</v>
      </c>
      <c r="BC37" s="94"/>
      <c r="BD37" s="40">
        <f t="shared" si="20"/>
        <v>2.6091217857213467</v>
      </c>
      <c r="BE37" s="94">
        <v>2.7243795006504485</v>
      </c>
      <c r="BF37" s="94">
        <v>-1.1532037322243214</v>
      </c>
      <c r="BG37" s="94">
        <v>0.80036230481528592</v>
      </c>
      <c r="BH37" s="94">
        <f t="shared" si="21"/>
        <v>-0.35284142740903546</v>
      </c>
      <c r="BJ37" s="40">
        <f t="shared" si="22"/>
        <v>2.6299443244254261</v>
      </c>
      <c r="BK37" s="94">
        <v>15.359163285338358</v>
      </c>
      <c r="BL37" s="94">
        <v>-5.9558823651697637</v>
      </c>
      <c r="BM37" s="94">
        <v>4.5525435996448893</v>
      </c>
      <c r="BN37" s="94">
        <f t="shared" si="23"/>
        <v>-1.4033387655248744</v>
      </c>
      <c r="BO37" s="107"/>
      <c r="BP37" s="40">
        <f t="shared" si="24"/>
        <v>2.7797379262401334</v>
      </c>
      <c r="BQ37" s="94">
        <v>33.843866848191233</v>
      </c>
      <c r="BR37" s="94">
        <v>1.0234336682381324</v>
      </c>
      <c r="BS37" s="94">
        <v>10.676121023507269</v>
      </c>
      <c r="BT37" s="94">
        <f t="shared" si="25"/>
        <v>11.699554691745401</v>
      </c>
      <c r="BU37" s="91">
        <f t="shared" si="26"/>
        <v>0</v>
      </c>
      <c r="BV37" s="40">
        <f t="shared" si="27"/>
        <v>2.6792477491861755</v>
      </c>
      <c r="BW37" s="11">
        <v>0.56980182682378044</v>
      </c>
      <c r="BX37" s="94">
        <v>1.0313467302711063E-2</v>
      </c>
      <c r="BY37" s="94">
        <v>0.17244888032198771</v>
      </c>
      <c r="BZ37" s="94">
        <f t="shared" si="28"/>
        <v>0.18276234762469878</v>
      </c>
      <c r="CA37" s="94"/>
      <c r="CB37" s="40">
        <f t="shared" si="29"/>
        <v>2.8367883930212612</v>
      </c>
      <c r="CC37" s="94">
        <v>0.20099431010344829</v>
      </c>
      <c r="CD37" s="94">
        <v>-5.7907920738398629E-2</v>
      </c>
      <c r="CE37" s="94">
        <v>6.4875370800946713E-2</v>
      </c>
      <c r="CF37" s="94">
        <f t="shared" si="30"/>
        <v>6.9674500625480848E-3</v>
      </c>
      <c r="CH37" s="40">
        <f t="shared" si="31"/>
        <v>2.5723272891071236</v>
      </c>
      <c r="CI37" s="94">
        <v>0.24513927427280902</v>
      </c>
      <c r="CJ37" s="94">
        <v>6.3410914542454982E-2</v>
      </c>
      <c r="CK37" s="94">
        <v>7.0881032615846981E-2</v>
      </c>
      <c r="CL37" s="94">
        <f t="shared" si="32"/>
        <v>0.13429194715830195</v>
      </c>
      <c r="CM37" s="107"/>
      <c r="CN37" s="40">
        <f t="shared" si="33"/>
        <v>2.6322808837923928</v>
      </c>
      <c r="CO37" s="94">
        <v>0.12366824244752304</v>
      </c>
      <c r="CP37" s="94">
        <v>4.8104734986547104E-3</v>
      </c>
      <c r="CQ37" s="94">
        <v>3.6692476905194005E-2</v>
      </c>
      <c r="CR37" s="94">
        <f t="shared" si="34"/>
        <v>4.1502950403848715E-2</v>
      </c>
      <c r="CS37" s="91">
        <f t="shared" si="35"/>
        <v>0</v>
      </c>
      <c r="CT37" s="40">
        <f t="shared" si="36"/>
        <v>2.9441443737506567</v>
      </c>
      <c r="CU37" s="11">
        <v>1.4034363813727799</v>
      </c>
      <c r="CV37" s="94">
        <v>3.0115080715330519E-2</v>
      </c>
      <c r="CW37" s="94">
        <v>0.47246158918098952</v>
      </c>
      <c r="CX37" s="94">
        <f t="shared" si="37"/>
        <v>0.50257666989631999</v>
      </c>
      <c r="CY37" s="94"/>
      <c r="CZ37" s="40">
        <f t="shared" si="38"/>
        <v>2.9337226933785931</v>
      </c>
      <c r="DA37" s="94">
        <v>0.58963346367021108</v>
      </c>
      <c r="DB37" s="94">
        <v>-0.33448890789929281</v>
      </c>
      <c r="DC37" s="94">
        <v>0.19770038067521037</v>
      </c>
      <c r="DD37" s="94">
        <f t="shared" si="39"/>
        <v>-0.13678852722408244</v>
      </c>
      <c r="DF37" s="40">
        <f t="shared" si="40"/>
        <v>2.9566467111862726</v>
      </c>
      <c r="DG37" s="94">
        <v>0.49369586380885072</v>
      </c>
      <c r="DH37" s="94">
        <v>0.14442673208446449</v>
      </c>
      <c r="DI37" s="94">
        <v>0.16700272721144677</v>
      </c>
      <c r="DJ37" s="94">
        <f t="shared" si="41"/>
        <v>0.31142945929591126</v>
      </c>
      <c r="DK37" s="107"/>
      <c r="DL37" s="40">
        <f t="shared" si="42"/>
        <v>2.944039552625588</v>
      </c>
      <c r="DM37" s="94">
        <v>0.32010705389371841</v>
      </c>
      <c r="DN37" s="94">
        <v>0.22017725653015885</v>
      </c>
      <c r="DO37" s="94">
        <v>0.10775848129433241</v>
      </c>
      <c r="DP37" s="94">
        <f t="shared" si="43"/>
        <v>0.32793573782449126</v>
      </c>
    </row>
    <row r="38" spans="1:120" x14ac:dyDescent="0.2">
      <c r="A38" s="91">
        <f>name!B34</f>
        <v>0</v>
      </c>
      <c r="B38" s="40">
        <f t="shared" si="1"/>
        <v>2.8257154904523185</v>
      </c>
      <c r="C38" s="11">
        <v>26.81499999999993</v>
      </c>
      <c r="D38" s="94">
        <v>7.5369999999999937</v>
      </c>
      <c r="E38" s="94">
        <v>8.6169620938889029</v>
      </c>
      <c r="F38" s="94">
        <f t="shared" si="2"/>
        <v>16.153962093888897</v>
      </c>
      <c r="G38" s="94"/>
      <c r="H38" s="40">
        <f t="shared" si="3"/>
        <v>2.7595137651860391</v>
      </c>
      <c r="I38" s="94">
        <v>9.6078449399321268</v>
      </c>
      <c r="J38" s="94">
        <v>1.1945418938920125</v>
      </c>
      <c r="K38" s="94">
        <v>3.0059681556585636</v>
      </c>
      <c r="L38" s="94">
        <f t="shared" si="4"/>
        <v>4.2005100495505765</v>
      </c>
      <c r="N38" s="40">
        <f t="shared" si="5"/>
        <v>2.7341953758082793</v>
      </c>
      <c r="O38" s="94">
        <v>9.4171479489873615</v>
      </c>
      <c r="P38" s="94">
        <v>4.3258837135697759</v>
      </c>
      <c r="Q38" s="94">
        <v>2.9158776210009156</v>
      </c>
      <c r="R38" s="94">
        <f t="shared" si="6"/>
        <v>7.2417613345706915</v>
      </c>
      <c r="S38" s="107"/>
      <c r="T38" s="40">
        <f t="shared" si="7"/>
        <v>3.0157359045575483</v>
      </c>
      <c r="U38" s="94">
        <v>7.7900071110804436</v>
      </c>
      <c r="V38" s="94">
        <v>2.0165743925382058</v>
      </c>
      <c r="W38" s="94">
        <v>2.6951163172294232</v>
      </c>
      <c r="X38" s="94">
        <f t="shared" si="8"/>
        <v>4.7116907097676286</v>
      </c>
      <c r="Y38" s="91">
        <f t="shared" si="0"/>
        <v>0</v>
      </c>
      <c r="Z38" s="40">
        <f t="shared" si="9"/>
        <v>2.9620533437984875</v>
      </c>
      <c r="AA38" s="11">
        <v>14.110138053458403</v>
      </c>
      <c r="AB38" s="94">
        <v>3.9764107081502162</v>
      </c>
      <c r="AC38" s="94">
        <v>4.782961494721258</v>
      </c>
      <c r="AD38" s="94">
        <f t="shared" si="10"/>
        <v>8.7593722028714751</v>
      </c>
      <c r="AE38" s="94"/>
      <c r="AF38" s="40">
        <f t="shared" si="11"/>
        <v>3.0508290138248517</v>
      </c>
      <c r="AG38" s="94">
        <v>2.6202275395242833</v>
      </c>
      <c r="AH38" s="94">
        <v>0.73551593091479284</v>
      </c>
      <c r="AI38" s="94">
        <v>0.91855524570148372</v>
      </c>
      <c r="AJ38" s="94">
        <f t="shared" si="12"/>
        <v>1.6540711766162766</v>
      </c>
      <c r="AL38" s="40">
        <f t="shared" si="13"/>
        <v>2.7890299588156253</v>
      </c>
      <c r="AM38" s="94">
        <v>5.0463247440146821</v>
      </c>
      <c r="AN38" s="94">
        <v>1.6277822226639092</v>
      </c>
      <c r="AO38" s="94">
        <v>1.5978779135482615</v>
      </c>
      <c r="AP38" s="94">
        <f t="shared" si="14"/>
        <v>3.2256601362121708</v>
      </c>
      <c r="AQ38" s="107"/>
      <c r="AR38" s="40">
        <f t="shared" si="15"/>
        <v>3.0598777753332529</v>
      </c>
      <c r="AS38" s="94">
        <v>6.4435857699194363</v>
      </c>
      <c r="AT38" s="94">
        <v>1.6131125545715137</v>
      </c>
      <c r="AU38" s="94">
        <v>2.266528335471512</v>
      </c>
      <c r="AV38" s="94">
        <f t="shared" si="16"/>
        <v>3.8796408900430257</v>
      </c>
      <c r="AW38" s="91">
        <f t="shared" si="17"/>
        <v>0</v>
      </c>
      <c r="AX38" s="40">
        <f t="shared" si="18"/>
        <v>2.6178151526021098</v>
      </c>
      <c r="AY38" s="11">
        <v>7.6620754162084248</v>
      </c>
      <c r="AZ38" s="94">
        <v>4.1655399185813149</v>
      </c>
      <c r="BA38" s="94">
        <v>2.2593497360645594</v>
      </c>
      <c r="BB38" s="94">
        <f t="shared" si="19"/>
        <v>6.4248896546458738</v>
      </c>
      <c r="BC38" s="94"/>
      <c r="BD38" s="40">
        <f t="shared" si="20"/>
        <v>2.5608888175541633</v>
      </c>
      <c r="BE38" s="94">
        <v>3.3773615761310447</v>
      </c>
      <c r="BF38" s="94">
        <v>1.945929096670862</v>
      </c>
      <c r="BG38" s="94">
        <v>0.97169760077091438</v>
      </c>
      <c r="BH38" s="94">
        <f t="shared" si="21"/>
        <v>2.9176266974417766</v>
      </c>
      <c r="BJ38" s="40">
        <f t="shared" si="22"/>
        <v>2.6173073729337526</v>
      </c>
      <c r="BK38" s="94">
        <v>3.0704844325527145</v>
      </c>
      <c r="BL38" s="94">
        <v>1.9069257326115823</v>
      </c>
      <c r="BM38" s="94">
        <v>0.90521045953698565</v>
      </c>
      <c r="BN38" s="94">
        <f t="shared" si="23"/>
        <v>2.8121361921485679</v>
      </c>
      <c r="BO38" s="107"/>
      <c r="BP38" s="40">
        <f t="shared" si="24"/>
        <v>2.7759432511544002</v>
      </c>
      <c r="BQ38" s="94">
        <v>1.2142294075246651</v>
      </c>
      <c r="BR38" s="94">
        <v>0.31268508929887001</v>
      </c>
      <c r="BS38" s="94">
        <v>0.38244167575665899</v>
      </c>
      <c r="BT38" s="94">
        <f t="shared" si="25"/>
        <v>0.69512676505552906</v>
      </c>
      <c r="BU38" s="91">
        <f t="shared" si="26"/>
        <v>0</v>
      </c>
      <c r="BV38" s="40">
        <f t="shared" si="27"/>
        <v>2.414473236517467</v>
      </c>
      <c r="BW38" s="11">
        <v>1.7431494173157795</v>
      </c>
      <c r="BX38" s="94">
        <v>0.61248561781568023</v>
      </c>
      <c r="BY38" s="94">
        <v>0.46968017566679687</v>
      </c>
      <c r="BZ38" s="94">
        <f t="shared" si="28"/>
        <v>1.0821657934824771</v>
      </c>
      <c r="CA38" s="94"/>
      <c r="CB38" s="40">
        <f t="shared" si="29"/>
        <v>2.3405169267602499</v>
      </c>
      <c r="CC38" s="94">
        <v>1.2042700345147108</v>
      </c>
      <c r="CD38" s="94">
        <v>0.30980767932272152</v>
      </c>
      <c r="CE38" s="94">
        <v>0.31347892181305265</v>
      </c>
      <c r="CF38" s="94">
        <f t="shared" si="30"/>
        <v>0.62328660113577417</v>
      </c>
      <c r="CH38" s="40">
        <f t="shared" si="31"/>
        <v>2.5716323827520871</v>
      </c>
      <c r="CI38" s="94">
        <v>0.51030481802269645</v>
      </c>
      <c r="CJ38" s="94">
        <v>0.30519047738461286</v>
      </c>
      <c r="CK38" s="94">
        <v>0.14750801317099851</v>
      </c>
      <c r="CL38" s="94">
        <f t="shared" si="32"/>
        <v>0.4526984905556114</v>
      </c>
      <c r="CM38" s="107"/>
      <c r="CN38" s="40">
        <f t="shared" si="33"/>
        <v>2.6917180041436728</v>
      </c>
      <c r="CO38" s="94">
        <v>2.8574564778372218E-2</v>
      </c>
      <c r="CP38" s="94">
        <v>-2.5125388916541216E-3</v>
      </c>
      <c r="CQ38" s="94">
        <v>8.6932406827457485E-3</v>
      </c>
      <c r="CR38" s="94">
        <f t="shared" si="34"/>
        <v>6.1807017910916265E-3</v>
      </c>
      <c r="CS38" s="91">
        <f t="shared" si="35"/>
        <v>0</v>
      </c>
      <c r="CT38" s="40">
        <f t="shared" si="36"/>
        <v>2.930505677421591</v>
      </c>
      <c r="CU38" s="11">
        <v>3.299637113017325</v>
      </c>
      <c r="CV38" s="94">
        <v>-1.2174362445472158</v>
      </c>
      <c r="CW38" s="94">
        <v>1.1049706874362895</v>
      </c>
      <c r="CX38" s="94">
        <f t="shared" si="37"/>
        <v>-0.11246555711092632</v>
      </c>
      <c r="CY38" s="94"/>
      <c r="CZ38" s="40">
        <f t="shared" si="38"/>
        <v>2.919374445859102</v>
      </c>
      <c r="DA38" s="94">
        <v>2.4059857897620875</v>
      </c>
      <c r="DB38" s="94">
        <v>-1.7967108130163638</v>
      </c>
      <c r="DC38" s="94">
        <v>0.80223638737311287</v>
      </c>
      <c r="DD38" s="94">
        <f t="shared" si="39"/>
        <v>-0.99447442564325095</v>
      </c>
      <c r="DF38" s="40">
        <f t="shared" si="40"/>
        <v>2.937506325372885</v>
      </c>
      <c r="DG38" s="94">
        <v>0.79003395439726709</v>
      </c>
      <c r="DH38" s="94">
        <v>0.48598528090967197</v>
      </c>
      <c r="DI38" s="94">
        <v>0.26528123474467041</v>
      </c>
      <c r="DJ38" s="94">
        <f t="shared" si="41"/>
        <v>0.75126651565434233</v>
      </c>
      <c r="DK38" s="107"/>
      <c r="DL38" s="40">
        <f t="shared" si="42"/>
        <v>3.1336395897629599</v>
      </c>
      <c r="DM38" s="94">
        <v>0.10361736885797046</v>
      </c>
      <c r="DN38" s="94">
        <v>9.3289287559476172E-2</v>
      </c>
      <c r="DO38" s="94">
        <v>3.7453065318506049E-2</v>
      </c>
      <c r="DP38" s="94">
        <f t="shared" si="43"/>
        <v>0.13074235287798222</v>
      </c>
    </row>
    <row r="39" spans="1:120" x14ac:dyDescent="0.2">
      <c r="A39" s="91">
        <f>name!B35</f>
        <v>0</v>
      </c>
      <c r="B39" s="40">
        <f t="shared" si="1"/>
        <v>2.9211108203484271</v>
      </c>
      <c r="C39" s="11">
        <v>368.77606295320101</v>
      </c>
      <c r="D39" s="94">
        <v>84.761622092085645</v>
      </c>
      <c r="E39" s="94">
        <v>123.04528099391801</v>
      </c>
      <c r="F39" s="94">
        <f t="shared" si="2"/>
        <v>207.80690308600367</v>
      </c>
      <c r="G39" s="94"/>
      <c r="H39" s="40">
        <f t="shared" si="3"/>
        <v>2.7717249598931071</v>
      </c>
      <c r="I39" s="94">
        <v>32.837927119185728</v>
      </c>
      <c r="J39" s="94">
        <v>4.3237049506459986</v>
      </c>
      <c r="K39" s="94">
        <v>10.325129723137874</v>
      </c>
      <c r="L39" s="94">
        <f t="shared" si="4"/>
        <v>14.648834673783872</v>
      </c>
      <c r="N39" s="40">
        <f t="shared" si="5"/>
        <v>2.7656612940708758</v>
      </c>
      <c r="O39" s="94">
        <v>92.687769994006359</v>
      </c>
      <c r="P39" s="94">
        <v>19.710235186067983</v>
      </c>
      <c r="Q39" s="94">
        <v>29.071671128619347</v>
      </c>
      <c r="R39" s="94">
        <f t="shared" si="6"/>
        <v>48.781906314687333</v>
      </c>
      <c r="S39" s="107"/>
      <c r="T39" s="40">
        <f t="shared" si="7"/>
        <v>2.9997068221470746</v>
      </c>
      <c r="U39" s="94">
        <v>243.25036584000898</v>
      </c>
      <c r="V39" s="94">
        <v>60.727681955371672</v>
      </c>
      <c r="W39" s="94">
        <v>83.648480142160807</v>
      </c>
      <c r="X39" s="94">
        <f t="shared" si="8"/>
        <v>144.37616209753247</v>
      </c>
      <c r="Y39" s="91">
        <f t="shared" si="0"/>
        <v>0</v>
      </c>
      <c r="Z39" s="40">
        <f t="shared" si="9"/>
        <v>2.9792358460889012</v>
      </c>
      <c r="AA39" s="11">
        <v>289.04342517306725</v>
      </c>
      <c r="AB39" s="94">
        <v>66.861243610511465</v>
      </c>
      <c r="AC39" s="94">
        <v>98.624387051621596</v>
      </c>
      <c r="AD39" s="94">
        <f t="shared" si="10"/>
        <v>165.48563066213308</v>
      </c>
      <c r="AE39" s="94"/>
      <c r="AF39" s="40">
        <f t="shared" si="11"/>
        <v>2.8543057167711661</v>
      </c>
      <c r="AG39" s="94">
        <v>18.48236538854206</v>
      </c>
      <c r="AH39" s="94">
        <v>4.0960252972031945</v>
      </c>
      <c r="AI39" s="94">
        <v>6.0072701306023175</v>
      </c>
      <c r="AJ39" s="94">
        <f t="shared" si="12"/>
        <v>10.103295427805513</v>
      </c>
      <c r="AL39" s="40">
        <f t="shared" si="13"/>
        <v>2.8320236000210164</v>
      </c>
      <c r="AM39" s="94">
        <v>54.824002647872582</v>
      </c>
      <c r="AN39" s="94">
        <v>11.073850669427829</v>
      </c>
      <c r="AO39" s="94">
        <v>17.662068695155931</v>
      </c>
      <c r="AP39" s="94">
        <f t="shared" si="14"/>
        <v>28.735919364583758</v>
      </c>
      <c r="AQ39" s="107"/>
      <c r="AR39" s="40">
        <f t="shared" si="15"/>
        <v>3.0269513060553033</v>
      </c>
      <c r="AS39" s="94">
        <v>215.73705713665262</v>
      </c>
      <c r="AT39" s="94">
        <v>51.691367643880433</v>
      </c>
      <c r="AU39" s="94">
        <v>74.955048225863351</v>
      </c>
      <c r="AV39" s="94">
        <f t="shared" si="16"/>
        <v>126.64641586974378</v>
      </c>
      <c r="AW39" s="91">
        <f t="shared" si="17"/>
        <v>0</v>
      </c>
      <c r="AX39" s="40">
        <f t="shared" si="18"/>
        <v>2.6968748254135422</v>
      </c>
      <c r="AY39" s="11">
        <v>69.208761822942577</v>
      </c>
      <c r="AZ39" s="94">
        <v>17.364813908921313</v>
      </c>
      <c r="BA39" s="94">
        <v>21.100721406247324</v>
      </c>
      <c r="BB39" s="94">
        <f t="shared" si="19"/>
        <v>38.465535315168637</v>
      </c>
      <c r="BC39" s="94"/>
      <c r="BD39" s="40">
        <f t="shared" si="20"/>
        <v>2.6111478879813799</v>
      </c>
      <c r="BE39" s="94">
        <v>8.5643903989708114</v>
      </c>
      <c r="BF39" s="94">
        <v>2.5133510791903837</v>
      </c>
      <c r="BG39" s="94">
        <v>2.5182161637376153</v>
      </c>
      <c r="BH39" s="94">
        <f t="shared" si="21"/>
        <v>5.0315672429279985</v>
      </c>
      <c r="BJ39" s="40">
        <f t="shared" si="22"/>
        <v>2.646322122033018</v>
      </c>
      <c r="BK39" s="94">
        <v>33.438393051364635</v>
      </c>
      <c r="BL39" s="94">
        <v>5.8534198050841955</v>
      </c>
      <c r="BM39" s="94">
        <v>9.9805580750418521</v>
      </c>
      <c r="BN39" s="94">
        <f t="shared" si="23"/>
        <v>15.833977880126048</v>
      </c>
      <c r="BO39" s="107"/>
      <c r="BP39" s="40">
        <f t="shared" si="24"/>
        <v>2.7854120715325115</v>
      </c>
      <c r="BQ39" s="94">
        <v>27.205978372607124</v>
      </c>
      <c r="BR39" s="94">
        <v>8.9980430246467371</v>
      </c>
      <c r="BS39" s="94">
        <v>8.6019471674678574</v>
      </c>
      <c r="BT39" s="94">
        <f t="shared" si="25"/>
        <v>17.599990192114596</v>
      </c>
      <c r="BU39" s="91">
        <f t="shared" si="26"/>
        <v>0</v>
      </c>
      <c r="BV39" s="40">
        <f t="shared" si="27"/>
        <v>2.5118352045522041</v>
      </c>
      <c r="BW39" s="11">
        <v>3.8656530906609365</v>
      </c>
      <c r="BX39" s="94">
        <v>1.3479415735600602</v>
      </c>
      <c r="BY39" s="94">
        <v>1.08842630099127</v>
      </c>
      <c r="BZ39" s="94">
        <f t="shared" si="28"/>
        <v>2.4363678745513302</v>
      </c>
      <c r="CA39" s="94"/>
      <c r="CB39" s="40">
        <f t="shared" si="29"/>
        <v>2.415283547581426</v>
      </c>
      <c r="CC39" s="94">
        <v>1.9483930173046786</v>
      </c>
      <c r="CD39" s="94">
        <v>0.36760454555590533</v>
      </c>
      <c r="CE39" s="94">
        <v>0.52517741956185582</v>
      </c>
      <c r="CF39" s="94">
        <f t="shared" si="30"/>
        <v>0.89278196511776109</v>
      </c>
      <c r="CH39" s="40">
        <f t="shared" si="31"/>
        <v>2.60322084904967</v>
      </c>
      <c r="CI39" s="94">
        <v>1.6099297426070227</v>
      </c>
      <c r="CJ39" s="94">
        <v>0.94206574115965114</v>
      </c>
      <c r="CK39" s="94">
        <v>0.47176413259982158</v>
      </c>
      <c r="CL39" s="94">
        <f t="shared" si="32"/>
        <v>1.4138298737594728</v>
      </c>
      <c r="CM39" s="107"/>
      <c r="CN39" s="40">
        <f t="shared" si="33"/>
        <v>2.6399932413593952</v>
      </c>
      <c r="CO39" s="94">
        <v>0.30733033074923499</v>
      </c>
      <c r="CP39" s="94">
        <v>3.8271286844503753E-2</v>
      </c>
      <c r="CQ39" s="94">
        <v>9.148474882959258E-2</v>
      </c>
      <c r="CR39" s="94">
        <f t="shared" si="34"/>
        <v>0.12975603567409633</v>
      </c>
      <c r="CS39" s="91">
        <f t="shared" si="35"/>
        <v>0</v>
      </c>
      <c r="CT39" s="40">
        <f t="shared" si="36"/>
        <v>2.9328961439813339</v>
      </c>
      <c r="CU39" s="11">
        <v>6.6582228665302994</v>
      </c>
      <c r="CV39" s="94">
        <v>-0.81237700090717724</v>
      </c>
      <c r="CW39" s="94">
        <v>2.2317462350578254</v>
      </c>
      <c r="CX39" s="94">
        <f t="shared" si="37"/>
        <v>1.4193692341506483</v>
      </c>
      <c r="CY39" s="94"/>
      <c r="CZ39" s="40">
        <f t="shared" si="38"/>
        <v>2.9056172918835443</v>
      </c>
      <c r="DA39" s="94">
        <v>3.8427783143681786</v>
      </c>
      <c r="DB39" s="94">
        <v>-2.6532759713034841</v>
      </c>
      <c r="DC39" s="94">
        <v>1.2744660092360849</v>
      </c>
      <c r="DD39" s="94">
        <f t="shared" si="39"/>
        <v>-1.3788099620673993</v>
      </c>
      <c r="DF39" s="40">
        <f t="shared" si="40"/>
        <v>2.9700241427257357</v>
      </c>
      <c r="DG39" s="94">
        <v>2.8154445521621203</v>
      </c>
      <c r="DH39" s="94">
        <v>1.840898970396307</v>
      </c>
      <c r="DI39" s="94">
        <v>0.95728022582174022</v>
      </c>
      <c r="DJ39" s="94">
        <f t="shared" si="41"/>
        <v>2.7981791962180473</v>
      </c>
      <c r="DK39" s="107"/>
      <c r="DL39" s="40">
        <f t="shared" si="42"/>
        <v>0</v>
      </c>
      <c r="DM39" s="94">
        <v>0</v>
      </c>
      <c r="DN39" s="94">
        <v>0</v>
      </c>
      <c r="DO39" s="94">
        <v>0</v>
      </c>
      <c r="DP39" s="94">
        <f t="shared" si="43"/>
        <v>0</v>
      </c>
    </row>
    <row r="40" spans="1:120" x14ac:dyDescent="0.2">
      <c r="A40" s="91">
        <f>name!B36</f>
        <v>0</v>
      </c>
      <c r="B40" s="40">
        <f t="shared" si="1"/>
        <v>2.6156670918794589</v>
      </c>
      <c r="C40" s="11">
        <v>59.103598741996336</v>
      </c>
      <c r="D40" s="94">
        <v>10.931351340026987</v>
      </c>
      <c r="E40" s="94">
        <v>17.412118425033665</v>
      </c>
      <c r="F40" s="94">
        <f t="shared" si="2"/>
        <v>28.343469765060654</v>
      </c>
      <c r="G40" s="94"/>
      <c r="H40" s="40">
        <f t="shared" si="3"/>
        <v>2.9162137159606694</v>
      </c>
      <c r="I40" s="94">
        <v>7.0907516731659292</v>
      </c>
      <c r="J40" s="94">
        <v>1.9187056475680879</v>
      </c>
      <c r="K40" s="94">
        <v>2.3613912018919283</v>
      </c>
      <c r="L40" s="94">
        <f t="shared" si="4"/>
        <v>4.2800968494600165</v>
      </c>
      <c r="N40" s="40">
        <f t="shared" si="5"/>
        <v>2.7970408811855085</v>
      </c>
      <c r="O40" s="94">
        <v>18.191156691215305</v>
      </c>
      <c r="P40" s="94">
        <v>8.022238906562599</v>
      </c>
      <c r="Q40" s="94">
        <v>5.7787557135900602</v>
      </c>
      <c r="R40" s="94">
        <f t="shared" si="6"/>
        <v>13.800994620152659</v>
      </c>
      <c r="S40" s="107"/>
      <c r="T40" s="40">
        <f t="shared" si="7"/>
        <v>2.4523227678848292</v>
      </c>
      <c r="U40" s="94">
        <v>33.821690377615099</v>
      </c>
      <c r="V40" s="94">
        <v>0.99040678589629894</v>
      </c>
      <c r="W40" s="94">
        <v>9.2719715095516726</v>
      </c>
      <c r="X40" s="94">
        <f t="shared" si="8"/>
        <v>10.262378295447972</v>
      </c>
      <c r="Y40" s="91">
        <f t="shared" si="0"/>
        <v>0</v>
      </c>
      <c r="Z40" s="40">
        <f t="shared" si="9"/>
        <v>2.484409578072122</v>
      </c>
      <c r="AA40" s="11">
        <v>44.995646288457721</v>
      </c>
      <c r="AB40" s="94">
        <v>0.7961289357498379</v>
      </c>
      <c r="AC40" s="94">
        <v>12.515037145045216</v>
      </c>
      <c r="AD40" s="94">
        <f t="shared" si="10"/>
        <v>13.311166080795054</v>
      </c>
      <c r="AE40" s="94"/>
      <c r="AF40" s="40">
        <f t="shared" si="11"/>
        <v>2.5511173362787742</v>
      </c>
      <c r="AG40" s="94">
        <v>2.5406257516550319</v>
      </c>
      <c r="AH40" s="94">
        <v>0.3259075522826399</v>
      </c>
      <c r="AI40" s="94">
        <v>0.72784543832994497</v>
      </c>
      <c r="AJ40" s="94">
        <f t="shared" si="12"/>
        <v>1.0537529906125849</v>
      </c>
      <c r="AL40" s="40">
        <f t="shared" si="13"/>
        <v>2.6421330232528906</v>
      </c>
      <c r="AM40" s="94">
        <v>11.02643601927363</v>
      </c>
      <c r="AN40" s="94">
        <v>-0.16285332189494414</v>
      </c>
      <c r="AO40" s="94">
        <v>3.2852845394032442</v>
      </c>
      <c r="AP40" s="94">
        <f t="shared" si="14"/>
        <v>3.1224312175083</v>
      </c>
      <c r="AQ40" s="107"/>
      <c r="AR40" s="40">
        <f t="shared" si="15"/>
        <v>2.4231158731658597</v>
      </c>
      <c r="AS40" s="94">
        <v>31.42858451752906</v>
      </c>
      <c r="AT40" s="94">
        <v>0.63307470536214216</v>
      </c>
      <c r="AU40" s="94">
        <v>8.5019071673120266</v>
      </c>
      <c r="AV40" s="94">
        <f t="shared" si="16"/>
        <v>9.1349818726741692</v>
      </c>
      <c r="AW40" s="91">
        <f t="shared" si="17"/>
        <v>0</v>
      </c>
      <c r="AX40" s="40">
        <f t="shared" si="18"/>
        <v>2.675817093692956</v>
      </c>
      <c r="AY40" s="11">
        <v>5.0502971452334489</v>
      </c>
      <c r="AZ40" s="94">
        <v>0.88079477764455349</v>
      </c>
      <c r="BA40" s="94">
        <v>1.5262601500564552</v>
      </c>
      <c r="BB40" s="94">
        <f t="shared" si="19"/>
        <v>2.4070549277010089</v>
      </c>
      <c r="BC40" s="94"/>
      <c r="BD40" s="40">
        <f t="shared" si="20"/>
        <v>2.6176394496400412</v>
      </c>
      <c r="BE40" s="94">
        <v>0.56332121807974112</v>
      </c>
      <c r="BF40" s="94">
        <v>6.7884082218324399E-2</v>
      </c>
      <c r="BG40" s="94">
        <v>0.16609650552913752</v>
      </c>
      <c r="BH40" s="94">
        <f t="shared" si="21"/>
        <v>0.23398058774746192</v>
      </c>
      <c r="BJ40" s="40">
        <f t="shared" si="22"/>
        <v>2.6168774278747309</v>
      </c>
      <c r="BK40" s="94">
        <v>2.8001519292734307</v>
      </c>
      <c r="BL40" s="94">
        <v>0.57994096053429567</v>
      </c>
      <c r="BM40" s="94">
        <v>0.8253617461934516</v>
      </c>
      <c r="BN40" s="94">
        <f t="shared" si="23"/>
        <v>1.4053027067277473</v>
      </c>
      <c r="BO40" s="107"/>
      <c r="BP40" s="40">
        <f t="shared" si="24"/>
        <v>2.7921892804910087</v>
      </c>
      <c r="BQ40" s="94">
        <v>1.6868239978802764</v>
      </c>
      <c r="BR40" s="94">
        <v>0.23296973489193351</v>
      </c>
      <c r="BS40" s="94">
        <v>0.53480189833386615</v>
      </c>
      <c r="BT40" s="94">
        <f t="shared" si="25"/>
        <v>0.76777163322579967</v>
      </c>
      <c r="BU40" s="91">
        <f t="shared" si="26"/>
        <v>0</v>
      </c>
      <c r="BV40" s="40">
        <f t="shared" si="27"/>
        <v>3.3032406781256851</v>
      </c>
      <c r="BW40" s="11">
        <v>7.5734451294849583</v>
      </c>
      <c r="BX40" s="94">
        <v>9.9445968505973621</v>
      </c>
      <c r="BY40" s="94">
        <v>2.9082842096564585</v>
      </c>
      <c r="BZ40" s="94">
        <f t="shared" si="28"/>
        <v>12.852881060253821</v>
      </c>
      <c r="CA40" s="94"/>
      <c r="CB40" s="40">
        <f t="shared" si="29"/>
        <v>3.3739759257654933</v>
      </c>
      <c r="CC40" s="94">
        <v>2.7837448344029059</v>
      </c>
      <c r="CD40" s="94">
        <v>2.278224621913898</v>
      </c>
      <c r="CE40" s="94">
        <v>1.0954503018874868</v>
      </c>
      <c r="CF40" s="94">
        <f t="shared" si="30"/>
        <v>3.373674923801385</v>
      </c>
      <c r="CH40" s="40">
        <f t="shared" si="31"/>
        <v>3.3175945471649371</v>
      </c>
      <c r="CI40" s="94">
        <v>4.0993032054196004</v>
      </c>
      <c r="CJ40" s="94">
        <v>7.5439376770551005</v>
      </c>
      <c r="CK40" s="94">
        <v>1.582064592612429</v>
      </c>
      <c r="CL40" s="94">
        <f t="shared" si="32"/>
        <v>9.1260022696675289</v>
      </c>
      <c r="CM40" s="107"/>
      <c r="CN40" s="40">
        <f t="shared" si="33"/>
        <v>2.9257200385051085</v>
      </c>
      <c r="CO40" s="94">
        <v>0.69039708966245217</v>
      </c>
      <c r="CP40" s="94">
        <v>0.1224345516283623</v>
      </c>
      <c r="CQ40" s="94">
        <v>0.23076931515654289</v>
      </c>
      <c r="CR40" s="94">
        <f t="shared" si="34"/>
        <v>0.35320386678490517</v>
      </c>
      <c r="CS40" s="91">
        <f t="shared" si="35"/>
        <v>0</v>
      </c>
      <c r="CT40" s="40">
        <f t="shared" si="36"/>
        <v>2.7499012245735921</v>
      </c>
      <c r="CU40" s="11">
        <v>1.4842101788202127</v>
      </c>
      <c r="CV40" s="94">
        <v>-0.69016922396476632</v>
      </c>
      <c r="CW40" s="94">
        <v>0.46253692027553084</v>
      </c>
      <c r="CX40" s="94">
        <f t="shared" si="37"/>
        <v>-0.22763230368923548</v>
      </c>
      <c r="CY40" s="94"/>
      <c r="CZ40" s="40">
        <f t="shared" si="38"/>
        <v>2.7308671095884973</v>
      </c>
      <c r="DA40" s="94">
        <v>1.2030598690282495</v>
      </c>
      <c r="DB40" s="94">
        <v>-0.75331060884677437</v>
      </c>
      <c r="DC40" s="94">
        <v>0.37199895614535888</v>
      </c>
      <c r="DD40" s="94">
        <f t="shared" si="39"/>
        <v>-0.38131165270141548</v>
      </c>
      <c r="DF40" s="40">
        <f t="shared" si="40"/>
        <v>2.8492227911662393</v>
      </c>
      <c r="DG40" s="94">
        <v>0.26526553724864882</v>
      </c>
      <c r="DH40" s="94">
        <v>6.1213590868147122E-2</v>
      </c>
      <c r="DI40" s="94">
        <v>8.6044835380935866E-2</v>
      </c>
      <c r="DJ40" s="94">
        <f t="shared" si="41"/>
        <v>0.14725842624908297</v>
      </c>
      <c r="DK40" s="107"/>
      <c r="DL40" s="40">
        <f t="shared" si="42"/>
        <v>2.5221830839160519</v>
      </c>
      <c r="DM40" s="94">
        <v>1.5884772543314236E-2</v>
      </c>
      <c r="DN40" s="94">
        <v>1.9277940138610408E-3</v>
      </c>
      <c r="DO40" s="94">
        <v>4.4931287492361305E-3</v>
      </c>
      <c r="DP40" s="94">
        <f t="shared" si="43"/>
        <v>6.4209227630971713E-3</v>
      </c>
    </row>
    <row r="41" spans="1:120" x14ac:dyDescent="0.2">
      <c r="A41" s="91">
        <f>name!B37</f>
        <v>0</v>
      </c>
      <c r="B41" s="40">
        <f t="shared" si="1"/>
        <v>2.6219584526235851</v>
      </c>
      <c r="C41" s="11">
        <v>9.5199829855549893</v>
      </c>
      <c r="D41" s="94">
        <v>1.2808958930051737</v>
      </c>
      <c r="E41" s="94">
        <v>2.8121772094303279</v>
      </c>
      <c r="F41" s="94">
        <f t="shared" si="2"/>
        <v>4.0930731024355014</v>
      </c>
      <c r="G41" s="94"/>
      <c r="H41" s="40">
        <f t="shared" si="3"/>
        <v>2.4658199500782629</v>
      </c>
      <c r="I41" s="94">
        <v>0.81619786230081037</v>
      </c>
      <c r="J41" s="94">
        <v>0.237585138792064</v>
      </c>
      <c r="K41" s="94">
        <v>0.22512559128548079</v>
      </c>
      <c r="L41" s="94">
        <f t="shared" si="4"/>
        <v>0.46271073007754482</v>
      </c>
      <c r="N41" s="40">
        <f t="shared" si="5"/>
        <v>2.6634862095569645</v>
      </c>
      <c r="O41" s="94">
        <v>2.0711276399167695</v>
      </c>
      <c r="P41" s="94">
        <v>0.44161042637100889</v>
      </c>
      <c r="Q41" s="94">
        <v>0.62268224619976209</v>
      </c>
      <c r="R41" s="94">
        <f t="shared" si="6"/>
        <v>1.0642926725707711</v>
      </c>
      <c r="S41" s="107"/>
      <c r="T41" s="40">
        <f t="shared" si="7"/>
        <v>2.628048625603352</v>
      </c>
      <c r="U41" s="94">
        <v>6.6326574833374119</v>
      </c>
      <c r="V41" s="94">
        <v>0.60170032784210092</v>
      </c>
      <c r="W41" s="94">
        <v>1.9643693719450848</v>
      </c>
      <c r="X41" s="94">
        <f t="shared" si="8"/>
        <v>2.5660696997871857</v>
      </c>
      <c r="Y41" s="91">
        <f t="shared" si="0"/>
        <v>0</v>
      </c>
      <c r="Z41" s="40">
        <f t="shared" si="9"/>
        <v>2.6231625982701789</v>
      </c>
      <c r="AA41" s="11">
        <v>7.8178668346409639</v>
      </c>
      <c r="AB41" s="94">
        <v>0.85873650454850714</v>
      </c>
      <c r="AC41" s="94">
        <v>2.3105650783484251</v>
      </c>
      <c r="AD41" s="94">
        <f t="shared" si="10"/>
        <v>3.1693015828969324</v>
      </c>
      <c r="AE41" s="94"/>
      <c r="AF41" s="40">
        <f t="shared" si="11"/>
        <v>2.4078323200257934</v>
      </c>
      <c r="AG41" s="94">
        <v>0.42302413000387928</v>
      </c>
      <c r="AH41" s="94">
        <v>0.33710538828897285</v>
      </c>
      <c r="AI41" s="94">
        <v>0.11363296527709778</v>
      </c>
      <c r="AJ41" s="94">
        <f t="shared" si="12"/>
        <v>0.45073835356607062</v>
      </c>
      <c r="AL41" s="40">
        <f t="shared" si="13"/>
        <v>2.7256227849607129</v>
      </c>
      <c r="AM41" s="94">
        <v>1.0976496509709948</v>
      </c>
      <c r="AN41" s="94">
        <v>1.0248190705673856E-3</v>
      </c>
      <c r="AO41" s="94">
        <v>0.33867155545083699</v>
      </c>
      <c r="AP41" s="94">
        <f t="shared" si="14"/>
        <v>0.33969637452140439</v>
      </c>
      <c r="AQ41" s="107"/>
      <c r="AR41" s="40">
        <f t="shared" si="15"/>
        <v>2.6195513042214014</v>
      </c>
      <c r="AS41" s="94">
        <v>6.2971930536660903</v>
      </c>
      <c r="AT41" s="94">
        <v>0.52060629718896689</v>
      </c>
      <c r="AU41" s="94">
        <v>1.8582605576204905</v>
      </c>
      <c r="AV41" s="94">
        <f t="shared" si="16"/>
        <v>2.3788668548094574</v>
      </c>
      <c r="AW41" s="91">
        <f t="shared" si="17"/>
        <v>0</v>
      </c>
      <c r="AX41" s="40">
        <f t="shared" si="18"/>
        <v>2.6785764491621844</v>
      </c>
      <c r="AY41" s="11">
        <v>0.96217009441048162</v>
      </c>
      <c r="AZ41" s="94">
        <v>0.19915521880321993</v>
      </c>
      <c r="BA41" s="94">
        <v>0.29111606469515938</v>
      </c>
      <c r="BB41" s="94">
        <f t="shared" si="19"/>
        <v>0.49027128349837934</v>
      </c>
      <c r="BC41" s="94"/>
      <c r="BD41" s="40">
        <f t="shared" si="20"/>
        <v>2.6372048618027666</v>
      </c>
      <c r="BE41" s="94">
        <v>0.12023971653791019</v>
      </c>
      <c r="BF41" s="94">
        <v>4.7709276205164207E-3</v>
      </c>
      <c r="BG41" s="94">
        <v>3.5750049535400286E-2</v>
      </c>
      <c r="BH41" s="94">
        <f t="shared" si="21"/>
        <v>4.052097715591671E-2</v>
      </c>
      <c r="BJ41" s="40">
        <f t="shared" si="22"/>
        <v>2.6370907343919114</v>
      </c>
      <c r="BK41" s="94">
        <v>0.59167940202908853</v>
      </c>
      <c r="BL41" s="94">
        <v>0.15764745541630559</v>
      </c>
      <c r="BM41" s="94">
        <v>0.17591143975903728</v>
      </c>
      <c r="BN41" s="94">
        <f t="shared" si="23"/>
        <v>0.33355889517534287</v>
      </c>
      <c r="BO41" s="107"/>
      <c r="BP41" s="40">
        <f t="shared" si="24"/>
        <v>2.7957236007542408</v>
      </c>
      <c r="BQ41" s="94">
        <v>0.25025097584348277</v>
      </c>
      <c r="BR41" s="94">
        <v>3.6736835766397878E-2</v>
      </c>
      <c r="BS41" s="94">
        <v>7.945457540072183E-2</v>
      </c>
      <c r="BT41" s="94">
        <f t="shared" si="25"/>
        <v>0.1161914111671197</v>
      </c>
      <c r="BU41" s="91">
        <f t="shared" si="26"/>
        <v>0</v>
      </c>
      <c r="BV41" s="40">
        <f t="shared" si="27"/>
        <v>2.5508183926929773</v>
      </c>
      <c r="BW41" s="11">
        <v>0.50584005818189604</v>
      </c>
      <c r="BX41" s="94">
        <v>0.32238456824668921</v>
      </c>
      <c r="BY41" s="94">
        <v>0.1448954785012399</v>
      </c>
      <c r="BZ41" s="94">
        <f t="shared" si="28"/>
        <v>0.46728004674792911</v>
      </c>
      <c r="CA41" s="94"/>
      <c r="CB41" s="40">
        <f t="shared" si="29"/>
        <v>2.5367449852401247</v>
      </c>
      <c r="CC41" s="94">
        <v>9.1589573227019994E-2</v>
      </c>
      <c r="CD41" s="94">
        <v>-4.2808638867016524E-3</v>
      </c>
      <c r="CE41" s="94">
        <v>2.6073802070792795E-2</v>
      </c>
      <c r="CF41" s="94">
        <f t="shared" si="30"/>
        <v>2.1792938184091143E-2</v>
      </c>
      <c r="CH41" s="40">
        <f t="shared" si="31"/>
        <v>2.5204548632431933</v>
      </c>
      <c r="CI41" s="94">
        <v>0.33966700342259021</v>
      </c>
      <c r="CJ41" s="94">
        <v>0.28850292379729831</v>
      </c>
      <c r="CK41" s="94">
        <v>9.6003947721158597E-2</v>
      </c>
      <c r="CL41" s="94">
        <f t="shared" si="32"/>
        <v>0.38450687151845692</v>
      </c>
      <c r="CM41" s="107"/>
      <c r="CN41" s="40">
        <f t="shared" si="33"/>
        <v>2.7051379124598762</v>
      </c>
      <c r="CO41" s="94">
        <v>7.458348153228582E-2</v>
      </c>
      <c r="CP41" s="94">
        <v>3.8162508336092499E-2</v>
      </c>
      <c r="CQ41" s="94">
        <v>2.2817728709288516E-2</v>
      </c>
      <c r="CR41" s="94">
        <f t="shared" si="34"/>
        <v>6.0980237045381011E-2</v>
      </c>
      <c r="CS41" s="91">
        <f t="shared" si="35"/>
        <v>0</v>
      </c>
      <c r="CT41" s="40">
        <f t="shared" si="36"/>
        <v>2.5010642333554323</v>
      </c>
      <c r="CU41" s="11">
        <v>0.23410599832164924</v>
      </c>
      <c r="CV41" s="94">
        <v>-9.9380398593242464E-2</v>
      </c>
      <c r="CW41" s="94">
        <v>6.5600587885503062E-2</v>
      </c>
      <c r="CX41" s="94">
        <f t="shared" si="37"/>
        <v>-3.3779810707739402E-2</v>
      </c>
      <c r="CY41" s="94"/>
      <c r="CZ41" s="40">
        <f t="shared" si="38"/>
        <v>2.4503054838948435</v>
      </c>
      <c r="DA41" s="94">
        <v>0.18134444253200094</v>
      </c>
      <c r="DB41" s="94">
        <v>-0.10001031323072365</v>
      </c>
      <c r="DC41" s="94">
        <v>4.9668774402189947E-2</v>
      </c>
      <c r="DD41" s="94">
        <f t="shared" si="39"/>
        <v>-5.0341538828533705E-2</v>
      </c>
      <c r="DF41" s="40">
        <f t="shared" si="40"/>
        <v>2.5559091493363884</v>
      </c>
      <c r="DG41" s="94">
        <v>4.2131583494095966E-2</v>
      </c>
      <c r="DH41" s="94">
        <v>-5.5647719131624168E-3</v>
      </c>
      <c r="DI41" s="94">
        <v>1.2095303268729192E-2</v>
      </c>
      <c r="DJ41" s="94">
        <f t="shared" si="41"/>
        <v>6.5305313555667748E-3</v>
      </c>
      <c r="DK41" s="107"/>
      <c r="DL41" s="40">
        <f t="shared" si="42"/>
        <v>3.1295401767871711</v>
      </c>
      <c r="DM41" s="94">
        <v>1.0629972295552376E-2</v>
      </c>
      <c r="DN41" s="94">
        <v>6.1946865506436119E-3</v>
      </c>
      <c r="DO41" s="94">
        <v>3.8365102145839292E-3</v>
      </c>
      <c r="DP41" s="94">
        <f t="shared" si="43"/>
        <v>1.003119676522754E-2</v>
      </c>
    </row>
    <row r="42" spans="1:120" x14ac:dyDescent="0.2">
      <c r="A42" s="91">
        <f>name!B38</f>
        <v>0</v>
      </c>
      <c r="B42" s="40">
        <f t="shared" si="1"/>
        <v>2.7659066814350819</v>
      </c>
      <c r="C42" s="11">
        <v>41.327917877507424</v>
      </c>
      <c r="D42" s="94">
        <v>5.5428905332373821</v>
      </c>
      <c r="E42" s="94">
        <v>12.963865628503205</v>
      </c>
      <c r="F42" s="94">
        <f t="shared" si="2"/>
        <v>18.506756161740586</v>
      </c>
      <c r="G42" s="94"/>
      <c r="H42" s="40">
        <f t="shared" si="3"/>
        <v>2.5883895459776651</v>
      </c>
      <c r="I42" s="94">
        <v>6.6477909633603698</v>
      </c>
      <c r="J42" s="94">
        <v>0.46903863547743174</v>
      </c>
      <c r="K42" s="94">
        <v>1.9356115118566004</v>
      </c>
      <c r="L42" s="94">
        <f t="shared" si="4"/>
        <v>2.4046501473340323</v>
      </c>
      <c r="N42" s="40">
        <f t="shared" si="5"/>
        <v>2.6369495607399429</v>
      </c>
      <c r="O42" s="94">
        <v>13.326579267199337</v>
      </c>
      <c r="P42" s="94">
        <v>1.877839557749986</v>
      </c>
      <c r="Q42" s="94">
        <v>3.9618702925814446</v>
      </c>
      <c r="R42" s="94">
        <f t="shared" si="6"/>
        <v>5.8397098503314311</v>
      </c>
      <c r="S42" s="107"/>
      <c r="T42" s="40">
        <f t="shared" si="7"/>
        <v>2.8999820012332478</v>
      </c>
      <c r="U42" s="94">
        <v>21.35354764694771</v>
      </c>
      <c r="V42" s="94">
        <v>3.1960123400099647</v>
      </c>
      <c r="W42" s="94">
        <v>7.0663838240651593</v>
      </c>
      <c r="X42" s="94">
        <f t="shared" si="8"/>
        <v>10.262396164075124</v>
      </c>
      <c r="Y42" s="91">
        <f t="shared" si="0"/>
        <v>0</v>
      </c>
      <c r="Z42" s="40">
        <f t="shared" si="9"/>
        <v>2.8515281797403702</v>
      </c>
      <c r="AA42" s="11">
        <v>28.851400371214467</v>
      </c>
      <c r="AB42" s="94">
        <v>2.9117941769720685</v>
      </c>
      <c r="AC42" s="94">
        <v>9.3671654902328125</v>
      </c>
      <c r="AD42" s="94">
        <f t="shared" si="10"/>
        <v>12.27895966720488</v>
      </c>
      <c r="AE42" s="94"/>
      <c r="AF42" s="40">
        <f t="shared" si="11"/>
        <v>2.7312978006911237</v>
      </c>
      <c r="AG42" s="94">
        <v>2.3074493769266002</v>
      </c>
      <c r="AH42" s="94">
        <v>8.8154748807107802E-2</v>
      </c>
      <c r="AI42" s="94">
        <v>0.7136146359797787</v>
      </c>
      <c r="AJ42" s="94">
        <f t="shared" si="12"/>
        <v>0.80176938478688653</v>
      </c>
      <c r="AL42" s="40">
        <f t="shared" si="13"/>
        <v>2.6978647455589311</v>
      </c>
      <c r="AM42" s="94">
        <v>7.996889456722271</v>
      </c>
      <c r="AN42" s="94">
        <v>0.23978644928801202</v>
      </c>
      <c r="AO42" s="94">
        <v>2.4391384738532835</v>
      </c>
      <c r="AP42" s="94">
        <f t="shared" si="14"/>
        <v>2.6789249231412957</v>
      </c>
      <c r="AQ42" s="107"/>
      <c r="AR42" s="40">
        <f t="shared" si="15"/>
        <v>2.9319352041224489</v>
      </c>
      <c r="AS42" s="94">
        <v>18.547061537565593</v>
      </c>
      <c r="AT42" s="94">
        <v>2.5838529788769486</v>
      </c>
      <c r="AU42" s="94">
        <v>6.2144123803997511</v>
      </c>
      <c r="AV42" s="94">
        <f t="shared" si="16"/>
        <v>8.7982653592766997</v>
      </c>
      <c r="AW42" s="91">
        <f t="shared" si="17"/>
        <v>0</v>
      </c>
      <c r="AX42" s="40">
        <f t="shared" si="18"/>
        <v>2.5785306073743852</v>
      </c>
      <c r="AY42" s="11">
        <v>6.5037812929444394</v>
      </c>
      <c r="AZ42" s="94">
        <v>1.0757665767010658</v>
      </c>
      <c r="BA42" s="94">
        <v>1.8856141436015186</v>
      </c>
      <c r="BB42" s="94">
        <f t="shared" si="19"/>
        <v>2.9613807203025844</v>
      </c>
      <c r="BC42" s="94"/>
      <c r="BD42" s="40">
        <f t="shared" si="20"/>
        <v>2.4818332070334348</v>
      </c>
      <c r="BE42" s="94">
        <v>1.8237775728680967</v>
      </c>
      <c r="BF42" s="94">
        <v>0.40035255591572777</v>
      </c>
      <c r="BG42" s="94">
        <v>0.50667745232067052</v>
      </c>
      <c r="BH42" s="94">
        <f t="shared" si="21"/>
        <v>0.90703000823639823</v>
      </c>
      <c r="BJ42" s="40">
        <f t="shared" si="22"/>
        <v>2.5440839893432932</v>
      </c>
      <c r="BK42" s="94">
        <v>2.6329814450846953</v>
      </c>
      <c r="BL42" s="94">
        <v>0.36645710610714699</v>
      </c>
      <c r="BM42" s="94">
        <v>0.75198133827523139</v>
      </c>
      <c r="BN42" s="94">
        <f t="shared" si="23"/>
        <v>1.1184384443823783</v>
      </c>
      <c r="BO42" s="107"/>
      <c r="BP42" s="40">
        <f t="shared" si="24"/>
        <v>2.7078220766586059</v>
      </c>
      <c r="BQ42" s="94">
        <v>2.0470222749916469</v>
      </c>
      <c r="BR42" s="94">
        <v>0.30895691467819097</v>
      </c>
      <c r="BS42" s="94">
        <v>0.62695535300561678</v>
      </c>
      <c r="BT42" s="94">
        <f t="shared" si="25"/>
        <v>0.93591226768380775</v>
      </c>
      <c r="BU42" s="91">
        <f t="shared" si="26"/>
        <v>0</v>
      </c>
      <c r="BV42" s="40">
        <f t="shared" si="27"/>
        <v>2.4352549002091939</v>
      </c>
      <c r="BW42" s="11">
        <v>3.9926676757116213</v>
      </c>
      <c r="BX42" s="94">
        <v>1.3942061283114771</v>
      </c>
      <c r="BY42" s="94">
        <v>1.0860923018676825</v>
      </c>
      <c r="BZ42" s="94">
        <f t="shared" si="28"/>
        <v>2.4802984301791593</v>
      </c>
      <c r="CA42" s="94"/>
      <c r="CB42" s="40">
        <f t="shared" si="29"/>
        <v>2.3820319758712349</v>
      </c>
      <c r="CC42" s="94">
        <v>1.5804510737327937</v>
      </c>
      <c r="CD42" s="94">
        <v>0.54763313458440666</v>
      </c>
      <c r="CE42" s="94">
        <v>0.41949600254904829</v>
      </c>
      <c r="CF42" s="94">
        <f t="shared" si="30"/>
        <v>0.96712913713345494</v>
      </c>
      <c r="CH42" s="40">
        <f t="shared" si="31"/>
        <v>2.4397967914120189</v>
      </c>
      <c r="CI42" s="94">
        <v>1.8177774091588061</v>
      </c>
      <c r="CJ42" s="94">
        <v>0.71493905267938562</v>
      </c>
      <c r="CK42" s="94">
        <v>0.49550036268130071</v>
      </c>
      <c r="CL42" s="94">
        <f t="shared" si="32"/>
        <v>1.2104394153606863</v>
      </c>
      <c r="CM42" s="107"/>
      <c r="CN42" s="40">
        <f t="shared" si="33"/>
        <v>2.5618317898631338</v>
      </c>
      <c r="CO42" s="94">
        <v>0.59443919282002144</v>
      </c>
      <c r="CP42" s="94">
        <v>0.13163394104768467</v>
      </c>
      <c r="CQ42" s="94">
        <v>0.1710959366373333</v>
      </c>
      <c r="CR42" s="94">
        <f t="shared" si="34"/>
        <v>0.30272987768501797</v>
      </c>
      <c r="CS42" s="91">
        <f t="shared" si="35"/>
        <v>0</v>
      </c>
      <c r="CT42" s="40">
        <f t="shared" si="36"/>
        <v>2.7812246199814927</v>
      </c>
      <c r="CU42" s="11">
        <v>1.9800685376368916</v>
      </c>
      <c r="CV42" s="94">
        <v>0.16112365125277109</v>
      </c>
      <c r="CW42" s="94">
        <v>0.62499369280119021</v>
      </c>
      <c r="CX42" s="94">
        <f t="shared" si="37"/>
        <v>0.78611734405396128</v>
      </c>
      <c r="CY42" s="94"/>
      <c r="CZ42" s="40">
        <f t="shared" si="38"/>
        <v>2.7841153979467625</v>
      </c>
      <c r="DA42" s="94">
        <v>0.93611293983287924</v>
      </c>
      <c r="DB42" s="94">
        <v>-0.56710180382981035</v>
      </c>
      <c r="DC42" s="94">
        <v>0.29582342100710285</v>
      </c>
      <c r="DD42" s="94">
        <f t="shared" si="39"/>
        <v>-0.2712783828227075</v>
      </c>
      <c r="DF42" s="40">
        <f t="shared" si="40"/>
        <v>2.7618510900035087</v>
      </c>
      <c r="DG42" s="94">
        <v>0.87893095623356221</v>
      </c>
      <c r="DH42" s="94">
        <v>0.55665694967544133</v>
      </c>
      <c r="DI42" s="94">
        <v>0.275250117771629</v>
      </c>
      <c r="DJ42" s="94">
        <f t="shared" si="41"/>
        <v>0.83190706744707033</v>
      </c>
      <c r="DK42" s="107"/>
      <c r="DL42" s="40">
        <f t="shared" si="42"/>
        <v>2.8675941660104565</v>
      </c>
      <c r="DM42" s="94">
        <v>0.16502464157045005</v>
      </c>
      <c r="DN42" s="94">
        <v>0.17156850540714014</v>
      </c>
      <c r="DO42" s="94">
        <v>5.3920154022458346E-2</v>
      </c>
      <c r="DP42" s="94">
        <f t="shared" si="43"/>
        <v>0.22548865942959848</v>
      </c>
    </row>
    <row r="43" spans="1:120" x14ac:dyDescent="0.2">
      <c r="A43" s="91">
        <f>name!B39</f>
        <v>0</v>
      </c>
      <c r="B43" s="40">
        <f t="shared" si="1"/>
        <v>2.964323205894126</v>
      </c>
      <c r="C43" s="11">
        <v>366.60612974536059</v>
      </c>
      <c r="D43" s="94">
        <v>59.276568078745363</v>
      </c>
      <c r="E43" s="94">
        <v>124.37795424368858</v>
      </c>
      <c r="F43" s="94">
        <f t="shared" si="2"/>
        <v>183.65452232243393</v>
      </c>
      <c r="G43" s="94"/>
      <c r="H43" s="40">
        <f t="shared" si="3"/>
        <v>2.8629023744369153</v>
      </c>
      <c r="I43" s="94">
        <v>60.29612584772859</v>
      </c>
      <c r="J43" s="94">
        <v>6.2659503707421011</v>
      </c>
      <c r="K43" s="94">
        <v>19.664677844879822</v>
      </c>
      <c r="L43" s="94">
        <f t="shared" si="4"/>
        <v>25.930628215621923</v>
      </c>
      <c r="N43" s="40">
        <f t="shared" si="5"/>
        <v>2.910542307155306</v>
      </c>
      <c r="O43" s="94">
        <v>109.06467888707947</v>
      </c>
      <c r="P43" s="94">
        <v>29.524424023904043</v>
      </c>
      <c r="Q43" s="94">
        <v>36.241068661330416</v>
      </c>
      <c r="R43" s="94">
        <f t="shared" si="6"/>
        <v>65.765492685234463</v>
      </c>
      <c r="S43" s="107"/>
      <c r="T43" s="40">
        <f t="shared" si="7"/>
        <v>3.0246977932693042</v>
      </c>
      <c r="U43" s="94">
        <v>197.24532501055251</v>
      </c>
      <c r="V43" s="94">
        <v>23.486193684099216</v>
      </c>
      <c r="W43" s="94">
        <v>68.472207737478328</v>
      </c>
      <c r="X43" s="94">
        <f t="shared" si="8"/>
        <v>91.958401421577548</v>
      </c>
      <c r="Y43" s="91">
        <f t="shared" si="0"/>
        <v>0</v>
      </c>
      <c r="Z43" s="40">
        <f t="shared" si="9"/>
        <v>3.067775138448714</v>
      </c>
      <c r="AA43" s="11">
        <v>128.40645062723203</v>
      </c>
      <c r="AB43" s="94">
        <v>11.85508119620458</v>
      </c>
      <c r="AC43" s="94">
        <v>45.299963238210964</v>
      </c>
      <c r="AD43" s="94">
        <f t="shared" si="10"/>
        <v>57.155044434415544</v>
      </c>
      <c r="AE43" s="94"/>
      <c r="AF43" s="40">
        <f t="shared" si="11"/>
        <v>2.9973382412868288</v>
      </c>
      <c r="AG43" s="94">
        <v>2.355165456214976</v>
      </c>
      <c r="AH43" s="94">
        <v>0.9637811048672672</v>
      </c>
      <c r="AI43" s="94">
        <v>0.80916212463532233</v>
      </c>
      <c r="AJ43" s="94">
        <f t="shared" si="12"/>
        <v>1.7729432295025895</v>
      </c>
      <c r="AL43" s="40">
        <f t="shared" si="13"/>
        <v>2.9883483560949609</v>
      </c>
      <c r="AM43" s="94">
        <v>12.753554522103531</v>
      </c>
      <c r="AN43" s="94">
        <v>-1.189686119892166</v>
      </c>
      <c r="AO43" s="94">
        <v>4.3667772486974572</v>
      </c>
      <c r="AP43" s="94">
        <f t="shared" si="14"/>
        <v>3.1770911288052912</v>
      </c>
      <c r="AQ43" s="107"/>
      <c r="AR43" s="40">
        <f t="shared" si="15"/>
        <v>3.0781400233887757</v>
      </c>
      <c r="AS43" s="94">
        <v>113.29773064891354</v>
      </c>
      <c r="AT43" s="94">
        <v>12.080986211229478</v>
      </c>
      <c r="AU43" s="94">
        <v>40.124023864878183</v>
      </c>
      <c r="AV43" s="94">
        <f t="shared" si="16"/>
        <v>52.205010076107662</v>
      </c>
      <c r="AW43" s="91">
        <f t="shared" si="17"/>
        <v>0</v>
      </c>
      <c r="AX43" s="40">
        <f t="shared" si="18"/>
        <v>2.6535599438878954</v>
      </c>
      <c r="AY43" s="11">
        <v>85.340941379457291</v>
      </c>
      <c r="AZ43" s="94">
        <v>21.654635101028848</v>
      </c>
      <c r="BA43" s="94">
        <v>25.550385149909442</v>
      </c>
      <c r="BB43" s="94">
        <f t="shared" si="19"/>
        <v>47.20502025093829</v>
      </c>
      <c r="BC43" s="94"/>
      <c r="BD43" s="40">
        <f t="shared" si="20"/>
        <v>2.5369749451499946</v>
      </c>
      <c r="BE43" s="94">
        <v>7.9924706336224665</v>
      </c>
      <c r="BF43" s="94">
        <v>4.6323396613046155</v>
      </c>
      <c r="BG43" s="94">
        <v>2.275534005888348</v>
      </c>
      <c r="BH43" s="94">
        <f t="shared" si="21"/>
        <v>6.9078736671929635</v>
      </c>
      <c r="BJ43" s="40">
        <f t="shared" si="22"/>
        <v>2.5624762152512082</v>
      </c>
      <c r="BK43" s="94">
        <v>27.005268580631853</v>
      </c>
      <c r="BL43" s="94">
        <v>10.223864247757708</v>
      </c>
      <c r="BM43" s="94">
        <v>7.7750437532035859</v>
      </c>
      <c r="BN43" s="94">
        <f t="shared" si="23"/>
        <v>17.998908000961293</v>
      </c>
      <c r="BO43" s="107"/>
      <c r="BP43" s="40">
        <f t="shared" si="24"/>
        <v>2.7204430066313234</v>
      </c>
      <c r="BQ43" s="94">
        <v>50.343202165202975</v>
      </c>
      <c r="BR43" s="94">
        <v>6.7984311919665235</v>
      </c>
      <c r="BS43" s="94">
        <v>15.499807390817509</v>
      </c>
      <c r="BT43" s="94">
        <f t="shared" si="25"/>
        <v>22.29823858278403</v>
      </c>
      <c r="BU43" s="91">
        <f t="shared" si="26"/>
        <v>0</v>
      </c>
      <c r="BV43" s="40">
        <f t="shared" si="27"/>
        <v>3.5825178625260357</v>
      </c>
      <c r="BW43" s="11">
        <v>28.783589754031564</v>
      </c>
      <c r="BX43" s="94">
        <v>9.0490542940407099</v>
      </c>
      <c r="BY43" s="94">
        <v>12.143380105807763</v>
      </c>
      <c r="BZ43" s="94">
        <f t="shared" si="28"/>
        <v>21.192434399848473</v>
      </c>
      <c r="CA43" s="94"/>
      <c r="CB43" s="40">
        <f t="shared" si="29"/>
        <v>3.2872271423685318</v>
      </c>
      <c r="CC43" s="94">
        <v>6.0845432642854735</v>
      </c>
      <c r="CD43" s="94">
        <v>4.4133646639922466</v>
      </c>
      <c r="CE43" s="94">
        <v>2.3234851029341566</v>
      </c>
      <c r="CF43" s="94">
        <f t="shared" si="30"/>
        <v>6.7368497669264027</v>
      </c>
      <c r="CH43" s="40">
        <f t="shared" si="31"/>
        <v>3.5081488727088939</v>
      </c>
      <c r="CI43" s="94">
        <v>13.730317697403695</v>
      </c>
      <c r="CJ43" s="94">
        <v>4.0524808534125691</v>
      </c>
      <c r="CK43" s="94">
        <v>5.6529058299467811</v>
      </c>
      <c r="CL43" s="94">
        <f t="shared" si="32"/>
        <v>9.7053866833593503</v>
      </c>
      <c r="CM43" s="107"/>
      <c r="CN43" s="40">
        <f t="shared" si="33"/>
        <v>3.8896522062592975</v>
      </c>
      <c r="CO43" s="94">
        <v>8.9687287923423913</v>
      </c>
      <c r="CP43" s="94">
        <v>0.58320877663589499</v>
      </c>
      <c r="CQ43" s="94">
        <v>4.1669891729268249</v>
      </c>
      <c r="CR43" s="94">
        <f t="shared" si="34"/>
        <v>4.75019794956272</v>
      </c>
      <c r="CS43" s="91">
        <f t="shared" si="35"/>
        <v>0</v>
      </c>
      <c r="CT43" s="40">
        <f t="shared" si="36"/>
        <v>2.9202085195014771</v>
      </c>
      <c r="CU43" s="11">
        <v>124.07514798463968</v>
      </c>
      <c r="CV43" s="94">
        <v>16.717797487471227</v>
      </c>
      <c r="CW43" s="94">
        <v>41.384225749760404</v>
      </c>
      <c r="CX43" s="94">
        <f t="shared" si="37"/>
        <v>58.102023237231634</v>
      </c>
      <c r="CY43" s="94"/>
      <c r="CZ43" s="40">
        <f t="shared" si="38"/>
        <v>2.8542214955234568</v>
      </c>
      <c r="DA43" s="94">
        <v>43.863946493605674</v>
      </c>
      <c r="DB43" s="94">
        <v>-3.7435350594220274</v>
      </c>
      <c r="DC43" s="94">
        <v>14.256496611421996</v>
      </c>
      <c r="DD43" s="94">
        <f t="shared" si="39"/>
        <v>10.512961551999968</v>
      </c>
      <c r="DF43" s="40">
        <f t="shared" si="40"/>
        <v>2.9076458934621296</v>
      </c>
      <c r="DG43" s="94">
        <v>55.575538086940398</v>
      </c>
      <c r="DH43" s="94">
        <v>16.43776504262593</v>
      </c>
      <c r="DI43" s="94">
        <v>18.446341829482595</v>
      </c>
      <c r="DJ43" s="94">
        <f t="shared" si="41"/>
        <v>34.884106872108525</v>
      </c>
      <c r="DK43" s="107"/>
      <c r="DL43" s="40">
        <f t="shared" si="42"/>
        <v>3.0647677202802814</v>
      </c>
      <c r="DM43" s="94">
        <v>24.635663404093616</v>
      </c>
      <c r="DN43" s="94">
        <v>4.0235675042673211</v>
      </c>
      <c r="DO43" s="94">
        <v>8.6813873088558129</v>
      </c>
      <c r="DP43" s="94">
        <f t="shared" si="43"/>
        <v>12.704954813123134</v>
      </c>
    </row>
    <row r="44" spans="1:120" x14ac:dyDescent="0.2">
      <c r="A44" s="91">
        <f>name!B40</f>
        <v>0</v>
      </c>
      <c r="B44" s="40">
        <f t="shared" si="1"/>
        <v>2.8357475835989687</v>
      </c>
      <c r="C44" s="11">
        <v>393.35784380285861</v>
      </c>
      <c r="D44" s="94">
        <v>-15.846501627171115</v>
      </c>
      <c r="E44" s="94">
        <v>126.91230773625192</v>
      </c>
      <c r="F44" s="94">
        <f t="shared" si="2"/>
        <v>111.0658061090808</v>
      </c>
      <c r="G44" s="94"/>
      <c r="H44" s="40">
        <f t="shared" si="3"/>
        <v>2.7516949963118487</v>
      </c>
      <c r="I44" s="94">
        <v>59.61461044933764</v>
      </c>
      <c r="J44" s="94">
        <v>-20.900434984544614</v>
      </c>
      <c r="K44" s="94">
        <v>18.591854917813837</v>
      </c>
      <c r="L44" s="94">
        <f t="shared" si="4"/>
        <v>-2.3085800667307765</v>
      </c>
      <c r="N44" s="40">
        <f t="shared" si="5"/>
        <v>2.7239499243143506</v>
      </c>
      <c r="O44" s="94">
        <v>173.18501469973404</v>
      </c>
      <c r="P44" s="94">
        <v>-1.7972543490150141</v>
      </c>
      <c r="Q44" s="94">
        <v>53.398033728841654</v>
      </c>
      <c r="R44" s="94">
        <f t="shared" si="6"/>
        <v>51.600779379826641</v>
      </c>
      <c r="S44" s="107"/>
      <c r="T44" s="40">
        <f t="shared" si="7"/>
        <v>2.9858531510617459</v>
      </c>
      <c r="U44" s="94">
        <v>160.55821865378698</v>
      </c>
      <c r="V44" s="94">
        <v>6.8511877063885063</v>
      </c>
      <c r="W44" s="94">
        <v>54.922419089596445</v>
      </c>
      <c r="X44" s="94">
        <f t="shared" si="8"/>
        <v>61.773606795984954</v>
      </c>
      <c r="Y44" s="91">
        <f t="shared" si="0"/>
        <v>0</v>
      </c>
      <c r="Z44" s="40">
        <f t="shared" si="9"/>
        <v>2.9519471351278748</v>
      </c>
      <c r="AA44" s="11">
        <v>193.55143168230654</v>
      </c>
      <c r="AB44" s="94">
        <v>39.567328495072999</v>
      </c>
      <c r="AC44" s="94">
        <v>65.354521617917186</v>
      </c>
      <c r="AD44" s="94">
        <f t="shared" si="10"/>
        <v>104.92185011299019</v>
      </c>
      <c r="AE44" s="94"/>
      <c r="AF44" s="40">
        <f t="shared" si="11"/>
        <v>2.732765888214872</v>
      </c>
      <c r="AG44" s="94">
        <v>8.9496893108903919</v>
      </c>
      <c r="AH44" s="94">
        <v>-0.38086275940552278</v>
      </c>
      <c r="AI44" s="94">
        <v>2.7695053307141997</v>
      </c>
      <c r="AJ44" s="94">
        <f t="shared" si="12"/>
        <v>2.3886425713086767</v>
      </c>
      <c r="AL44" s="40">
        <f t="shared" si="13"/>
        <v>2.7942517550996859</v>
      </c>
      <c r="AM44" s="94">
        <v>63.890128782218703</v>
      </c>
      <c r="AN44" s="94">
        <v>26.216367345241078</v>
      </c>
      <c r="AO44" s="94">
        <v>20.273036384531288</v>
      </c>
      <c r="AP44" s="94">
        <f t="shared" si="14"/>
        <v>46.489403729772363</v>
      </c>
      <c r="AQ44" s="107"/>
      <c r="AR44" s="40">
        <f t="shared" si="15"/>
        <v>3.0505088630622845</v>
      </c>
      <c r="AS44" s="94">
        <v>120.71161358919746</v>
      </c>
      <c r="AT44" s="94">
        <v>13.731823909237447</v>
      </c>
      <c r="AU44" s="94">
        <v>42.311979902671695</v>
      </c>
      <c r="AV44" s="94">
        <f t="shared" si="16"/>
        <v>56.043803811909143</v>
      </c>
      <c r="AW44" s="91">
        <f t="shared" si="17"/>
        <v>0</v>
      </c>
      <c r="AX44" s="40">
        <f t="shared" si="18"/>
        <v>2.6545992493075765</v>
      </c>
      <c r="AY44" s="11">
        <v>136.55603857187839</v>
      </c>
      <c r="AZ44" s="94">
        <v>-43.002314866399423</v>
      </c>
      <c r="BA44" s="94">
        <v>40.901735073909045</v>
      </c>
      <c r="BB44" s="94">
        <f t="shared" si="19"/>
        <v>-2.1005797924903788</v>
      </c>
      <c r="BC44" s="94"/>
      <c r="BD44" s="40">
        <f t="shared" si="20"/>
        <v>2.5646880453044751</v>
      </c>
      <c r="BE44" s="94">
        <v>18.059085654406232</v>
      </c>
      <c r="BF44" s="94">
        <v>-9.0180538971045241</v>
      </c>
      <c r="BG44" s="94">
        <v>5.2043788432435791</v>
      </c>
      <c r="BH44" s="94">
        <f t="shared" si="21"/>
        <v>-3.813675053860945</v>
      </c>
      <c r="BJ44" s="40">
        <f t="shared" si="22"/>
        <v>2.6194787613104564</v>
      </c>
      <c r="BK44" s="94">
        <v>81.562939535953078</v>
      </c>
      <c r="BL44" s="94">
        <v>-26.535125434477635</v>
      </c>
      <c r="BM44" s="94">
        <v>24.06794423722156</v>
      </c>
      <c r="BN44" s="94">
        <f t="shared" si="23"/>
        <v>-2.4671811972560747</v>
      </c>
      <c r="BO44" s="107"/>
      <c r="BP44" s="40">
        <f t="shared" si="24"/>
        <v>2.775188253093952</v>
      </c>
      <c r="BQ44" s="94">
        <v>36.93401338151908</v>
      </c>
      <c r="BR44" s="94">
        <v>-7.4491355348172679</v>
      </c>
      <c r="BS44" s="94">
        <v>11.629411993443906</v>
      </c>
      <c r="BT44" s="94">
        <f t="shared" si="25"/>
        <v>4.1802764586266381</v>
      </c>
      <c r="BU44" s="91">
        <f t="shared" si="26"/>
        <v>0</v>
      </c>
      <c r="BV44" s="40">
        <f t="shared" si="27"/>
        <v>2.8583954213786456</v>
      </c>
      <c r="BW44" s="11">
        <v>20.489593186295824</v>
      </c>
      <c r="BX44" s="94">
        <v>-3.6169124626271385</v>
      </c>
      <c r="BY44" s="94">
        <v>6.6704706699605909</v>
      </c>
      <c r="BZ44" s="94">
        <f t="shared" si="28"/>
        <v>3.0535582073334524</v>
      </c>
      <c r="CA44" s="94"/>
      <c r="CB44" s="40">
        <f t="shared" si="29"/>
        <v>2.886706102007186</v>
      </c>
      <c r="CC44" s="94">
        <v>8.3246385618980643</v>
      </c>
      <c r="CD44" s="94">
        <v>-2.3561745304099531</v>
      </c>
      <c r="CE44" s="94">
        <v>2.7405296991725199</v>
      </c>
      <c r="CF44" s="94">
        <f t="shared" si="30"/>
        <v>0.38435516876256681</v>
      </c>
      <c r="CH44" s="40">
        <f t="shared" si="31"/>
        <v>2.8369795300950962</v>
      </c>
      <c r="CI44" s="94">
        <v>10.970091359887151</v>
      </c>
      <c r="CJ44" s="94">
        <v>-1.2157453343966669</v>
      </c>
      <c r="CK44" s="94">
        <v>3.541109966200767</v>
      </c>
      <c r="CL44" s="94">
        <f t="shared" si="32"/>
        <v>2.3253646318041001</v>
      </c>
      <c r="CM44" s="107"/>
      <c r="CN44" s="40">
        <f t="shared" si="33"/>
        <v>2.8573458698798015</v>
      </c>
      <c r="CO44" s="94">
        <v>1.1948632645106076</v>
      </c>
      <c r="CP44" s="94">
        <v>-4.4992597820518516E-2</v>
      </c>
      <c r="CQ44" s="94">
        <v>0.38883100458730496</v>
      </c>
      <c r="CR44" s="94">
        <f t="shared" si="34"/>
        <v>0.34383840676678645</v>
      </c>
      <c r="CS44" s="91">
        <f t="shared" si="35"/>
        <v>0</v>
      </c>
      <c r="CT44" s="40">
        <f t="shared" si="36"/>
        <v>2.8701182898648092</v>
      </c>
      <c r="CU44" s="11">
        <v>42.760780362377908</v>
      </c>
      <c r="CV44" s="94">
        <v>-8.7946027932175515</v>
      </c>
      <c r="CW44" s="94">
        <v>13.985580374465099</v>
      </c>
      <c r="CX44" s="94">
        <f t="shared" si="37"/>
        <v>5.190977581247548</v>
      </c>
      <c r="CY44" s="94"/>
      <c r="CZ44" s="40">
        <f t="shared" si="38"/>
        <v>2.8496351806148512</v>
      </c>
      <c r="DA44" s="94">
        <v>24.281196922142954</v>
      </c>
      <c r="DB44" s="94">
        <v>-9.1453437976246104</v>
      </c>
      <c r="DC44" s="94">
        <v>7.8774410446835388</v>
      </c>
      <c r="DD44" s="94">
        <f t="shared" si="39"/>
        <v>-1.2679027529410716</v>
      </c>
      <c r="DF44" s="40">
        <f t="shared" si="40"/>
        <v>2.8857004199172476</v>
      </c>
      <c r="DG44" s="94">
        <v>16.761855021675107</v>
      </c>
      <c r="DH44" s="94">
        <v>-0.26275092538178862</v>
      </c>
      <c r="DI44" s="94">
        <v>5.5159431408880319</v>
      </c>
      <c r="DJ44" s="94">
        <f t="shared" si="41"/>
        <v>5.2531922155062434</v>
      </c>
      <c r="DK44" s="107"/>
      <c r="DL44" s="40">
        <f t="shared" si="42"/>
        <v>3.0064287710700022</v>
      </c>
      <c r="DM44" s="94">
        <v>1.7177284185598474</v>
      </c>
      <c r="DN44" s="94">
        <v>0.61349192978884681</v>
      </c>
      <c r="DO44" s="94">
        <v>0.59219618889352987</v>
      </c>
      <c r="DP44" s="94">
        <f t="shared" si="43"/>
        <v>1.2056881186823767</v>
      </c>
    </row>
    <row r="45" spans="1:120" x14ac:dyDescent="0.2">
      <c r="A45" s="91">
        <f>name!B41</f>
        <v>0</v>
      </c>
      <c r="B45" s="40">
        <f t="shared" si="1"/>
        <v>2.5589515569040877</v>
      </c>
      <c r="C45" s="11">
        <v>378.65361093918506</v>
      </c>
      <c r="D45" s="94">
        <v>36.796399092126755</v>
      </c>
      <c r="E45" s="94">
        <v>108.84998948408384</v>
      </c>
      <c r="F45" s="94">
        <f t="shared" si="2"/>
        <v>145.6463885762106</v>
      </c>
      <c r="G45" s="94"/>
      <c r="H45" s="40">
        <f t="shared" si="3"/>
        <v>2.6970336356285651</v>
      </c>
      <c r="I45" s="94">
        <v>21.232264083662649</v>
      </c>
      <c r="J45" s="94">
        <v>5.5608874318156268E-2</v>
      </c>
      <c r="K45" s="94">
        <v>6.4738297499487887</v>
      </c>
      <c r="L45" s="94">
        <f t="shared" si="4"/>
        <v>6.5294386242669447</v>
      </c>
      <c r="N45" s="40">
        <f t="shared" si="5"/>
        <v>2.6178307858164995</v>
      </c>
      <c r="O45" s="94">
        <v>54.055750144900642</v>
      </c>
      <c r="P45" s="94">
        <v>7.7932985015424325</v>
      </c>
      <c r="Q45" s="94">
        <v>15.939762430606391</v>
      </c>
      <c r="R45" s="94">
        <f t="shared" si="6"/>
        <v>23.733060932148824</v>
      </c>
      <c r="S45" s="107"/>
      <c r="T45" s="40">
        <f t="shared" si="7"/>
        <v>2.5386919147606823</v>
      </c>
      <c r="U45" s="94">
        <v>303.36559671062184</v>
      </c>
      <c r="V45" s="94">
        <v>28.947491716266153</v>
      </c>
      <c r="W45" s="94">
        <v>86.436397303528679</v>
      </c>
      <c r="X45" s="94">
        <f t="shared" si="8"/>
        <v>115.38388901979484</v>
      </c>
      <c r="Y45" s="91">
        <f t="shared" si="0"/>
        <v>0</v>
      </c>
      <c r="Z45" s="40">
        <f t="shared" si="9"/>
        <v>2.5199611178011505</v>
      </c>
      <c r="AA45" s="11">
        <v>312.18144659946984</v>
      </c>
      <c r="AB45" s="94">
        <v>28.895682554218279</v>
      </c>
      <c r="AC45" s="94">
        <v>88.21610831482117</v>
      </c>
      <c r="AD45" s="94">
        <f t="shared" si="10"/>
        <v>117.11179086903945</v>
      </c>
      <c r="AE45" s="94"/>
      <c r="AF45" s="40">
        <f t="shared" si="11"/>
        <v>2.4310222459994479</v>
      </c>
      <c r="AG45" s="94">
        <v>3.9811352808305944</v>
      </c>
      <c r="AH45" s="94">
        <v>4.5008812227039625</v>
      </c>
      <c r="AI45" s="94">
        <v>1.0808631323162383</v>
      </c>
      <c r="AJ45" s="94">
        <f t="shared" si="12"/>
        <v>5.5817443550202004</v>
      </c>
      <c r="AL45" s="40">
        <f t="shared" si="13"/>
        <v>2.4685169170641119</v>
      </c>
      <c r="AM45" s="94">
        <v>20.509890701227175</v>
      </c>
      <c r="AN45" s="94">
        <v>4.1191890490955583</v>
      </c>
      <c r="AO45" s="94">
        <v>5.6639738538481845</v>
      </c>
      <c r="AP45" s="94">
        <f t="shared" si="14"/>
        <v>9.7831629029437437</v>
      </c>
      <c r="AQ45" s="107"/>
      <c r="AR45" s="40">
        <f t="shared" si="15"/>
        <v>2.524845301627332</v>
      </c>
      <c r="AS45" s="94">
        <v>287.69042061741203</v>
      </c>
      <c r="AT45" s="94">
        <v>20.275612282418756</v>
      </c>
      <c r="AU45" s="94">
        <v>81.471271328656755</v>
      </c>
      <c r="AV45" s="94">
        <f t="shared" si="16"/>
        <v>101.7468836110755</v>
      </c>
      <c r="AW45" s="91">
        <f t="shared" si="17"/>
        <v>0</v>
      </c>
      <c r="AX45" s="40">
        <f t="shared" si="18"/>
        <v>2.6549442218402941</v>
      </c>
      <c r="AY45" s="11">
        <v>41.892929155094187</v>
      </c>
      <c r="AZ45" s="94">
        <v>9.2492751468853793</v>
      </c>
      <c r="BA45" s="94">
        <v>12.549743972538471</v>
      </c>
      <c r="BB45" s="94">
        <f t="shared" si="19"/>
        <v>21.79901911942385</v>
      </c>
      <c r="BC45" s="94"/>
      <c r="BD45" s="40">
        <f t="shared" si="20"/>
        <v>2.5532327548231981</v>
      </c>
      <c r="BE45" s="94">
        <v>6.2009149306433597</v>
      </c>
      <c r="BF45" s="94">
        <v>-0.93789945412547293</v>
      </c>
      <c r="BG45" s="94">
        <v>1.7781008484106056</v>
      </c>
      <c r="BH45" s="94">
        <f t="shared" si="21"/>
        <v>0.84020139428513263</v>
      </c>
      <c r="BJ45" s="40">
        <f t="shared" si="22"/>
        <v>2.603317774412961</v>
      </c>
      <c r="BK45" s="94">
        <v>21.307415275332314</v>
      </c>
      <c r="BL45" s="94">
        <v>2.2423318572234603</v>
      </c>
      <c r="BM45" s="94">
        <v>6.2440571353848382</v>
      </c>
      <c r="BN45" s="94">
        <f t="shared" si="23"/>
        <v>8.4863889926082976</v>
      </c>
      <c r="BO45" s="107"/>
      <c r="BP45" s="40">
        <f t="shared" si="24"/>
        <v>2.7742686070164835</v>
      </c>
      <c r="BQ45" s="94">
        <v>14.384598949118512</v>
      </c>
      <c r="BR45" s="94">
        <v>7.9448427437873912</v>
      </c>
      <c r="BS45" s="94">
        <v>4.5275859887430272</v>
      </c>
      <c r="BT45" s="94">
        <f t="shared" si="25"/>
        <v>12.472428732530418</v>
      </c>
      <c r="BU45" s="91">
        <f t="shared" si="26"/>
        <v>0</v>
      </c>
      <c r="BV45" s="40">
        <f t="shared" si="27"/>
        <v>2.6192743149682007</v>
      </c>
      <c r="BW45" s="11">
        <v>2.9857552680997586</v>
      </c>
      <c r="BX45" s="94">
        <v>0.29752966440157663</v>
      </c>
      <c r="BY45" s="94">
        <v>0.88097251477732141</v>
      </c>
      <c r="BZ45" s="94">
        <f t="shared" si="28"/>
        <v>1.1785021791788981</v>
      </c>
      <c r="CA45" s="94"/>
      <c r="CB45" s="40">
        <f t="shared" si="29"/>
        <v>2.6102783759339943</v>
      </c>
      <c r="CC45" s="94">
        <v>1.0704246420939711</v>
      </c>
      <c r="CD45" s="94">
        <v>-0.11337152429818138</v>
      </c>
      <c r="CE45" s="94">
        <v>0.31462314152439591</v>
      </c>
      <c r="CF45" s="94">
        <f t="shared" si="30"/>
        <v>0.20125161722621454</v>
      </c>
      <c r="CH45" s="40">
        <f t="shared" si="31"/>
        <v>2.6315936742941082</v>
      </c>
      <c r="CI45" s="94">
        <v>1.5955005485136557</v>
      </c>
      <c r="CJ45" s="94">
        <v>0.30848080422027463</v>
      </c>
      <c r="CK45" s="94">
        <v>0.47324789856842298</v>
      </c>
      <c r="CL45" s="94">
        <f t="shared" si="32"/>
        <v>0.78172870278869766</v>
      </c>
      <c r="CM45" s="107"/>
      <c r="CN45" s="40">
        <f t="shared" si="33"/>
        <v>2.5878378150158365</v>
      </c>
      <c r="CO45" s="94">
        <v>0.31983007749213199</v>
      </c>
      <c r="CP45" s="94">
        <v>0.10242038447948336</v>
      </c>
      <c r="CQ45" s="94">
        <v>9.3101474684502514E-2</v>
      </c>
      <c r="CR45" s="94">
        <f t="shared" si="34"/>
        <v>0.19552185916398587</v>
      </c>
      <c r="CS45" s="91">
        <f t="shared" si="35"/>
        <v>0</v>
      </c>
      <c r="CT45" s="40">
        <f t="shared" si="36"/>
        <v>2.9205088963651926</v>
      </c>
      <c r="CU45" s="11">
        <v>21.593479916521417</v>
      </c>
      <c r="CV45" s="94">
        <v>-1.6460882733784852</v>
      </c>
      <c r="CW45" s="94">
        <v>7.2031646819468875</v>
      </c>
      <c r="CX45" s="94">
        <f t="shared" si="37"/>
        <v>5.5570764085684026</v>
      </c>
      <c r="CY45" s="94"/>
      <c r="CZ45" s="40">
        <f t="shared" si="38"/>
        <v>2.8981993026460096</v>
      </c>
      <c r="DA45" s="94">
        <v>9.979789230094724</v>
      </c>
      <c r="DB45" s="94">
        <v>-3.3940013699621523</v>
      </c>
      <c r="DC45" s="94">
        <v>3.3002426276975489</v>
      </c>
      <c r="DD45" s="94">
        <f t="shared" si="39"/>
        <v>-9.3758742264603345E-2</v>
      </c>
      <c r="DF45" s="40">
        <f t="shared" si="40"/>
        <v>2.9264568687984216</v>
      </c>
      <c r="DG45" s="94">
        <v>10.642943619827502</v>
      </c>
      <c r="DH45" s="94">
        <v>1.1232967910031393</v>
      </c>
      <c r="DI45" s="94">
        <v>3.5584835428049475</v>
      </c>
      <c r="DJ45" s="94">
        <f t="shared" si="41"/>
        <v>4.6817803338080868</v>
      </c>
      <c r="DK45" s="107"/>
      <c r="DL45" s="40">
        <f t="shared" si="42"/>
        <v>3.0832482448727161</v>
      </c>
      <c r="DM45" s="94">
        <v>0.97074706659919119</v>
      </c>
      <c r="DN45" s="94">
        <v>0.62461630558052772</v>
      </c>
      <c r="DO45" s="94">
        <v>0.34443851144439169</v>
      </c>
      <c r="DP45" s="94">
        <f t="shared" si="43"/>
        <v>0.96905481702491936</v>
      </c>
    </row>
    <row r="46" spans="1:120" x14ac:dyDescent="0.2">
      <c r="A46" s="91">
        <f>name!B42</f>
        <v>0</v>
      </c>
      <c r="B46" s="40">
        <f t="shared" si="1"/>
        <v>2.890259729191258</v>
      </c>
      <c r="C46" s="11">
        <v>596.16075467408132</v>
      </c>
      <c r="D46" s="94">
        <v>130.76412576439193</v>
      </c>
      <c r="E46" s="94">
        <v>196.53406172763593</v>
      </c>
      <c r="F46" s="94">
        <f t="shared" si="2"/>
        <v>327.29818749202786</v>
      </c>
      <c r="G46" s="94"/>
      <c r="H46" s="40">
        <f t="shared" si="3"/>
        <v>2.6788795437322488</v>
      </c>
      <c r="I46" s="94">
        <v>75.585819538445264</v>
      </c>
      <c r="J46" s="94">
        <v>4.2136979795279563</v>
      </c>
      <c r="K46" s="94">
        <v>22.872299636804904</v>
      </c>
      <c r="L46" s="94">
        <f t="shared" si="4"/>
        <v>27.085997616332861</v>
      </c>
      <c r="N46" s="40">
        <f t="shared" si="5"/>
        <v>2.706098654684097</v>
      </c>
      <c r="O46" s="94">
        <v>212.25679919065291</v>
      </c>
      <c r="P46" s="94">
        <v>64.236584035540048</v>
      </c>
      <c r="Q46" s="94">
        <v>64.962803722137807</v>
      </c>
      <c r="R46" s="94">
        <f t="shared" si="6"/>
        <v>129.19938775767787</v>
      </c>
      <c r="S46" s="107"/>
      <c r="T46" s="40">
        <f t="shared" si="7"/>
        <v>3.0660135882804918</v>
      </c>
      <c r="U46" s="94">
        <v>308.31813594498311</v>
      </c>
      <c r="V46" s="94">
        <v>62.313843749323915</v>
      </c>
      <c r="W46" s="94">
        <v>108.69895836869323</v>
      </c>
      <c r="X46" s="94">
        <f t="shared" si="8"/>
        <v>171.01280211801713</v>
      </c>
      <c r="Y46" s="91">
        <f t="shared" si="0"/>
        <v>0</v>
      </c>
      <c r="Z46" s="40">
        <f t="shared" si="9"/>
        <v>3.0502708921622101</v>
      </c>
      <c r="AA46" s="11">
        <v>335.93921919202376</v>
      </c>
      <c r="AB46" s="94">
        <v>65.992763386883993</v>
      </c>
      <c r="AC46" s="94">
        <v>117.74334207940043</v>
      </c>
      <c r="AD46" s="94">
        <f t="shared" si="10"/>
        <v>183.73610546628441</v>
      </c>
      <c r="AE46" s="94"/>
      <c r="AF46" s="40">
        <f t="shared" si="11"/>
        <v>2.772118894951725</v>
      </c>
      <c r="AG46" s="94">
        <v>6.0163041652184992</v>
      </c>
      <c r="AH46" s="94">
        <v>1.3292953942067818</v>
      </c>
      <c r="AI46" s="94">
        <v>1.8919913793244785</v>
      </c>
      <c r="AJ46" s="94">
        <f t="shared" si="12"/>
        <v>3.2212867735312605</v>
      </c>
      <c r="AL46" s="40">
        <f t="shared" si="13"/>
        <v>2.8305616396997912</v>
      </c>
      <c r="AM46" s="94">
        <v>54.066211981632996</v>
      </c>
      <c r="AN46" s="94">
        <v>15.192793130377611</v>
      </c>
      <c r="AO46" s="94">
        <v>17.40777706255945</v>
      </c>
      <c r="AP46" s="94">
        <f t="shared" si="14"/>
        <v>32.600570192937063</v>
      </c>
      <c r="AQ46" s="107"/>
      <c r="AR46" s="40">
        <f t="shared" si="15"/>
        <v>3.0988119312854945</v>
      </c>
      <c r="AS46" s="94">
        <v>275.85670304517225</v>
      </c>
      <c r="AT46" s="94">
        <v>49.470674862299603</v>
      </c>
      <c r="AU46" s="94">
        <v>98.443573637516494</v>
      </c>
      <c r="AV46" s="94">
        <f t="shared" si="16"/>
        <v>147.9142484998161</v>
      </c>
      <c r="AW46" s="91">
        <f t="shared" si="17"/>
        <v>0</v>
      </c>
      <c r="AX46" s="40">
        <f t="shared" si="18"/>
        <v>2.6039196652279051</v>
      </c>
      <c r="AY46" s="11">
        <v>159.03458473919616</v>
      </c>
      <c r="AZ46" s="94">
        <v>40.296222391531657</v>
      </c>
      <c r="BA46" s="94">
        <v>46.616544654725452</v>
      </c>
      <c r="BB46" s="94">
        <f t="shared" si="19"/>
        <v>86.912767046257102</v>
      </c>
      <c r="BC46" s="94"/>
      <c r="BD46" s="40">
        <f t="shared" si="20"/>
        <v>2.5452433226490934</v>
      </c>
      <c r="BE46" s="94">
        <v>21.770784421414771</v>
      </c>
      <c r="BF46" s="94">
        <v>-0.58525794672168419</v>
      </c>
      <c r="BG46" s="94">
        <v>6.2209156872515399</v>
      </c>
      <c r="BH46" s="94">
        <f t="shared" si="21"/>
        <v>5.6356577405298554</v>
      </c>
      <c r="BJ46" s="40">
        <f t="shared" si="22"/>
        <v>2.5795517536157053</v>
      </c>
      <c r="BK46" s="94">
        <v>109.52927387637574</v>
      </c>
      <c r="BL46" s="94">
        <v>30.843442039124554</v>
      </c>
      <c r="BM46" s="94">
        <v>31.769430063648457</v>
      </c>
      <c r="BN46" s="94">
        <f t="shared" si="23"/>
        <v>62.612872102773011</v>
      </c>
      <c r="BO46" s="107"/>
      <c r="BP46" s="40">
        <f t="shared" si="24"/>
        <v>2.7451139967111571</v>
      </c>
      <c r="BQ46" s="94">
        <v>27.734526441405688</v>
      </c>
      <c r="BR46" s="94">
        <v>10.038038299128784</v>
      </c>
      <c r="BS46" s="94">
        <v>8.6261989038254558</v>
      </c>
      <c r="BT46" s="94">
        <f t="shared" si="25"/>
        <v>18.66423720295424</v>
      </c>
      <c r="BU46" s="91">
        <f t="shared" si="26"/>
        <v>0</v>
      </c>
      <c r="BV46" s="40">
        <f t="shared" si="27"/>
        <v>2.4641512026180035</v>
      </c>
      <c r="BW46" s="11">
        <v>12.81458334002725</v>
      </c>
      <c r="BX46" s="94">
        <v>4.3895704257866655</v>
      </c>
      <c r="BY46" s="94">
        <v>3.5318857518426356</v>
      </c>
      <c r="BZ46" s="94">
        <f t="shared" si="28"/>
        <v>7.9214561776293007</v>
      </c>
      <c r="CA46" s="94"/>
      <c r="CB46" s="40">
        <f t="shared" si="29"/>
        <v>2.3360812858931101</v>
      </c>
      <c r="CC46" s="94">
        <v>6.0632147564116732</v>
      </c>
      <c r="CD46" s="94">
        <v>2.5684165487773454</v>
      </c>
      <c r="CE46" s="94">
        <v>1.5749808838887966</v>
      </c>
      <c r="CF46" s="94">
        <f t="shared" si="30"/>
        <v>4.1433974326661422</v>
      </c>
      <c r="CH46" s="40">
        <f t="shared" si="31"/>
        <v>2.5656844346393592</v>
      </c>
      <c r="CI46" s="94">
        <v>5.7160556182605653</v>
      </c>
      <c r="CJ46" s="94">
        <v>1.556033629424588</v>
      </c>
      <c r="CK46" s="94">
        <v>1.6480035734914502</v>
      </c>
      <c r="CL46" s="94">
        <f t="shared" si="32"/>
        <v>3.2040372029160382</v>
      </c>
      <c r="CM46" s="107"/>
      <c r="CN46" s="40">
        <f t="shared" si="33"/>
        <v>2.645445634877297</v>
      </c>
      <c r="CO46" s="94">
        <v>1.0353129653550115</v>
      </c>
      <c r="CP46" s="94">
        <v>0.26512024758473196</v>
      </c>
      <c r="CQ46" s="94">
        <v>0.30890129446238906</v>
      </c>
      <c r="CR46" s="94">
        <f t="shared" si="34"/>
        <v>0.57402154204712108</v>
      </c>
      <c r="CS46" s="91">
        <f t="shared" si="35"/>
        <v>0</v>
      </c>
      <c r="CT46" s="40">
        <f t="shared" si="36"/>
        <v>2.8471774384655868</v>
      </c>
      <c r="CU46" s="11">
        <v>88.372367402834058</v>
      </c>
      <c r="CV46" s="94">
        <v>20.085569560189615</v>
      </c>
      <c r="CW46" s="94">
        <v>28.642289241667434</v>
      </c>
      <c r="CX46" s="94">
        <f t="shared" si="37"/>
        <v>48.727858801857053</v>
      </c>
      <c r="CY46" s="94"/>
      <c r="CZ46" s="40">
        <f t="shared" si="38"/>
        <v>2.7832667945406842</v>
      </c>
      <c r="DA46" s="94">
        <v>41.735516195400322</v>
      </c>
      <c r="DB46" s="94">
        <v>0.90124398326551358</v>
      </c>
      <c r="DC46" s="94">
        <v>13.184411686340088</v>
      </c>
      <c r="DD46" s="94">
        <f t="shared" si="39"/>
        <v>14.085655669605602</v>
      </c>
      <c r="DF46" s="40">
        <f t="shared" si="40"/>
        <v>2.8866540918025541</v>
      </c>
      <c r="DG46" s="94">
        <v>42.945257714383601</v>
      </c>
      <c r="DH46" s="94">
        <v>16.644315236613298</v>
      </c>
      <c r="DI46" s="94">
        <v>14.137593022438447</v>
      </c>
      <c r="DJ46" s="94">
        <f t="shared" si="41"/>
        <v>30.781908259051747</v>
      </c>
      <c r="DK46" s="107"/>
      <c r="DL46" s="40">
        <f t="shared" si="42"/>
        <v>3.1047472891351457</v>
      </c>
      <c r="DM46" s="94">
        <v>3.6915934930501404</v>
      </c>
      <c r="DN46" s="94">
        <v>2.5400103403108023</v>
      </c>
      <c r="DO46" s="94">
        <v>1.320284532888897</v>
      </c>
      <c r="DP46" s="94">
        <f t="shared" si="43"/>
        <v>3.8602948731996993</v>
      </c>
    </row>
    <row r="47" spans="1:120" x14ac:dyDescent="0.2">
      <c r="A47" s="91">
        <f>name!B43</f>
        <v>0</v>
      </c>
      <c r="B47" s="40">
        <f t="shared" si="1"/>
        <v>2.865344899385458</v>
      </c>
      <c r="C47" s="11">
        <v>40.376210097149027</v>
      </c>
      <c r="D47" s="94">
        <v>12.806927196821107</v>
      </c>
      <c r="E47" s="94">
        <v>13.180811533634204</v>
      </c>
      <c r="F47" s="94">
        <f t="shared" si="2"/>
        <v>25.987738730455312</v>
      </c>
      <c r="G47" s="94"/>
      <c r="H47" s="40">
        <f t="shared" si="3"/>
        <v>2.7751718770929079</v>
      </c>
      <c r="I47" s="94">
        <v>9.3187758939343261</v>
      </c>
      <c r="J47" s="94">
        <v>1.4740755938305261</v>
      </c>
      <c r="K47" s="94">
        <v>2.934183240230555</v>
      </c>
      <c r="L47" s="94">
        <f t="shared" si="4"/>
        <v>4.4082588340610815</v>
      </c>
      <c r="N47" s="40">
        <f t="shared" si="5"/>
        <v>2.8011029016640654</v>
      </c>
      <c r="O47" s="94">
        <v>15.51970188832003</v>
      </c>
      <c r="P47" s="94">
        <v>4.6916947620293463</v>
      </c>
      <c r="Q47" s="94">
        <v>4.9382011045192602</v>
      </c>
      <c r="R47" s="94">
        <f t="shared" si="6"/>
        <v>9.6298958665486065</v>
      </c>
      <c r="S47" s="107"/>
      <c r="T47" s="40">
        <f t="shared" si="7"/>
        <v>2.9825975993459597</v>
      </c>
      <c r="U47" s="94">
        <v>15.537732314894669</v>
      </c>
      <c r="V47" s="94">
        <v>6.6411568409612336</v>
      </c>
      <c r="W47" s="94">
        <v>5.3084271888843881</v>
      </c>
      <c r="X47" s="94">
        <f t="shared" si="8"/>
        <v>11.949584029845621</v>
      </c>
      <c r="Y47" s="91">
        <f t="shared" si="0"/>
        <v>0</v>
      </c>
      <c r="Z47" s="40">
        <f t="shared" si="9"/>
        <v>3.0248158548996429</v>
      </c>
      <c r="AA47" s="11">
        <v>21.444049548280258</v>
      </c>
      <c r="AB47" s="94">
        <v>6.4637391240695505</v>
      </c>
      <c r="AC47" s="94">
        <v>7.4444690278107304</v>
      </c>
      <c r="AD47" s="94">
        <f t="shared" si="10"/>
        <v>13.908208151880281</v>
      </c>
      <c r="AE47" s="94"/>
      <c r="AF47" s="40">
        <f t="shared" si="11"/>
        <v>3.0872958603731293</v>
      </c>
      <c r="AG47" s="94">
        <v>2.7651222683057175</v>
      </c>
      <c r="AH47" s="94">
        <v>0.53339249467469196</v>
      </c>
      <c r="AI47" s="94">
        <v>0.98258633136794948</v>
      </c>
      <c r="AJ47" s="94">
        <f t="shared" si="12"/>
        <v>1.5159788260426414</v>
      </c>
      <c r="AL47" s="40">
        <f t="shared" si="13"/>
        <v>2.9781314195511888</v>
      </c>
      <c r="AM47" s="94">
        <v>6.7043000761876437</v>
      </c>
      <c r="AN47" s="94">
        <v>0.72118551121563768</v>
      </c>
      <c r="AO47" s="94">
        <v>2.286607135241129</v>
      </c>
      <c r="AP47" s="94">
        <f t="shared" si="14"/>
        <v>3.0077926464567666</v>
      </c>
      <c r="AQ47" s="107"/>
      <c r="AR47" s="40">
        <f t="shared" si="15"/>
        <v>3.0364271872712179</v>
      </c>
      <c r="AS47" s="94">
        <v>11.974627203786897</v>
      </c>
      <c r="AT47" s="94">
        <v>5.209161118179221</v>
      </c>
      <c r="AU47" s="94">
        <v>4.1752755612016514</v>
      </c>
      <c r="AV47" s="94">
        <f t="shared" si="16"/>
        <v>9.3844366793808724</v>
      </c>
      <c r="AW47" s="91">
        <f t="shared" si="17"/>
        <v>0</v>
      </c>
      <c r="AX47" s="40">
        <f t="shared" si="18"/>
        <v>2.6056938584245515</v>
      </c>
      <c r="AY47" s="11">
        <v>11.013605155901349</v>
      </c>
      <c r="AZ47" s="94">
        <v>1.0299128541872438</v>
      </c>
      <c r="BA47" s="94">
        <v>3.2307934614555975</v>
      </c>
      <c r="BB47" s="94">
        <f t="shared" si="19"/>
        <v>4.2607063156428415</v>
      </c>
      <c r="BC47" s="94"/>
      <c r="BD47" s="40">
        <f t="shared" si="20"/>
        <v>2.5171144014275004</v>
      </c>
      <c r="BE47" s="94">
        <v>2.5657167308459536</v>
      </c>
      <c r="BF47" s="94">
        <v>-2.0249829680665472E-2</v>
      </c>
      <c r="BG47" s="94">
        <v>0.72410556877585575</v>
      </c>
      <c r="BH47" s="94">
        <f t="shared" si="21"/>
        <v>0.70385573909519028</v>
      </c>
      <c r="BJ47" s="40">
        <f t="shared" si="22"/>
        <v>2.564691401725705</v>
      </c>
      <c r="BK47" s="94">
        <v>5.4392446032435906</v>
      </c>
      <c r="BL47" s="94">
        <v>0.51504624411421973</v>
      </c>
      <c r="BM47" s="94">
        <v>1.5675173974350798</v>
      </c>
      <c r="BN47" s="94">
        <f t="shared" si="23"/>
        <v>2.0825636415492994</v>
      </c>
      <c r="BO47" s="107"/>
      <c r="BP47" s="40">
        <f t="shared" si="24"/>
        <v>2.7539661724697684</v>
      </c>
      <c r="BQ47" s="94">
        <v>3.0086438218118041</v>
      </c>
      <c r="BR47" s="94">
        <v>0.53511643975368939</v>
      </c>
      <c r="BS47" s="94">
        <v>0.93917049524466201</v>
      </c>
      <c r="BT47" s="94">
        <f t="shared" si="25"/>
        <v>1.4742869349983514</v>
      </c>
      <c r="BU47" s="91">
        <f t="shared" si="26"/>
        <v>0</v>
      </c>
      <c r="BV47" s="40">
        <f t="shared" si="27"/>
        <v>2.7769349895925721</v>
      </c>
      <c r="BW47" s="11">
        <v>2.8680773838859954</v>
      </c>
      <c r="BX47" s="94">
        <v>1.8124842888357913</v>
      </c>
      <c r="BY47" s="94">
        <v>0.90371244599220335</v>
      </c>
      <c r="BZ47" s="94">
        <f t="shared" si="28"/>
        <v>2.7161967348279945</v>
      </c>
      <c r="CA47" s="94"/>
      <c r="CB47" s="40">
        <f t="shared" si="29"/>
        <v>2.6526063565382341</v>
      </c>
      <c r="CC47" s="94">
        <v>1.133194068533085</v>
      </c>
      <c r="CD47" s="94">
        <v>0.1263303128615518</v>
      </c>
      <c r="CE47" s="94">
        <v>0.33913232926021469</v>
      </c>
      <c r="CF47" s="94">
        <f t="shared" si="30"/>
        <v>0.46546264212176647</v>
      </c>
      <c r="CH47" s="40">
        <f t="shared" si="31"/>
        <v>2.7982733108218305</v>
      </c>
      <c r="CI47" s="94">
        <v>1.5036570788687731</v>
      </c>
      <c r="CJ47" s="94">
        <v>1.358746094911804</v>
      </c>
      <c r="CK47" s="94">
        <v>0.47790189710881065</v>
      </c>
      <c r="CL47" s="94">
        <f t="shared" si="32"/>
        <v>1.8366479920206147</v>
      </c>
      <c r="CM47" s="107"/>
      <c r="CN47" s="40">
        <f t="shared" si="33"/>
        <v>3.2347595318199085</v>
      </c>
      <c r="CO47" s="94">
        <v>0.23122623648413734</v>
      </c>
      <c r="CP47" s="94">
        <v>0.32740788106243529</v>
      </c>
      <c r="CQ47" s="94">
        <v>8.6678219623177913E-2</v>
      </c>
      <c r="CR47" s="94">
        <f t="shared" si="34"/>
        <v>0.41408610068561319</v>
      </c>
      <c r="CS47" s="91">
        <f t="shared" si="35"/>
        <v>0</v>
      </c>
      <c r="CT47" s="40">
        <f t="shared" si="36"/>
        <v>2.7931156217943398</v>
      </c>
      <c r="CU47" s="11">
        <v>5.0504780090814236</v>
      </c>
      <c r="CV47" s="94">
        <v>3.5007909297285211</v>
      </c>
      <c r="CW47" s="94">
        <v>1.6018365983756719</v>
      </c>
      <c r="CX47" s="94">
        <f t="shared" si="37"/>
        <v>5.1026275281041933</v>
      </c>
      <c r="CY47" s="94"/>
      <c r="CZ47" s="40">
        <f t="shared" si="38"/>
        <v>2.74636478298389</v>
      </c>
      <c r="DA47" s="94">
        <v>2.8547428262495687</v>
      </c>
      <c r="DB47" s="94">
        <v>0.83460261597494789</v>
      </c>
      <c r="DC47" s="94">
        <v>0.88835901082653501</v>
      </c>
      <c r="DD47" s="94">
        <f t="shared" si="39"/>
        <v>1.7229616268014829</v>
      </c>
      <c r="DF47" s="40">
        <f t="shared" si="40"/>
        <v>2.8441917872239486</v>
      </c>
      <c r="DG47" s="94">
        <v>1.8725001300200237</v>
      </c>
      <c r="DH47" s="94">
        <v>2.0967169117876856</v>
      </c>
      <c r="DI47" s="94">
        <v>0.60617467473424025</v>
      </c>
      <c r="DJ47" s="94">
        <f t="shared" si="41"/>
        <v>2.7028915865219258</v>
      </c>
      <c r="DK47" s="107"/>
      <c r="DL47" s="40">
        <f t="shared" si="42"/>
        <v>2.9080384999745856</v>
      </c>
      <c r="DM47" s="94">
        <v>0.32323505281183162</v>
      </c>
      <c r="DN47" s="94">
        <v>0.5694714019658873</v>
      </c>
      <c r="DO47" s="94">
        <v>0.10730291281489671</v>
      </c>
      <c r="DP47" s="94">
        <f t="shared" si="43"/>
        <v>0.67677431478078398</v>
      </c>
    </row>
    <row r="48" spans="1:120" x14ac:dyDescent="0.2">
      <c r="A48" s="91">
        <f>name!B44</f>
        <v>0</v>
      </c>
      <c r="B48" s="40">
        <f t="shared" si="1"/>
        <v>2.8169915417421754</v>
      </c>
      <c r="C48" s="11">
        <v>158.75130574877755</v>
      </c>
      <c r="D48" s="94">
        <v>31.053175488358242</v>
      </c>
      <c r="E48" s="94">
        <v>50.836604439456309</v>
      </c>
      <c r="F48" s="94">
        <f t="shared" si="2"/>
        <v>81.889779927814544</v>
      </c>
      <c r="G48" s="94"/>
      <c r="H48" s="40">
        <f t="shared" si="3"/>
        <v>2.7131406842493488</v>
      </c>
      <c r="I48" s="94">
        <v>37.269430586923946</v>
      </c>
      <c r="J48" s="94">
        <v>2.0080357660646397</v>
      </c>
      <c r="K48" s="94">
        <v>11.439976930786587</v>
      </c>
      <c r="L48" s="94">
        <f t="shared" si="4"/>
        <v>13.448012696851226</v>
      </c>
      <c r="N48" s="40">
        <f t="shared" si="5"/>
        <v>2.6835187325179533</v>
      </c>
      <c r="O48" s="94">
        <v>64.168727676686729</v>
      </c>
      <c r="P48" s="94">
        <v>9.648746828409589</v>
      </c>
      <c r="Q48" s="94">
        <v>19.45525621806194</v>
      </c>
      <c r="R48" s="94">
        <f t="shared" si="6"/>
        <v>29.104003046471529</v>
      </c>
      <c r="S48" s="107"/>
      <c r="T48" s="40">
        <f t="shared" si="7"/>
        <v>3.0307741956072665</v>
      </c>
      <c r="U48" s="94">
        <v>57.313147485166859</v>
      </c>
      <c r="V48" s="94">
        <v>19.396392893884016</v>
      </c>
      <c r="W48" s="94">
        <v>19.941371290607766</v>
      </c>
      <c r="X48" s="94">
        <f t="shared" si="8"/>
        <v>39.337764184491782</v>
      </c>
      <c r="Y48" s="91">
        <f t="shared" si="0"/>
        <v>0</v>
      </c>
      <c r="Z48" s="40">
        <f t="shared" si="9"/>
        <v>3.0844034831169376</v>
      </c>
      <c r="AA48" s="11">
        <v>54.043501876163091</v>
      </c>
      <c r="AB48" s="94">
        <v>16.838248878570081</v>
      </c>
      <c r="AC48" s="94">
        <v>19.18381203425853</v>
      </c>
      <c r="AD48" s="94">
        <f t="shared" si="10"/>
        <v>36.022060912828607</v>
      </c>
      <c r="AE48" s="94"/>
      <c r="AF48" s="40">
        <f t="shared" si="11"/>
        <v>3.0687126992563263</v>
      </c>
      <c r="AG48" s="94">
        <v>2.872339077635929</v>
      </c>
      <c r="AH48" s="94">
        <v>0.88105911598627318</v>
      </c>
      <c r="AI48" s="94">
        <v>1.0136737094918047</v>
      </c>
      <c r="AJ48" s="94">
        <f t="shared" si="12"/>
        <v>1.8947328254780778</v>
      </c>
      <c r="AL48" s="40">
        <f t="shared" si="13"/>
        <v>2.9854531104971826</v>
      </c>
      <c r="AM48" s="94">
        <v>8.4616752757594771</v>
      </c>
      <c r="AN48" s="94">
        <v>0.5129240985808613</v>
      </c>
      <c r="AO48" s="94">
        <v>2.8940583365838495</v>
      </c>
      <c r="AP48" s="94">
        <f t="shared" si="14"/>
        <v>3.4069824351647107</v>
      </c>
      <c r="AQ48" s="107"/>
      <c r="AR48" s="40">
        <f t="shared" si="15"/>
        <v>3.1049593059016889</v>
      </c>
      <c r="AS48" s="94">
        <v>42.709487522767688</v>
      </c>
      <c r="AT48" s="94">
        <v>15.444265664002945</v>
      </c>
      <c r="AU48" s="94">
        <v>15.276079988182877</v>
      </c>
      <c r="AV48" s="94">
        <f t="shared" si="16"/>
        <v>30.72034565218582</v>
      </c>
      <c r="AW48" s="91">
        <f t="shared" si="17"/>
        <v>0</v>
      </c>
      <c r="AX48" s="40">
        <f t="shared" si="18"/>
        <v>2.6049805214462873</v>
      </c>
      <c r="AY48" s="11">
        <v>67.279720597550053</v>
      </c>
      <c r="AZ48" s="94">
        <v>-1.7061260839949342</v>
      </c>
      <c r="BA48" s="94">
        <v>19.73016584504331</v>
      </c>
      <c r="BB48" s="94">
        <f t="shared" si="19"/>
        <v>18.024039761048375</v>
      </c>
      <c r="BC48" s="94"/>
      <c r="BD48" s="40">
        <f t="shared" si="20"/>
        <v>2.5409532368865007</v>
      </c>
      <c r="BE48" s="94">
        <v>14.926976334729311</v>
      </c>
      <c r="BF48" s="94">
        <v>-1.3830273865244627</v>
      </c>
      <c r="BG48" s="94">
        <v>4.2572967639145958</v>
      </c>
      <c r="BH48" s="94">
        <f t="shared" si="21"/>
        <v>2.8742693773901333</v>
      </c>
      <c r="BJ48" s="40">
        <f t="shared" si="22"/>
        <v>2.5796718808031471</v>
      </c>
      <c r="BK48" s="94">
        <v>40.385319730226364</v>
      </c>
      <c r="BL48" s="94">
        <v>-0.75084702548436888</v>
      </c>
      <c r="BM48" s="94">
        <v>11.714543255967428</v>
      </c>
      <c r="BN48" s="94">
        <f t="shared" si="23"/>
        <v>10.963696230483059</v>
      </c>
      <c r="BO48" s="107"/>
      <c r="BP48" s="40">
        <f t="shared" si="24"/>
        <v>2.7687485385664345</v>
      </c>
      <c r="BQ48" s="94">
        <v>11.967424532594377</v>
      </c>
      <c r="BR48" s="94">
        <v>0.42774832801389723</v>
      </c>
      <c r="BS48" s="94">
        <v>3.7583258251612852</v>
      </c>
      <c r="BT48" s="94">
        <f t="shared" si="25"/>
        <v>4.1860741531751824</v>
      </c>
      <c r="BU48" s="91">
        <f t="shared" si="26"/>
        <v>0</v>
      </c>
      <c r="BV48" s="40">
        <f t="shared" si="27"/>
        <v>2.518201489640326</v>
      </c>
      <c r="BW48" s="11">
        <v>11.027664527945932</v>
      </c>
      <c r="BX48" s="94">
        <v>1.3879359269084375</v>
      </c>
      <c r="BY48" s="94">
        <v>3.1137656010156576</v>
      </c>
      <c r="BZ48" s="94">
        <f t="shared" si="28"/>
        <v>4.5017015279240953</v>
      </c>
      <c r="CA48" s="94"/>
      <c r="CB48" s="40">
        <f t="shared" si="29"/>
        <v>2.4600010102901804</v>
      </c>
      <c r="CC48" s="94">
        <v>4.6043551889988352</v>
      </c>
      <c r="CD48" s="94">
        <v>-9.4762721156135488E-2</v>
      </c>
      <c r="CE48" s="94">
        <v>1.2666488182504458</v>
      </c>
      <c r="CF48" s="94">
        <f t="shared" si="30"/>
        <v>1.1718860970943104</v>
      </c>
      <c r="CH48" s="40">
        <f t="shared" si="31"/>
        <v>2.5135092689739569</v>
      </c>
      <c r="CI48" s="94">
        <v>5.3897928205850842</v>
      </c>
      <c r="CJ48" s="94">
        <v>0.93986804735963958</v>
      </c>
      <c r="CK48" s="94">
        <v>1.5186963016257615</v>
      </c>
      <c r="CL48" s="94">
        <f t="shared" si="32"/>
        <v>2.458564348985401</v>
      </c>
      <c r="CM48" s="107"/>
      <c r="CN48" s="40">
        <f t="shared" si="33"/>
        <v>2.7978329732376128</v>
      </c>
      <c r="CO48" s="94">
        <v>1.0335165183620134</v>
      </c>
      <c r="CP48" s="94">
        <v>0.5428306007049335</v>
      </c>
      <c r="CQ48" s="94">
        <v>0.32842048113944977</v>
      </c>
      <c r="CR48" s="94">
        <f t="shared" si="34"/>
        <v>0.87125108184438327</v>
      </c>
      <c r="CS48" s="91">
        <f t="shared" si="35"/>
        <v>0</v>
      </c>
      <c r="CT48" s="40">
        <f t="shared" si="36"/>
        <v>2.9211505487475975</v>
      </c>
      <c r="CU48" s="11">
        <v>26.400418747118454</v>
      </c>
      <c r="CV48" s="94">
        <v>14.533116766874658</v>
      </c>
      <c r="CW48" s="94">
        <v>8.8088609591388032</v>
      </c>
      <c r="CX48" s="94">
        <f t="shared" si="37"/>
        <v>23.341977726013461</v>
      </c>
      <c r="CY48" s="94"/>
      <c r="CZ48" s="40">
        <f t="shared" si="38"/>
        <v>2.8911023071172881</v>
      </c>
      <c r="DA48" s="94">
        <v>14.865759985559873</v>
      </c>
      <c r="DB48" s="94">
        <v>2.6047667577589646</v>
      </c>
      <c r="DC48" s="94">
        <v>4.9023576391297414</v>
      </c>
      <c r="DD48" s="94">
        <f t="shared" si="39"/>
        <v>7.507124396888706</v>
      </c>
      <c r="DF48" s="40">
        <f t="shared" si="40"/>
        <v>2.9320472834624356</v>
      </c>
      <c r="DG48" s="94">
        <v>9.9319398501158016</v>
      </c>
      <c r="DH48" s="94">
        <v>8.9468017079534565</v>
      </c>
      <c r="DI48" s="94">
        <v>3.3279583238849022</v>
      </c>
      <c r="DJ48" s="94">
        <f t="shared" si="41"/>
        <v>12.274760031838358</v>
      </c>
      <c r="DK48" s="107"/>
      <c r="DL48" s="40">
        <f t="shared" si="42"/>
        <v>3.1300160142738953</v>
      </c>
      <c r="DM48" s="94">
        <v>1.6027189114427818</v>
      </c>
      <c r="DN48" s="94">
        <v>2.981548301162237</v>
      </c>
      <c r="DO48" s="94">
        <v>0.57854499612415899</v>
      </c>
      <c r="DP48" s="94">
        <f t="shared" si="43"/>
        <v>3.5600932972863961</v>
      </c>
    </row>
    <row r="49" spans="1:120" x14ac:dyDescent="0.2">
      <c r="B49" s="40"/>
      <c r="C49" s="94"/>
      <c r="D49" s="94"/>
      <c r="E49" s="94"/>
      <c r="F49" s="94"/>
      <c r="G49" s="94"/>
      <c r="H49" s="40"/>
      <c r="I49" s="94"/>
      <c r="J49" s="94"/>
      <c r="K49" s="94"/>
      <c r="L49" s="94"/>
      <c r="N49" s="40"/>
      <c r="O49" s="94"/>
      <c r="P49" s="94"/>
      <c r="Q49" s="94"/>
      <c r="R49" s="94"/>
      <c r="S49" s="107"/>
      <c r="T49" s="40"/>
      <c r="U49" s="94"/>
      <c r="V49" s="94"/>
      <c r="W49" s="94"/>
      <c r="X49" s="94"/>
      <c r="Z49" s="40"/>
      <c r="AA49" s="94"/>
      <c r="AB49" s="94"/>
      <c r="AC49" s="94"/>
      <c r="AD49" s="94"/>
      <c r="AE49" s="94"/>
      <c r="AF49" s="40"/>
      <c r="AG49" s="94"/>
      <c r="AH49" s="94"/>
      <c r="AI49" s="94"/>
      <c r="AJ49" s="94"/>
      <c r="AL49" s="40"/>
      <c r="AM49" s="94"/>
      <c r="AN49" s="94"/>
      <c r="AO49" s="94"/>
      <c r="AP49" s="94"/>
      <c r="AQ49" s="107"/>
      <c r="AR49" s="40"/>
      <c r="AS49" s="94"/>
      <c r="AT49" s="94"/>
      <c r="AU49" s="94"/>
      <c r="AV49" s="94"/>
      <c r="AX49" s="40"/>
      <c r="AY49" s="94"/>
      <c r="AZ49" s="94"/>
      <c r="BA49" s="94"/>
      <c r="BB49" s="94"/>
      <c r="BC49" s="94"/>
      <c r="BD49" s="40"/>
      <c r="BE49" s="94"/>
      <c r="BF49" s="94"/>
      <c r="BG49" s="94"/>
      <c r="BH49" s="94"/>
      <c r="BJ49" s="40"/>
      <c r="BK49" s="94"/>
      <c r="BL49" s="94"/>
      <c r="BM49" s="94"/>
      <c r="BN49" s="94"/>
      <c r="BO49" s="107"/>
      <c r="BP49" s="40"/>
      <c r="BQ49" s="94"/>
      <c r="BR49" s="94"/>
      <c r="BS49" s="94"/>
      <c r="BT49" s="94"/>
      <c r="BV49" s="40"/>
      <c r="BW49" s="94"/>
      <c r="BX49" s="94"/>
      <c r="BY49" s="94"/>
      <c r="BZ49" s="94"/>
      <c r="CA49" s="94"/>
      <c r="CB49" s="40"/>
      <c r="CC49" s="94"/>
      <c r="CD49" s="94"/>
      <c r="CE49" s="94"/>
      <c r="CF49" s="94"/>
      <c r="CH49" s="40"/>
      <c r="CI49" s="94"/>
      <c r="CJ49" s="94"/>
      <c r="CK49" s="94"/>
      <c r="CL49" s="94"/>
      <c r="CM49" s="107"/>
      <c r="CN49" s="40"/>
      <c r="CO49" s="94"/>
      <c r="CP49" s="94"/>
      <c r="CQ49" s="94"/>
      <c r="CR49" s="94"/>
      <c r="CT49" s="40"/>
      <c r="CU49" s="94"/>
      <c r="CV49" s="94"/>
      <c r="CW49" s="94"/>
      <c r="CX49" s="94"/>
      <c r="CY49" s="94"/>
      <c r="CZ49" s="40"/>
      <c r="DA49" s="94"/>
      <c r="DB49" s="94"/>
      <c r="DC49" s="94"/>
      <c r="DD49" s="94"/>
      <c r="DF49" s="40"/>
      <c r="DG49" s="94"/>
      <c r="DH49" s="94"/>
      <c r="DI49" s="94"/>
      <c r="DJ49" s="94"/>
      <c r="DK49" s="107"/>
      <c r="DL49" s="40"/>
      <c r="DM49" s="94"/>
      <c r="DN49" s="94"/>
      <c r="DO49" s="94"/>
      <c r="DP49" s="94"/>
    </row>
    <row r="50" spans="1:120" x14ac:dyDescent="0.2">
      <c r="A50" s="92" t="str">
        <f>name!B3</f>
        <v>All industries</v>
      </c>
      <c r="B50" s="43">
        <f t="shared" si="1"/>
        <v>2.7912372459239387</v>
      </c>
      <c r="C50" s="93">
        <v>4561.2992279926211</v>
      </c>
      <c r="D50" s="93">
        <v>431.97496524334053</v>
      </c>
      <c r="E50" s="93">
        <v>1445.5882710202891</v>
      </c>
      <c r="F50" s="93">
        <f t="shared" si="2"/>
        <v>1877.5632362636297</v>
      </c>
      <c r="G50" s="93"/>
      <c r="H50" s="43">
        <f t="shared" si="3"/>
        <v>2.6517730789267446</v>
      </c>
      <c r="I50" s="93">
        <v>774.77767553257945</v>
      </c>
      <c r="J50" s="93">
        <v>-90.9176985646708</v>
      </c>
      <c r="K50" s="93">
        <v>231.78692033646578</v>
      </c>
      <c r="L50" s="93">
        <f>SUM(J50:K50)</f>
        <v>140.86922177179497</v>
      </c>
      <c r="M50" s="92"/>
      <c r="N50" s="43">
        <f t="shared" si="5"/>
        <v>2.6893242464146816</v>
      </c>
      <c r="O50" s="93">
        <v>1810.6123702397726</v>
      </c>
      <c r="P50" s="93">
        <v>208.84741372398935</v>
      </c>
      <c r="Q50" s="93">
        <v>550.29225403969679</v>
      </c>
      <c r="R50" s="93">
        <f>SUM(P50:Q50)</f>
        <v>759.13966776368613</v>
      </c>
      <c r="S50" s="108"/>
      <c r="T50" s="43">
        <f t="shared" si="7"/>
        <v>2.9376202991175049</v>
      </c>
      <c r="U50" s="93">
        <v>1975.9091822202711</v>
      </c>
      <c r="V50" s="93">
        <v>314.04525008402186</v>
      </c>
      <c r="W50" s="93">
        <v>663.50909664412427</v>
      </c>
      <c r="X50" s="93">
        <f>SUM(V50:W50)</f>
        <v>977.55434672814613</v>
      </c>
      <c r="Y50" s="92" t="str">
        <f>A50</f>
        <v>All industries</v>
      </c>
      <c r="Z50" s="43">
        <f>IF(AA50&gt;0,((1+(AC50/AA50))^(1/($A$101-$A$100))-1)*100,0)</f>
        <v>2.9771972098236787</v>
      </c>
      <c r="AA50" s="93">
        <v>2141.7348734083043</v>
      </c>
      <c r="AB50" s="93">
        <v>328.18012130131888</v>
      </c>
      <c r="AC50" s="93">
        <v>730.21185757939747</v>
      </c>
      <c r="AD50" s="93">
        <f>SUM(AB50:AC50)</f>
        <v>1058.3919788807164</v>
      </c>
      <c r="AE50" s="93"/>
      <c r="AF50" s="43">
        <f>IF(AG50&gt;0,((1+(AI50/AG50))^(1/($A$101-$A$100))-1)*100,0)</f>
        <v>3.0280155732974823</v>
      </c>
      <c r="AG50" s="93">
        <v>114.36183531349347</v>
      </c>
      <c r="AH50" s="93">
        <v>10.806009020856356</v>
      </c>
      <c r="AI50" s="93">
        <v>39.749458273691218</v>
      </c>
      <c r="AJ50" s="93">
        <f>SUM(AH50:AI50)</f>
        <v>50.555467294547576</v>
      </c>
      <c r="AK50" s="92"/>
      <c r="AL50" s="43">
        <f>IF(AM50&gt;0,((1+(AO50/AM50))^(1/($A$101-$A$100))-1)*100,0)</f>
        <v>2.9663353480916088</v>
      </c>
      <c r="AM50" s="93">
        <v>484.03376220781502</v>
      </c>
      <c r="AN50" s="93">
        <v>80.752171418150368</v>
      </c>
      <c r="AO50" s="93">
        <v>164.34415782441963</v>
      </c>
      <c r="AP50" s="93">
        <f>SUM(AN50:AO50)</f>
        <v>245.09632924256999</v>
      </c>
      <c r="AQ50" s="108"/>
      <c r="AR50" s="43">
        <f>IF(AS50&gt;0,((1+(AU50/AS50))^(1/($A$101-$A$100))-1)*100,0)</f>
        <v>2.9768281396108875</v>
      </c>
      <c r="AS50" s="93">
        <v>1543.3392758869961</v>
      </c>
      <c r="AT50" s="93">
        <v>236.62194086231219</v>
      </c>
      <c r="AU50" s="93">
        <v>526.11824148128676</v>
      </c>
      <c r="AV50" s="93">
        <f>SUM(AT50:AU50)</f>
        <v>762.74018234359892</v>
      </c>
      <c r="AW50" s="92" t="str">
        <f>Y50</f>
        <v>All industries</v>
      </c>
      <c r="AX50" s="43">
        <f>IF(AY50&gt;0,((1+(BA50/AY50))^(1/($A$101-$A$100))-1)*100,0)</f>
        <v>2.5960689907792656</v>
      </c>
      <c r="AY50" s="93">
        <v>1169.4910110900296</v>
      </c>
      <c r="AZ50" s="93">
        <v>61.012733866251224</v>
      </c>
      <c r="BA50" s="93">
        <v>341.64688672572964</v>
      </c>
      <c r="BB50" s="93">
        <f>SUM(AZ50:BA50)</f>
        <v>402.65962059198085</v>
      </c>
      <c r="BC50" s="93"/>
      <c r="BD50" s="43">
        <f>IF(BE50&gt;0,((1+(BG50/BE50))^(1/($A$101-$A$100))-1)*100,0)</f>
        <v>2.5108134589674425</v>
      </c>
      <c r="BE50" s="93">
        <v>196.77997170605971</v>
      </c>
      <c r="BF50" s="93">
        <v>-19.19988351079143</v>
      </c>
      <c r="BG50" s="93">
        <v>55.380896948664599</v>
      </c>
      <c r="BH50" s="93">
        <f>SUM(BF50:BG50)</f>
        <v>36.181013437873169</v>
      </c>
      <c r="BI50" s="92"/>
      <c r="BJ50" s="43">
        <f>IF(BK50&gt;0,((1+(BM50/BK50))^(1/($A$101-$A$100))-1)*100,0)</f>
        <v>2.5531077119064882</v>
      </c>
      <c r="BK50" s="93">
        <v>650.12175377402275</v>
      </c>
      <c r="BL50" s="93">
        <v>42.192712487148434</v>
      </c>
      <c r="BM50" s="93">
        <v>186.41100647521165</v>
      </c>
      <c r="BN50" s="93">
        <f>SUM(BL50:BM50)</f>
        <v>228.60371896236009</v>
      </c>
      <c r="BO50" s="108"/>
      <c r="BP50" s="43">
        <f>IF(BQ50&gt;0,((1+(BS50/BQ50))^(1/($A$101-$A$100))-1)*100,0)</f>
        <v>2.7334678665663192</v>
      </c>
      <c r="BQ50" s="93">
        <v>322.58928560994713</v>
      </c>
      <c r="BR50" s="93">
        <v>38.019904889894228</v>
      </c>
      <c r="BS50" s="93">
        <v>99.854983301853494</v>
      </c>
      <c r="BT50" s="93">
        <f>SUM(BR50:BS50)</f>
        <v>137.87488819174771</v>
      </c>
      <c r="BU50" s="92" t="str">
        <f>AW50</f>
        <v>All industries</v>
      </c>
      <c r="BV50" s="43">
        <f>IF(BW50&gt;0,((1+(BY50/BW50))^(1/($A$101-$A$100))-1)*100,0)</f>
        <v>2.5889208699682698</v>
      </c>
      <c r="BW50" s="93">
        <v>786.26148565798121</v>
      </c>
      <c r="BX50" s="93">
        <v>-16.768227409449015</v>
      </c>
      <c r="BY50" s="93">
        <v>228.98528730973825</v>
      </c>
      <c r="BZ50" s="93">
        <f>SUM(BX50:BY50)</f>
        <v>212.21705990028923</v>
      </c>
      <c r="CA50" s="93"/>
      <c r="CB50" s="43">
        <f>IF(CC50&gt;0,((1+(CE50/CC50))^(1/($A$101-$A$100))-1)*100,0)</f>
        <v>2.5278948366694864</v>
      </c>
      <c r="CC50" s="93">
        <v>257.91842111045776</v>
      </c>
      <c r="CD50" s="93">
        <v>-52.179148361626908</v>
      </c>
      <c r="CE50" s="93">
        <v>73.138570554183204</v>
      </c>
      <c r="CF50" s="93">
        <f>SUM(CD50:CE50)</f>
        <v>20.959422192556296</v>
      </c>
      <c r="CG50" s="92"/>
      <c r="CH50" s="43">
        <f>IF(CI50&gt;0,((1+(CK50/CI50))^(1/($A$101-$A$100))-1)*100,0)</f>
        <v>2.5655949055339189</v>
      </c>
      <c r="CI50" s="93">
        <v>462.50112579230256</v>
      </c>
      <c r="CJ50" s="93">
        <v>18.263082416840735</v>
      </c>
      <c r="CK50" s="93">
        <v>133.33911166207648</v>
      </c>
      <c r="CL50" s="93">
        <f>SUM(CJ50:CK50)</f>
        <v>151.60219407891722</v>
      </c>
      <c r="CM50" s="108"/>
      <c r="CN50" s="43">
        <f>IF(CO50&gt;0,((1+(CQ50/CO50))^(1/($A$101-$A$100))-1)*100,0)</f>
        <v>2.9840981402702971</v>
      </c>
      <c r="CO50" s="93">
        <v>65.841938755220539</v>
      </c>
      <c r="CP50" s="93">
        <v>17.147838535337179</v>
      </c>
      <c r="CQ50" s="93">
        <v>22.507605093478684</v>
      </c>
      <c r="CR50" s="93">
        <f>SUM(CP50:CQ50)</f>
        <v>39.65544362881586</v>
      </c>
      <c r="CS50" s="92" t="str">
        <f>BU50</f>
        <v>All industries</v>
      </c>
      <c r="CT50" s="43">
        <f>IF(CU50&gt;0,((1+(CW50/CU50))^(1/($A$101-$A$100))-1)*100,0)</f>
        <v>2.7533233225370157</v>
      </c>
      <c r="CU50" s="93">
        <v>463.81185783630696</v>
      </c>
      <c r="CV50" s="93">
        <v>59.550337485219423</v>
      </c>
      <c r="CW50" s="93">
        <v>144.74423940542175</v>
      </c>
      <c r="CX50" s="93">
        <f>SUM(CV50:CW50)</f>
        <v>204.29457689064117</v>
      </c>
      <c r="CY50" s="93"/>
      <c r="CZ50" s="43">
        <f>IF(DA50&gt;0,((1+(DC50/DA50))^(1/($A$101-$A$100))-1)*100,0)</f>
        <v>2.7273559755584653</v>
      </c>
      <c r="DA50" s="93">
        <v>205.71744740256855</v>
      </c>
      <c r="DB50" s="93">
        <v>-30.344675713108767</v>
      </c>
      <c r="DC50" s="93">
        <v>63.517994559926827</v>
      </c>
      <c r="DD50" s="93">
        <f>SUM(DB50:DC50)</f>
        <v>33.173318846818063</v>
      </c>
      <c r="DE50" s="92"/>
      <c r="DF50" s="43">
        <f>IF(DG50&gt;0,((1+(DI50/DG50))^(1/($A$101-$A$100))-1)*100,0)</f>
        <v>2.7323553670193235</v>
      </c>
      <c r="DG50" s="93">
        <v>213.95572846563186</v>
      </c>
      <c r="DH50" s="93">
        <v>67.639447401849822</v>
      </c>
      <c r="DI50" s="93">
        <v>66.197978077989319</v>
      </c>
      <c r="DJ50" s="93">
        <f>SUM(DH50:DI50)</f>
        <v>133.83742547983914</v>
      </c>
      <c r="DK50" s="108"/>
      <c r="DL50" s="43">
        <f>IF(DM50&gt;0,((1+(DO50/DM50))^(1/($A$101-$A$100))-1)*100,0)</f>
        <v>2.9736201868302725</v>
      </c>
      <c r="DM50" s="93">
        <v>44.13868196810671</v>
      </c>
      <c r="DN50" s="93">
        <v>22.25556579647839</v>
      </c>
      <c r="DO50" s="93">
        <v>15.028266767505601</v>
      </c>
      <c r="DP50" s="93">
        <f>SUM(DN50:DO50)</f>
        <v>37.283832563983992</v>
      </c>
    </row>
    <row r="51" spans="1:120" x14ac:dyDescent="0.2">
      <c r="B51" s="94"/>
      <c r="C51" s="94"/>
      <c r="D51" s="94"/>
      <c r="E51" s="94"/>
      <c r="F51" s="94"/>
      <c r="G51" s="94"/>
      <c r="Z51" s="94"/>
      <c r="AA51" s="94"/>
      <c r="AB51" s="94"/>
      <c r="AC51" s="94"/>
      <c r="AD51" s="94"/>
      <c r="AE51" s="94"/>
      <c r="AX51" s="94"/>
      <c r="AY51" s="94"/>
      <c r="AZ51" s="94"/>
      <c r="BA51" s="94"/>
      <c r="BB51" s="94"/>
      <c r="BC51" s="94"/>
      <c r="BV51" s="94"/>
      <c r="BW51" s="94"/>
      <c r="BX51" s="94"/>
      <c r="BY51" s="94"/>
      <c r="BZ51" s="94"/>
      <c r="CA51" s="94"/>
      <c r="CT51" s="94"/>
      <c r="CU51" s="94"/>
      <c r="CV51" s="94"/>
      <c r="CW51" s="94"/>
      <c r="CX51" s="94"/>
      <c r="CY51" s="94"/>
    </row>
    <row r="52" spans="1:120" x14ac:dyDescent="0.2">
      <c r="A52" s="91" t="str">
        <f ca="1">CELL("filename")</f>
        <v>M:\IE\Projects\Nuffield via NFER AI and automation\Data\Results\Workbooks\LSIPs\LI_LSIP\[LI_LSIP_MainTables.Main.xlsm]Manager</v>
      </c>
      <c r="B52" s="94"/>
      <c r="C52" s="94"/>
      <c r="D52" s="94"/>
      <c r="E52" s="94"/>
      <c r="F52" s="94"/>
      <c r="G52" s="94"/>
      <c r="Y52" s="91" t="str">
        <f ca="1">CELL("filename")</f>
        <v>M:\IE\Projects\Nuffield via NFER AI and automation\Data\Results\Workbooks\LSIPs\LI_LSIP\[LI_LSIP_MainTables.Main.xlsm]Manager</v>
      </c>
      <c r="Z52" s="94"/>
      <c r="AA52" s="94"/>
      <c r="AB52" s="94"/>
      <c r="AC52" s="94"/>
      <c r="AD52" s="94"/>
      <c r="AE52" s="94"/>
      <c r="AW52" s="91" t="str">
        <f ca="1">CELL("filename")</f>
        <v>M:\IE\Projects\Nuffield via NFER AI and automation\Data\Results\Workbooks\LSIPs\LI_LSIP\[LI_LSIP_MainTables.Main.xlsm]Manager</v>
      </c>
      <c r="AX52" s="94"/>
      <c r="AY52" s="94"/>
      <c r="AZ52" s="94"/>
      <c r="BA52" s="94"/>
      <c r="BB52" s="94"/>
      <c r="BC52" s="94"/>
      <c r="BU52" s="91" t="str">
        <f ca="1">CELL("filename")</f>
        <v>M:\IE\Projects\Nuffield via NFER AI and automation\Data\Results\Workbooks\LSIPs\LI_LSIP\[LI_LSIP_MainTables.Main.xlsm]Manager</v>
      </c>
      <c r="BV52" s="94"/>
      <c r="BW52" s="94"/>
      <c r="BX52" s="94"/>
      <c r="BY52" s="94"/>
      <c r="BZ52" s="94"/>
      <c r="CA52" s="94"/>
      <c r="CS52" s="91" t="str">
        <f ca="1">CELL("filename")</f>
        <v>M:\IE\Projects\Nuffield via NFER AI and automation\Data\Results\Workbooks\LSIPs\LI_LSIP\[LI_LSIP_MainTables.Main.xlsm]Manager</v>
      </c>
      <c r="CT52" s="94"/>
      <c r="CU52" s="94"/>
      <c r="CV52" s="94"/>
      <c r="CW52" s="94"/>
      <c r="CX52" s="94"/>
      <c r="CY52" s="94"/>
    </row>
    <row r="53" spans="1:120" ht="15.75" x14ac:dyDescent="0.25">
      <c r="A53" s="19" t="str">
        <f>CONCATENATE("Basic Table 5  Replacement Demand, ",A100,"-",A101,", by Industry Group and Qualification for ",name!$H$3)</f>
        <v>Basic Table 5  Replacement Demand, 2015-2025, by Industry Group and Qualification for M</v>
      </c>
      <c r="Y53" s="19" t="str">
        <f>CONCATENATE("Basic Table 5  Replacement Demand, ",A100,"-",A101,", by Industry Group and Qualification for ",name!$H$4)</f>
        <v>Basic Table 5  Replacement Demand, 2015-2025, by Industry Group and Qualification for F</v>
      </c>
      <c r="AW53" s="19" t="str">
        <f>CONCATENATE("Basic Table 5  Replacement Demand, ",A100,"-",A101,", by Industry Group and Qualification for ",name!$H$5)</f>
        <v xml:space="preserve">Basic Table 5  Replacement Demand, 2015-2025, by Industry Group and Qualification for </v>
      </c>
      <c r="BU53" s="19" t="str">
        <f>CONCATENATE("Basic Table 5  Replacement Demand, ",A100,"-",A101,", by Industry Group and Qualification for ",name!$H$6)</f>
        <v xml:space="preserve">Basic Table 5  Replacement Demand, 2015-2025, by Industry Group and Qualification for </v>
      </c>
      <c r="CS53" s="19" t="str">
        <f>CONCATENATE("Basic Table 5  Replacement Demand, ",A100,"-",A101,", by Industry Group and Qualification for ",name!$H$7)</f>
        <v xml:space="preserve">Basic Table 5  Replacement Demand, 2015-2025, by Industry Group and Qualification for </v>
      </c>
    </row>
    <row r="55" spans="1:120" x14ac:dyDescent="0.2">
      <c r="A55" s="92"/>
      <c r="B55" s="92"/>
      <c r="C55" s="92"/>
      <c r="D55" s="92"/>
      <c r="E55" s="92"/>
      <c r="F55" s="92"/>
      <c r="G55" s="92"/>
      <c r="H55" s="92"/>
      <c r="I55" s="92"/>
      <c r="J55" s="92"/>
      <c r="K55" s="92"/>
      <c r="L55" s="92"/>
      <c r="M55" s="92"/>
      <c r="N55" s="92"/>
      <c r="O55" s="92"/>
      <c r="P55" s="92"/>
      <c r="Q55" s="92"/>
      <c r="R55" s="92"/>
      <c r="S55" s="92"/>
      <c r="T55" s="92"/>
      <c r="U55" s="92"/>
      <c r="V55" s="92"/>
      <c r="W55" s="92"/>
      <c r="X55" s="116" t="str">
        <f>$X$3</f>
        <v>thousands</v>
      </c>
      <c r="Y55" s="92"/>
      <c r="Z55" s="92"/>
      <c r="AA55" s="92"/>
      <c r="AB55" s="92"/>
      <c r="AC55" s="92"/>
      <c r="AD55" s="92"/>
      <c r="AE55" s="92"/>
      <c r="AF55" s="92"/>
      <c r="AG55" s="92"/>
      <c r="AH55" s="92"/>
      <c r="AI55" s="92"/>
      <c r="AJ55" s="92"/>
      <c r="AK55" s="92"/>
      <c r="AL55" s="92"/>
      <c r="AM55" s="92"/>
      <c r="AN55" s="92"/>
      <c r="AO55" s="92"/>
      <c r="AP55" s="92"/>
      <c r="AQ55" s="92"/>
      <c r="AR55" s="92"/>
      <c r="AS55" s="92"/>
      <c r="AT55" s="92"/>
      <c r="AU55" s="92"/>
      <c r="AV55" s="116" t="str">
        <f>$X$3</f>
        <v>thousands</v>
      </c>
      <c r="AW55" s="92"/>
      <c r="AX55" s="92"/>
      <c r="AY55" s="92"/>
      <c r="AZ55" s="92"/>
      <c r="BA55" s="92"/>
      <c r="BB55" s="92"/>
      <c r="BC55" s="92"/>
      <c r="BD55" s="92"/>
      <c r="BE55" s="92"/>
      <c r="BF55" s="92"/>
      <c r="BG55" s="92"/>
      <c r="BH55" s="92"/>
      <c r="BI55" s="92"/>
      <c r="BJ55" s="92"/>
      <c r="BK55" s="92"/>
      <c r="BL55" s="92"/>
      <c r="BM55" s="92"/>
      <c r="BN55" s="92"/>
      <c r="BO55" s="92"/>
      <c r="BP55" s="92"/>
      <c r="BQ55" s="92"/>
      <c r="BR55" s="92"/>
      <c r="BS55" s="92"/>
      <c r="BT55" s="116" t="str">
        <f>$X$3</f>
        <v>thousands</v>
      </c>
      <c r="BU55" s="92"/>
      <c r="BV55" s="92"/>
      <c r="BW55" s="92"/>
      <c r="BX55" s="92"/>
      <c r="BY55" s="92"/>
      <c r="BZ55" s="92"/>
      <c r="CA55" s="92"/>
      <c r="CB55" s="92"/>
      <c r="CC55" s="92"/>
      <c r="CD55" s="92"/>
      <c r="CE55" s="92"/>
      <c r="CF55" s="92"/>
      <c r="CG55" s="92"/>
      <c r="CH55" s="92"/>
      <c r="CI55" s="92"/>
      <c r="CJ55" s="92"/>
      <c r="CK55" s="92"/>
      <c r="CL55" s="92"/>
      <c r="CM55" s="92"/>
      <c r="CN55" s="92"/>
      <c r="CO55" s="92"/>
      <c r="CP55" s="92"/>
      <c r="CQ55" s="92"/>
      <c r="CR55" s="116" t="str">
        <f>$X$3</f>
        <v>thousands</v>
      </c>
      <c r="CS55" s="92"/>
      <c r="CT55" s="92"/>
      <c r="CU55" s="92"/>
      <c r="CV55" s="92"/>
      <c r="CW55" s="92"/>
      <c r="CX55" s="92"/>
      <c r="CY55" s="92"/>
      <c r="CZ55" s="92"/>
      <c r="DA55" s="92"/>
      <c r="DB55" s="92"/>
      <c r="DC55" s="92"/>
      <c r="DD55" s="92"/>
      <c r="DE55" s="92"/>
      <c r="DF55" s="92"/>
      <c r="DG55" s="92"/>
      <c r="DH55" s="92"/>
      <c r="DI55" s="92"/>
      <c r="DJ55" s="92"/>
      <c r="DK55" s="92"/>
      <c r="DL55" s="92"/>
      <c r="DM55" s="92"/>
      <c r="DN55" s="92"/>
      <c r="DO55" s="92"/>
      <c r="DP55" s="116" t="str">
        <f>$X$3</f>
        <v>thousands</v>
      </c>
    </row>
    <row r="56" spans="1:120" x14ac:dyDescent="0.2">
      <c r="B56" s="385" t="str">
        <f>B4</f>
        <v>All qualifications</v>
      </c>
      <c r="C56" s="385"/>
      <c r="D56" s="385"/>
      <c r="E56" s="385"/>
      <c r="F56" s="385"/>
      <c r="G56" s="114"/>
      <c r="H56" s="385" t="str">
        <f>H4</f>
        <v>RQF8 Doctorate</v>
      </c>
      <c r="I56" s="385"/>
      <c r="J56" s="385"/>
      <c r="K56" s="385"/>
      <c r="L56" s="385"/>
      <c r="M56" s="114"/>
      <c r="N56" s="384" t="str">
        <f>N4</f>
        <v>RQF7 Other higher degree</v>
      </c>
      <c r="O56" s="384"/>
      <c r="P56" s="384"/>
      <c r="Q56" s="384"/>
      <c r="R56" s="384"/>
      <c r="S56" s="111"/>
      <c r="T56" s="384" t="str">
        <f>T4</f>
        <v>RQF6 First degree</v>
      </c>
      <c r="U56" s="384"/>
      <c r="V56" s="384"/>
      <c r="W56" s="384"/>
      <c r="X56" s="384"/>
      <c r="Z56" s="385" t="str">
        <f>Z4</f>
        <v>All qualifications</v>
      </c>
      <c r="AA56" s="385"/>
      <c r="AB56" s="385"/>
      <c r="AC56" s="385"/>
      <c r="AD56" s="385"/>
      <c r="AE56" s="114"/>
      <c r="AF56" s="385" t="str">
        <f>AF4</f>
        <v>RQF8 Doctorate</v>
      </c>
      <c r="AG56" s="385"/>
      <c r="AH56" s="385"/>
      <c r="AI56" s="385"/>
      <c r="AJ56" s="385"/>
      <c r="AK56" s="114"/>
      <c r="AL56" s="384" t="str">
        <f>AL4</f>
        <v>RQF7 Other higher degree</v>
      </c>
      <c r="AM56" s="384"/>
      <c r="AN56" s="384"/>
      <c r="AO56" s="384"/>
      <c r="AP56" s="384"/>
      <c r="AQ56" s="111"/>
      <c r="AR56" s="384" t="str">
        <f>AR4</f>
        <v>RQF6 First degree</v>
      </c>
      <c r="AS56" s="384"/>
      <c r="AT56" s="384"/>
      <c r="AU56" s="384"/>
      <c r="AV56" s="384"/>
      <c r="AX56" s="385" t="str">
        <f>AX4</f>
        <v>All qualifications</v>
      </c>
      <c r="AY56" s="385"/>
      <c r="AZ56" s="385"/>
      <c r="BA56" s="385"/>
      <c r="BB56" s="385"/>
      <c r="BC56" s="114"/>
      <c r="BD56" s="385" t="str">
        <f>BD4</f>
        <v>RQF8 Doctorate</v>
      </c>
      <c r="BE56" s="385"/>
      <c r="BF56" s="385"/>
      <c r="BG56" s="385"/>
      <c r="BH56" s="385"/>
      <c r="BI56" s="114"/>
      <c r="BJ56" s="384" t="str">
        <f>BJ4</f>
        <v>RQF7 Other higher degree</v>
      </c>
      <c r="BK56" s="384"/>
      <c r="BL56" s="384"/>
      <c r="BM56" s="384"/>
      <c r="BN56" s="384"/>
      <c r="BO56" s="111"/>
      <c r="BP56" s="384" t="str">
        <f>BP4</f>
        <v>RQF6 First degree</v>
      </c>
      <c r="BQ56" s="384"/>
      <c r="BR56" s="384"/>
      <c r="BS56" s="384"/>
      <c r="BT56" s="384"/>
      <c r="BV56" s="385" t="str">
        <f>BV4</f>
        <v>All qualifications</v>
      </c>
      <c r="BW56" s="385"/>
      <c r="BX56" s="385"/>
      <c r="BY56" s="385"/>
      <c r="BZ56" s="385"/>
      <c r="CA56" s="114"/>
      <c r="CB56" s="385" t="str">
        <f>CB4</f>
        <v>RQF8 Doctorate</v>
      </c>
      <c r="CC56" s="385"/>
      <c r="CD56" s="385"/>
      <c r="CE56" s="385"/>
      <c r="CF56" s="385"/>
      <c r="CG56" s="114"/>
      <c r="CH56" s="384" t="str">
        <f>CH4</f>
        <v>RQF7 Other higher degree</v>
      </c>
      <c r="CI56" s="384"/>
      <c r="CJ56" s="384"/>
      <c r="CK56" s="384"/>
      <c r="CL56" s="384"/>
      <c r="CM56" s="111"/>
      <c r="CN56" s="384" t="str">
        <f>CN4</f>
        <v>RQF6 First degree</v>
      </c>
      <c r="CO56" s="384"/>
      <c r="CP56" s="384"/>
      <c r="CQ56" s="384"/>
      <c r="CR56" s="384"/>
      <c r="CT56" s="385" t="str">
        <f>CT4</f>
        <v>All qualifications</v>
      </c>
      <c r="CU56" s="385"/>
      <c r="CV56" s="385"/>
      <c r="CW56" s="385"/>
      <c r="CX56" s="385"/>
      <c r="CY56" s="114"/>
      <c r="CZ56" s="385" t="str">
        <f>CZ4</f>
        <v>RQF8 Doctorate</v>
      </c>
      <c r="DA56" s="385"/>
      <c r="DB56" s="385"/>
      <c r="DC56" s="385"/>
      <c r="DD56" s="385"/>
      <c r="DE56" s="114"/>
      <c r="DF56" s="384" t="str">
        <f>DF4</f>
        <v>RQF7 Other higher degree</v>
      </c>
      <c r="DG56" s="384"/>
      <c r="DH56" s="384"/>
      <c r="DI56" s="384"/>
      <c r="DJ56" s="384"/>
      <c r="DK56" s="111"/>
      <c r="DL56" s="384" t="str">
        <f>DL4</f>
        <v>RQF6 First degree</v>
      </c>
      <c r="DM56" s="384"/>
      <c r="DN56" s="384"/>
      <c r="DO56" s="384"/>
      <c r="DP56" s="384"/>
    </row>
    <row r="58" spans="1:120" ht="38.25" x14ac:dyDescent="0.2">
      <c r="A58" s="113"/>
      <c r="B58" s="110" t="str">
        <f>B6</f>
        <v>RD p.a%</v>
      </c>
      <c r="C58" s="110" t="str">
        <f>C6</f>
        <v>2015 Level</v>
      </c>
      <c r="D58" s="110" t="str">
        <f>D6</f>
        <v>Net Change</v>
      </c>
      <c r="E58" s="110" t="str">
        <f>E6</f>
        <v>Replace-ment Demand</v>
      </c>
      <c r="F58" s="110" t="str">
        <f>F6</f>
        <v>Total Require-ment</v>
      </c>
      <c r="G58" s="109"/>
      <c r="H58" s="105" t="str">
        <f>B58</f>
        <v>RD p.a%</v>
      </c>
      <c r="I58" s="105" t="str">
        <f>C58</f>
        <v>2015 Level</v>
      </c>
      <c r="J58" s="105" t="str">
        <f>D58</f>
        <v>Net Change</v>
      </c>
      <c r="K58" s="105" t="str">
        <f>E58</f>
        <v>Replace-ment Demand</v>
      </c>
      <c r="L58" s="105" t="str">
        <f>F58</f>
        <v>Total Require-ment</v>
      </c>
      <c r="M58" s="104"/>
      <c r="N58" s="106" t="str">
        <f>H58</f>
        <v>RD p.a%</v>
      </c>
      <c r="O58" s="106" t="str">
        <f>I58</f>
        <v>2015 Level</v>
      </c>
      <c r="P58" s="106" t="str">
        <f>J58</f>
        <v>Net Change</v>
      </c>
      <c r="Q58" s="106" t="str">
        <f>K58</f>
        <v>Replace-ment Demand</v>
      </c>
      <c r="R58" s="106" t="str">
        <f>L58</f>
        <v>Total Require-ment</v>
      </c>
      <c r="S58" s="104"/>
      <c r="T58" s="106" t="str">
        <f>N58</f>
        <v>RD p.a%</v>
      </c>
      <c r="U58" s="106" t="str">
        <f>O58</f>
        <v>2015 Level</v>
      </c>
      <c r="V58" s="106" t="str">
        <f>P58</f>
        <v>Net Change</v>
      </c>
      <c r="W58" s="106" t="str">
        <f>Q58</f>
        <v>Replace-ment Demand</v>
      </c>
      <c r="X58" s="106" t="str">
        <f>R58</f>
        <v>Total Require-ment</v>
      </c>
      <c r="Y58" s="113"/>
      <c r="Z58" s="110" t="str">
        <f>Z6</f>
        <v>RD p.a%</v>
      </c>
      <c r="AA58" s="110" t="str">
        <f>AA6</f>
        <v>2015 Level</v>
      </c>
      <c r="AB58" s="110" t="str">
        <f>AB6</f>
        <v>Net Change</v>
      </c>
      <c r="AC58" s="110" t="str">
        <f>AC6</f>
        <v>Replace-ment Demand</v>
      </c>
      <c r="AD58" s="110" t="str">
        <f>AD6</f>
        <v>Total Require-ment</v>
      </c>
      <c r="AE58" s="109"/>
      <c r="AF58" s="105" t="str">
        <f>Z58</f>
        <v>RD p.a%</v>
      </c>
      <c r="AG58" s="105" t="str">
        <f>AA58</f>
        <v>2015 Level</v>
      </c>
      <c r="AH58" s="105" t="str">
        <f>AB58</f>
        <v>Net Change</v>
      </c>
      <c r="AI58" s="105" t="str">
        <f>AC58</f>
        <v>Replace-ment Demand</v>
      </c>
      <c r="AJ58" s="105" t="str">
        <f>AD58</f>
        <v>Total Require-ment</v>
      </c>
      <c r="AK58" s="104"/>
      <c r="AL58" s="106" t="str">
        <f>AF58</f>
        <v>RD p.a%</v>
      </c>
      <c r="AM58" s="106" t="str">
        <f>AG58</f>
        <v>2015 Level</v>
      </c>
      <c r="AN58" s="106" t="str">
        <f>AH58</f>
        <v>Net Change</v>
      </c>
      <c r="AO58" s="106" t="str">
        <f>AI58</f>
        <v>Replace-ment Demand</v>
      </c>
      <c r="AP58" s="106" t="str">
        <f>AJ58</f>
        <v>Total Require-ment</v>
      </c>
      <c r="AQ58" s="104"/>
      <c r="AR58" s="106" t="str">
        <f>AL58</f>
        <v>RD p.a%</v>
      </c>
      <c r="AS58" s="106" t="str">
        <f>AM58</f>
        <v>2015 Level</v>
      </c>
      <c r="AT58" s="106" t="str">
        <f>AN58</f>
        <v>Net Change</v>
      </c>
      <c r="AU58" s="106" t="str">
        <f>AO58</f>
        <v>Replace-ment Demand</v>
      </c>
      <c r="AV58" s="106" t="str">
        <f>AP58</f>
        <v>Total Require-ment</v>
      </c>
      <c r="AW58" s="113"/>
      <c r="AX58" s="110" t="str">
        <f>AX6</f>
        <v>RD p.a%</v>
      </c>
      <c r="AY58" s="110" t="str">
        <f>AY6</f>
        <v>2015 Level</v>
      </c>
      <c r="AZ58" s="110" t="str">
        <f>AZ6</f>
        <v>Net Change</v>
      </c>
      <c r="BA58" s="110" t="str">
        <f>BA6</f>
        <v>Replace-ment Demand</v>
      </c>
      <c r="BB58" s="110" t="str">
        <f>BB6</f>
        <v>Total Require-ment</v>
      </c>
      <c r="BC58" s="109"/>
      <c r="BD58" s="105" t="str">
        <f>AX58</f>
        <v>RD p.a%</v>
      </c>
      <c r="BE58" s="105" t="str">
        <f>AY58</f>
        <v>2015 Level</v>
      </c>
      <c r="BF58" s="105" t="str">
        <f>AZ58</f>
        <v>Net Change</v>
      </c>
      <c r="BG58" s="105" t="str">
        <f>BA58</f>
        <v>Replace-ment Demand</v>
      </c>
      <c r="BH58" s="105" t="str">
        <f>BB58</f>
        <v>Total Require-ment</v>
      </c>
      <c r="BI58" s="104"/>
      <c r="BJ58" s="106" t="str">
        <f>BD58</f>
        <v>RD p.a%</v>
      </c>
      <c r="BK58" s="106" t="str">
        <f>BE58</f>
        <v>2015 Level</v>
      </c>
      <c r="BL58" s="106" t="str">
        <f>BF58</f>
        <v>Net Change</v>
      </c>
      <c r="BM58" s="106" t="str">
        <f>BG58</f>
        <v>Replace-ment Demand</v>
      </c>
      <c r="BN58" s="106" t="str">
        <f>BH58</f>
        <v>Total Require-ment</v>
      </c>
      <c r="BO58" s="104"/>
      <c r="BP58" s="106" t="str">
        <f>BJ58</f>
        <v>RD p.a%</v>
      </c>
      <c r="BQ58" s="106" t="str">
        <f>BK58</f>
        <v>2015 Level</v>
      </c>
      <c r="BR58" s="106" t="str">
        <f>BL58</f>
        <v>Net Change</v>
      </c>
      <c r="BS58" s="106" t="str">
        <f>BM58</f>
        <v>Replace-ment Demand</v>
      </c>
      <c r="BT58" s="106" t="str">
        <f>BN58</f>
        <v>Total Require-ment</v>
      </c>
      <c r="BU58" s="113"/>
      <c r="BV58" s="110" t="str">
        <f>BV6</f>
        <v>RD p.a%</v>
      </c>
      <c r="BW58" s="110" t="str">
        <f>BW6</f>
        <v>2015 Level</v>
      </c>
      <c r="BX58" s="110" t="str">
        <f>BX6</f>
        <v>Net Change</v>
      </c>
      <c r="BY58" s="110" t="str">
        <f>BY6</f>
        <v>Replace-ment Demand</v>
      </c>
      <c r="BZ58" s="110" t="str">
        <f>BZ6</f>
        <v>Total Require-ment</v>
      </c>
      <c r="CA58" s="109"/>
      <c r="CB58" s="105" t="str">
        <f>BV58</f>
        <v>RD p.a%</v>
      </c>
      <c r="CC58" s="105" t="str">
        <f>BW58</f>
        <v>2015 Level</v>
      </c>
      <c r="CD58" s="105" t="str">
        <f>BX58</f>
        <v>Net Change</v>
      </c>
      <c r="CE58" s="105" t="str">
        <f>BY58</f>
        <v>Replace-ment Demand</v>
      </c>
      <c r="CF58" s="105" t="str">
        <f>BZ58</f>
        <v>Total Require-ment</v>
      </c>
      <c r="CG58" s="104"/>
      <c r="CH58" s="106" t="str">
        <f>CB58</f>
        <v>RD p.a%</v>
      </c>
      <c r="CI58" s="106" t="str">
        <f>CC58</f>
        <v>2015 Level</v>
      </c>
      <c r="CJ58" s="106" t="str">
        <f>CD58</f>
        <v>Net Change</v>
      </c>
      <c r="CK58" s="106" t="str">
        <f>CE58</f>
        <v>Replace-ment Demand</v>
      </c>
      <c r="CL58" s="106" t="str">
        <f>CF58</f>
        <v>Total Require-ment</v>
      </c>
      <c r="CM58" s="104"/>
      <c r="CN58" s="106" t="str">
        <f>CH58</f>
        <v>RD p.a%</v>
      </c>
      <c r="CO58" s="106" t="str">
        <f>CI58</f>
        <v>2015 Level</v>
      </c>
      <c r="CP58" s="106" t="str">
        <f>CJ58</f>
        <v>Net Change</v>
      </c>
      <c r="CQ58" s="106" t="str">
        <f>CK58</f>
        <v>Replace-ment Demand</v>
      </c>
      <c r="CR58" s="106" t="str">
        <f>CL58</f>
        <v>Total Require-ment</v>
      </c>
      <c r="CS58" s="113"/>
      <c r="CT58" s="110" t="str">
        <f>CT6</f>
        <v>RD p.a%</v>
      </c>
      <c r="CU58" s="110" t="str">
        <f>CU6</f>
        <v>2015 Level</v>
      </c>
      <c r="CV58" s="110" t="str">
        <f>CV6</f>
        <v>Net Change</v>
      </c>
      <c r="CW58" s="110" t="str">
        <f>CW6</f>
        <v>Replace-ment Demand</v>
      </c>
      <c r="CX58" s="110" t="str">
        <f>CX6</f>
        <v>Total Require-ment</v>
      </c>
      <c r="CY58" s="109"/>
      <c r="CZ58" s="105" t="str">
        <f>CT58</f>
        <v>RD p.a%</v>
      </c>
      <c r="DA58" s="105" t="str">
        <f>CU58</f>
        <v>2015 Level</v>
      </c>
      <c r="DB58" s="105" t="str">
        <f>CV58</f>
        <v>Net Change</v>
      </c>
      <c r="DC58" s="105" t="str">
        <f>CW58</f>
        <v>Replace-ment Demand</v>
      </c>
      <c r="DD58" s="105" t="str">
        <f>CX58</f>
        <v>Total Require-ment</v>
      </c>
      <c r="DE58" s="104"/>
      <c r="DF58" s="106" t="str">
        <f>CZ58</f>
        <v>RD p.a%</v>
      </c>
      <c r="DG58" s="106" t="str">
        <f>DA58</f>
        <v>2015 Level</v>
      </c>
      <c r="DH58" s="106" t="str">
        <f>DB58</f>
        <v>Net Change</v>
      </c>
      <c r="DI58" s="106" t="str">
        <f>DC58</f>
        <v>Replace-ment Demand</v>
      </c>
      <c r="DJ58" s="106" t="str">
        <f>DD58</f>
        <v>Total Require-ment</v>
      </c>
      <c r="DK58" s="104"/>
      <c r="DL58" s="106" t="str">
        <f>DF58</f>
        <v>RD p.a%</v>
      </c>
      <c r="DM58" s="106" t="str">
        <f>DG58</f>
        <v>2015 Level</v>
      </c>
      <c r="DN58" s="106" t="str">
        <f>DH58</f>
        <v>Net Change</v>
      </c>
      <c r="DO58" s="106" t="str">
        <f>DI58</f>
        <v>Replace-ment Demand</v>
      </c>
      <c r="DP58" s="106" t="str">
        <f>DJ58</f>
        <v>Total Require-ment</v>
      </c>
    </row>
    <row r="60" spans="1:120" x14ac:dyDescent="0.2">
      <c r="A60" s="91" t="e">
        <f>name!#REF!</f>
        <v>#REF!</v>
      </c>
      <c r="B60" s="40" t="e">
        <f t="shared" ref="B60:B77" si="44">IF(C60&gt;0,((1+(E60/C60))^(1/($A$101-$A$100))-1)*100,0)</f>
        <v>#VALUE!</v>
      </c>
      <c r="C60" s="94" t="e">
        <f t="array" ref="C60:C75">MMULT(aggregation!$B$3:$W$8,C8:C48)</f>
        <v>#VALUE!</v>
      </c>
      <c r="D60" s="94" t="e">
        <f t="array" ref="D60:D75">MMULT(aggregation!$B$3:$W$8,D8:D48)</f>
        <v>#VALUE!</v>
      </c>
      <c r="E60" s="94" t="e">
        <f t="array" ref="E60:E75">MMULT(aggregation!$B$3:$W$8,E8:E48)</f>
        <v>#VALUE!</v>
      </c>
      <c r="F60" s="94" t="e">
        <f t="array" ref="F60:F75">MMULT(aggregation!$B$3:$W$8,F8:F48)</f>
        <v>#VALUE!</v>
      </c>
      <c r="H60" s="40" t="e">
        <f t="shared" ref="H60:H77" si="45">IF(I60&gt;0,((1+(K60/I60))^(1/($A$101-$A$100))-1)*100,0)</f>
        <v>#VALUE!</v>
      </c>
      <c r="I60" s="94" t="e">
        <f t="array" ref="I60:I75">MMULT(aggregation!$B$3:$W$8,I8:I48)</f>
        <v>#VALUE!</v>
      </c>
      <c r="J60" s="94" t="e">
        <f t="array" ref="J60:J75">MMULT(aggregation!$B$3:$W$8,J8:J48)</f>
        <v>#VALUE!</v>
      </c>
      <c r="K60" s="94" t="e">
        <f t="array" ref="K60:K75">MMULT(aggregation!$B$3:$W$8,K8:K48)</f>
        <v>#VALUE!</v>
      </c>
      <c r="L60" s="94" t="e">
        <f t="array" ref="L60:L75">MMULT(aggregation!$B$3:$W$8,L8:L48)</f>
        <v>#VALUE!</v>
      </c>
      <c r="N60" s="40" t="e">
        <f t="shared" ref="N60:N77" si="46">IF(O60&gt;0,((1+(Q60/O60))^(1/($A$101-$A$100))-1)*100,0)</f>
        <v>#VALUE!</v>
      </c>
      <c r="O60" s="94" t="e">
        <f t="array" ref="O60:O75">MMULT(aggregation!$B$3:$W$8,O8:O48)</f>
        <v>#VALUE!</v>
      </c>
      <c r="P60" s="94" t="e">
        <f t="array" ref="P60:P75">MMULT(aggregation!$B$3:$W$8,P8:P48)</f>
        <v>#VALUE!</v>
      </c>
      <c r="Q60" s="94" t="e">
        <f t="array" ref="Q60:Q75">MMULT(aggregation!$B$3:$W$8,Q8:Q48)</f>
        <v>#VALUE!</v>
      </c>
      <c r="R60" s="94" t="e">
        <f t="array" ref="R60:R75">MMULT(aggregation!$B$3:$W$8,R8:R48)</f>
        <v>#VALUE!</v>
      </c>
      <c r="S60" s="94"/>
      <c r="T60" s="40" t="e">
        <f t="shared" ref="T60:T77" si="47">IF(U60&gt;0,((1+(W60/U60))^(1/($A$101-$A$100))-1)*100,0)</f>
        <v>#VALUE!</v>
      </c>
      <c r="U60" s="94" t="e">
        <f t="array" ref="U60:U75">MMULT(aggregation!$B$3:$W$8,U8:U48)</f>
        <v>#VALUE!</v>
      </c>
      <c r="V60" s="94" t="e">
        <f t="array" ref="V60:V75">MMULT(aggregation!$B$3:$W$8,V8:V48)</f>
        <v>#VALUE!</v>
      </c>
      <c r="W60" s="94" t="e">
        <f t="array" ref="W60:W75">MMULT(aggregation!$B$3:$W$8,W8:W48)</f>
        <v>#VALUE!</v>
      </c>
      <c r="X60" s="94" t="e">
        <f t="array" ref="X60:X75">MMULT(aggregation!$B$3:$W$8,X8:X48)</f>
        <v>#VALUE!</v>
      </c>
      <c r="Y60" s="91" t="e">
        <f>A60</f>
        <v>#REF!</v>
      </c>
      <c r="Z60" s="40" t="e">
        <f t="shared" ref="Z60:Z75" si="48">IF(AA60&gt;0,((1+(AC60/AA60))^(1/($A$101-$A$100))-1)*100,0)</f>
        <v>#VALUE!</v>
      </c>
      <c r="AA60" s="94" t="e">
        <f t="array" ref="AA60:AA75">MMULT(aggregation!$B$3:$W$8,AA8:AA48)</f>
        <v>#VALUE!</v>
      </c>
      <c r="AB60" s="94" t="e">
        <f t="array" ref="AB60:AB75">MMULT(aggregation!$B$3:$W$8,AB8:AB48)</f>
        <v>#VALUE!</v>
      </c>
      <c r="AC60" s="94" t="e">
        <f t="array" ref="AC60:AC75">MMULT(aggregation!$B$3:$W$8,AC8:AC48)</f>
        <v>#VALUE!</v>
      </c>
      <c r="AD60" s="94" t="e">
        <f t="array" ref="AD60:AD75">MMULT(aggregation!$B$3:$W$8,AD8:AD48)</f>
        <v>#VALUE!</v>
      </c>
      <c r="AF60" s="40" t="e">
        <f t="shared" ref="AF60:AF75" si="49">IF(AG60&gt;0,((1+(AI60/AG60))^(1/($A$101-$A$100))-1)*100,0)</f>
        <v>#VALUE!</v>
      </c>
      <c r="AG60" s="94" t="e">
        <f t="array" ref="AG60:AG75">MMULT(aggregation!$B$3:$W$8,AG8:AG48)</f>
        <v>#VALUE!</v>
      </c>
      <c r="AH60" s="94" t="e">
        <f t="array" ref="AH60:AH75">MMULT(aggregation!$B$3:$W$8,AH8:AH48)</f>
        <v>#VALUE!</v>
      </c>
      <c r="AI60" s="94" t="e">
        <f t="array" ref="AI60:AI75">MMULT(aggregation!$B$3:$W$8,AI8:AI48)</f>
        <v>#VALUE!</v>
      </c>
      <c r="AJ60" s="94" t="e">
        <f t="array" ref="AJ60:AJ75">MMULT(aggregation!$B$3:$W$8,AJ8:AJ48)</f>
        <v>#VALUE!</v>
      </c>
      <c r="AL60" s="40" t="e">
        <f t="shared" ref="AL60:AL75" si="50">IF(AM60&gt;0,((1+(AO60/AM60))^(1/($A$101-$A$100))-1)*100,0)</f>
        <v>#VALUE!</v>
      </c>
      <c r="AM60" s="94" t="e">
        <f t="array" ref="AM60:AM75">MMULT(aggregation!$B$3:$W$8,AM8:AM48)</f>
        <v>#VALUE!</v>
      </c>
      <c r="AN60" s="94" t="e">
        <f t="array" ref="AN60:AN75">MMULT(aggregation!$B$3:$W$8,AN8:AN48)</f>
        <v>#VALUE!</v>
      </c>
      <c r="AO60" s="94" t="e">
        <f t="array" ref="AO60:AO75">MMULT(aggregation!$B$3:$W$8,AO8:AO48)</f>
        <v>#VALUE!</v>
      </c>
      <c r="AP60" s="94" t="e">
        <f t="array" ref="AP60:AP75">MMULT(aggregation!$B$3:$W$8,AP8:AP48)</f>
        <v>#VALUE!</v>
      </c>
      <c r="AQ60" s="94"/>
      <c r="AR60" s="40" t="e">
        <f t="shared" ref="AR60:AR75" si="51">IF(AS60&gt;0,((1+(AU60/AS60))^(1/($A$101-$A$100))-1)*100,0)</f>
        <v>#VALUE!</v>
      </c>
      <c r="AS60" s="94" t="e">
        <f t="array" ref="AS60:AS75">MMULT(aggregation!$B$3:$W$8,AS8:AS48)</f>
        <v>#VALUE!</v>
      </c>
      <c r="AT60" s="94" t="e">
        <f t="array" ref="AT60:AT75">MMULT(aggregation!$B$3:$W$8,AT8:AT48)</f>
        <v>#VALUE!</v>
      </c>
      <c r="AU60" s="94" t="e">
        <f t="array" ref="AU60:AU75">MMULT(aggregation!$B$3:$W$8,AU8:AU48)</f>
        <v>#VALUE!</v>
      </c>
      <c r="AV60" s="94" t="e">
        <f t="array" ref="AV60:AV75">MMULT(aggregation!$B$3:$W$8,AV8:AV48)</f>
        <v>#VALUE!</v>
      </c>
      <c r="AW60" s="91" t="e">
        <f>Y60</f>
        <v>#REF!</v>
      </c>
      <c r="AX60" s="40" t="e">
        <f t="shared" ref="AX60:AX75" si="52">IF(AY60&gt;0,((1+(BA60/AY60))^(1/($A$101-$A$100))-1)*100,0)</f>
        <v>#VALUE!</v>
      </c>
      <c r="AY60" s="94" t="e">
        <f t="array" ref="AY60:AY75">MMULT(aggregation!$B$3:$W$8,AY8:AY48)</f>
        <v>#VALUE!</v>
      </c>
      <c r="AZ60" s="94" t="e">
        <f t="array" ref="AZ60:AZ75">MMULT(aggregation!$B$3:$W$8,AZ8:AZ48)</f>
        <v>#VALUE!</v>
      </c>
      <c r="BA60" s="94" t="e">
        <f t="array" ref="BA60:BA75">MMULT(aggregation!$B$3:$W$8,BA8:BA48)</f>
        <v>#VALUE!</v>
      </c>
      <c r="BB60" s="94" t="e">
        <f t="array" ref="BB60:BB75">MMULT(aggregation!$B$3:$W$8,BB8:BB48)</f>
        <v>#VALUE!</v>
      </c>
      <c r="BD60" s="40" t="e">
        <f t="shared" ref="BD60:BD75" si="53">IF(BE60&gt;0,((1+(BG60/BE60))^(1/($A$101-$A$100))-1)*100,0)</f>
        <v>#VALUE!</v>
      </c>
      <c r="BE60" s="94" t="e">
        <f t="array" ref="BE60:BE75">MMULT(aggregation!$B$3:$W$8,BE8:BE48)</f>
        <v>#VALUE!</v>
      </c>
      <c r="BF60" s="94" t="e">
        <f t="array" ref="BF60:BF75">MMULT(aggregation!$B$3:$W$8,BF8:BF48)</f>
        <v>#VALUE!</v>
      </c>
      <c r="BG60" s="94" t="e">
        <f t="array" ref="BG60:BG75">MMULT(aggregation!$B$3:$W$8,BG8:BG48)</f>
        <v>#VALUE!</v>
      </c>
      <c r="BH60" s="94" t="e">
        <f t="array" ref="BH60:BH75">MMULT(aggregation!$B$3:$W$8,BH8:BH48)</f>
        <v>#VALUE!</v>
      </c>
      <c r="BJ60" s="40" t="e">
        <f t="shared" ref="BJ60:BJ75" si="54">IF(BK60&gt;0,((1+(BM60/BK60))^(1/($A$101-$A$100))-1)*100,0)</f>
        <v>#VALUE!</v>
      </c>
      <c r="BK60" s="94" t="e">
        <f t="array" ref="BK60:BK75">MMULT(aggregation!$B$3:$W$8,BK8:BK48)</f>
        <v>#VALUE!</v>
      </c>
      <c r="BL60" s="94" t="e">
        <f t="array" ref="BL60:BL75">MMULT(aggregation!$B$3:$W$8,BL8:BL48)</f>
        <v>#VALUE!</v>
      </c>
      <c r="BM60" s="94" t="e">
        <f t="array" ref="BM60:BM75">MMULT(aggregation!$B$3:$W$8,BM8:BM48)</f>
        <v>#VALUE!</v>
      </c>
      <c r="BN60" s="94" t="e">
        <f t="array" ref="BN60:BN75">MMULT(aggregation!$B$3:$W$8,BN8:BN48)</f>
        <v>#VALUE!</v>
      </c>
      <c r="BO60" s="94"/>
      <c r="BP60" s="40" t="e">
        <f t="shared" ref="BP60:BP75" si="55">IF(BQ60&gt;0,((1+(BS60/BQ60))^(1/($A$101-$A$100))-1)*100,0)</f>
        <v>#VALUE!</v>
      </c>
      <c r="BQ60" s="94" t="e">
        <f t="array" ref="BQ60:BQ75">MMULT(aggregation!$B$3:$W$8,BQ8:BQ48)</f>
        <v>#VALUE!</v>
      </c>
      <c r="BR60" s="94" t="e">
        <f t="array" ref="BR60:BR75">MMULT(aggregation!$B$3:$W$8,BR8:BR48)</f>
        <v>#VALUE!</v>
      </c>
      <c r="BS60" s="94" t="e">
        <f t="array" ref="BS60:BS75">MMULT(aggregation!$B$3:$W$8,BS8:BS48)</f>
        <v>#VALUE!</v>
      </c>
      <c r="BT60" s="94" t="e">
        <f t="array" ref="BT60:BT75">MMULT(aggregation!$B$3:$W$8,BT8:BT48)</f>
        <v>#VALUE!</v>
      </c>
      <c r="BU60" s="91" t="e">
        <f>AW60</f>
        <v>#REF!</v>
      </c>
      <c r="BV60" s="40" t="e">
        <f t="shared" ref="BV60:BV75" si="56">IF(BW60&gt;0,((1+(BY60/BW60))^(1/($A$101-$A$100))-1)*100,0)</f>
        <v>#VALUE!</v>
      </c>
      <c r="BW60" s="94" t="e">
        <f t="array" ref="BW60:BW75">MMULT(aggregation!$B$3:$W$8,BW8:BW48)</f>
        <v>#VALUE!</v>
      </c>
      <c r="BX60" s="94" t="e">
        <f t="array" ref="BX60:BX75">MMULT(aggregation!$B$3:$W$8,BX8:BX48)</f>
        <v>#VALUE!</v>
      </c>
      <c r="BY60" s="94" t="e">
        <f t="array" ref="BY60:BY75">MMULT(aggregation!$B$3:$W$8,BY8:BY48)</f>
        <v>#VALUE!</v>
      </c>
      <c r="BZ60" s="94" t="e">
        <f t="array" ref="BZ60:BZ75">MMULT(aggregation!$B$3:$W$8,BZ8:BZ48)</f>
        <v>#VALUE!</v>
      </c>
      <c r="CB60" s="40" t="e">
        <f t="shared" ref="CB60:CB75" si="57">IF(CC60&gt;0,((1+(CE60/CC60))^(1/($A$101-$A$100))-1)*100,0)</f>
        <v>#VALUE!</v>
      </c>
      <c r="CC60" s="94" t="e">
        <f t="array" ref="CC60:CC75">MMULT(aggregation!$B$3:$W$8,CC8:CC48)</f>
        <v>#VALUE!</v>
      </c>
      <c r="CD60" s="94" t="e">
        <f t="array" ref="CD60:CD75">MMULT(aggregation!$B$3:$W$8,CD8:CD48)</f>
        <v>#VALUE!</v>
      </c>
      <c r="CE60" s="94" t="e">
        <f t="array" ref="CE60:CE75">MMULT(aggregation!$B$3:$W$8,CE8:CE48)</f>
        <v>#VALUE!</v>
      </c>
      <c r="CF60" s="94" t="e">
        <f t="array" ref="CF60:CF75">MMULT(aggregation!$B$3:$W$8,CF8:CF48)</f>
        <v>#VALUE!</v>
      </c>
      <c r="CH60" s="40" t="e">
        <f t="shared" ref="CH60:CH75" si="58">IF(CI60&gt;0,((1+(CK60/CI60))^(1/($A$101-$A$100))-1)*100,0)</f>
        <v>#VALUE!</v>
      </c>
      <c r="CI60" s="94" t="e">
        <f t="array" ref="CI60:CI75">MMULT(aggregation!$B$3:$W$8,CI8:CI48)</f>
        <v>#VALUE!</v>
      </c>
      <c r="CJ60" s="94" t="e">
        <f t="array" ref="CJ60:CJ75">MMULT(aggregation!$B$3:$W$8,CJ8:CJ48)</f>
        <v>#VALUE!</v>
      </c>
      <c r="CK60" s="94" t="e">
        <f t="array" ref="CK60:CK75">MMULT(aggregation!$B$3:$W$8,CK8:CK48)</f>
        <v>#VALUE!</v>
      </c>
      <c r="CL60" s="94" t="e">
        <f t="array" ref="CL60:CL75">MMULT(aggregation!$B$3:$W$8,CL8:CL48)</f>
        <v>#VALUE!</v>
      </c>
      <c r="CM60" s="94"/>
      <c r="CN60" s="40" t="e">
        <f t="shared" ref="CN60:CN75" si="59">IF(CO60&gt;0,((1+(CQ60/CO60))^(1/($A$101-$A$100))-1)*100,0)</f>
        <v>#VALUE!</v>
      </c>
      <c r="CO60" s="94" t="e">
        <f t="array" ref="CO60:CO75">MMULT(aggregation!$B$3:$W$8,CO8:CO48)</f>
        <v>#VALUE!</v>
      </c>
      <c r="CP60" s="94" t="e">
        <f t="array" ref="CP60:CP75">MMULT(aggregation!$B$3:$W$8,CP8:CP48)</f>
        <v>#VALUE!</v>
      </c>
      <c r="CQ60" s="94" t="e">
        <f t="array" ref="CQ60:CQ75">MMULT(aggregation!$B$3:$W$8,CQ8:CQ48)</f>
        <v>#VALUE!</v>
      </c>
      <c r="CR60" s="94" t="e">
        <f t="array" ref="CR60:CR75">MMULT(aggregation!$B$3:$W$8,CR8:CR48)</f>
        <v>#VALUE!</v>
      </c>
      <c r="CS60" s="91" t="e">
        <f>BU60</f>
        <v>#REF!</v>
      </c>
      <c r="CT60" s="40" t="e">
        <f t="shared" ref="CT60:CT75" si="60">IF(CU60&gt;0,((1+(CW60/CU60))^(1/($A$101-$A$100))-1)*100,0)</f>
        <v>#VALUE!</v>
      </c>
      <c r="CU60" s="94" t="e">
        <f t="array" ref="CU60:CU75">MMULT(aggregation!$B$3:$W$8,CU8:CU48)</f>
        <v>#VALUE!</v>
      </c>
      <c r="CV60" s="94" t="e">
        <f t="array" ref="CV60:CV75">MMULT(aggregation!$B$3:$W$8,CV8:CV48)</f>
        <v>#VALUE!</v>
      </c>
      <c r="CW60" s="94" t="e">
        <f t="array" ref="CW60:CW75">MMULT(aggregation!$B$3:$W$8,CW8:CW48)</f>
        <v>#VALUE!</v>
      </c>
      <c r="CX60" s="94" t="e">
        <f t="array" ref="CX60:CX75">MMULT(aggregation!$B$3:$W$8,CX8:CX48)</f>
        <v>#VALUE!</v>
      </c>
      <c r="CZ60" s="40" t="e">
        <f t="shared" ref="CZ60:CZ75" si="61">IF(DA60&gt;0,((1+(DC60/DA60))^(1/($A$101-$A$100))-1)*100,0)</f>
        <v>#VALUE!</v>
      </c>
      <c r="DA60" s="94" t="e">
        <f t="array" ref="DA60:DA75">MMULT(aggregation!$B$3:$W$8,DA8:DA48)</f>
        <v>#VALUE!</v>
      </c>
      <c r="DB60" s="94" t="e">
        <f t="array" ref="DB60:DB75">MMULT(aggregation!$B$3:$W$8,DB8:DB48)</f>
        <v>#VALUE!</v>
      </c>
      <c r="DC60" s="94" t="e">
        <f t="array" ref="DC60:DC75">MMULT(aggregation!$B$3:$W$8,DC8:DC48)</f>
        <v>#VALUE!</v>
      </c>
      <c r="DD60" s="94" t="e">
        <f t="array" ref="DD60:DD75">MMULT(aggregation!$B$3:$W$8,DD8:DD48)</f>
        <v>#VALUE!</v>
      </c>
      <c r="DF60" s="40" t="e">
        <f t="shared" ref="DF60:DF75" si="62">IF(DG60&gt;0,((1+(DI60/DG60))^(1/($A$101-$A$100))-1)*100,0)</f>
        <v>#VALUE!</v>
      </c>
      <c r="DG60" s="94" t="e">
        <f t="array" ref="DG60:DG75">MMULT(aggregation!$B$3:$W$8,DG8:DG48)</f>
        <v>#VALUE!</v>
      </c>
      <c r="DH60" s="94" t="e">
        <f t="array" ref="DH60:DH75">MMULT(aggregation!$B$3:$W$8,DH8:DH48)</f>
        <v>#VALUE!</v>
      </c>
      <c r="DI60" s="94" t="e">
        <f t="array" ref="DI60:DI75">MMULT(aggregation!$B$3:$W$8,DI8:DI48)</f>
        <v>#VALUE!</v>
      </c>
      <c r="DJ60" s="94" t="e">
        <f t="array" ref="DJ60:DJ75">MMULT(aggregation!$B$3:$W$8,DJ8:DJ48)</f>
        <v>#VALUE!</v>
      </c>
      <c r="DK60" s="94"/>
      <c r="DL60" s="40" t="e">
        <f t="shared" ref="DL60:DL75" si="63">IF(DM60&gt;0,((1+(DO60/DM60))^(1/($A$101-$A$100))-1)*100,0)</f>
        <v>#VALUE!</v>
      </c>
      <c r="DM60" s="94" t="e">
        <f t="array" ref="DM60:DM75">MMULT(aggregation!$B$3:$W$8,DM8:DM48)</f>
        <v>#VALUE!</v>
      </c>
      <c r="DN60" s="94" t="e">
        <f t="array" ref="DN60:DN75">MMULT(aggregation!$B$3:$W$8,DN8:DN48)</f>
        <v>#VALUE!</v>
      </c>
      <c r="DO60" s="94" t="e">
        <f t="array" ref="DO60:DO75">MMULT(aggregation!$B$3:$W$8,DO8:DO48)</f>
        <v>#VALUE!</v>
      </c>
      <c r="DP60" s="94" t="e">
        <f t="array" ref="DP60:DP75">MMULT(aggregation!$B$3:$W$8,DP8:DP48)</f>
        <v>#VALUE!</v>
      </c>
    </row>
    <row r="61" spans="1:120" x14ac:dyDescent="0.2">
      <c r="A61" s="91" t="e">
        <f>name!#REF!</f>
        <v>#REF!</v>
      </c>
      <c r="B61" s="40" t="e">
        <f t="shared" si="44"/>
        <v>#VALUE!</v>
      </c>
      <c r="C61" s="94" t="e">
        <v>#VALUE!</v>
      </c>
      <c r="D61" s="94" t="e">
        <v>#VALUE!</v>
      </c>
      <c r="E61" s="94" t="e">
        <v>#VALUE!</v>
      </c>
      <c r="F61" s="94" t="e">
        <v>#VALUE!</v>
      </c>
      <c r="H61" s="40" t="e">
        <f t="shared" si="45"/>
        <v>#VALUE!</v>
      </c>
      <c r="I61" s="94" t="e">
        <v>#VALUE!</v>
      </c>
      <c r="J61" s="94" t="e">
        <v>#VALUE!</v>
      </c>
      <c r="K61" s="94" t="e">
        <v>#VALUE!</v>
      </c>
      <c r="L61" s="94" t="e">
        <v>#VALUE!</v>
      </c>
      <c r="N61" s="40" t="e">
        <f t="shared" si="46"/>
        <v>#VALUE!</v>
      </c>
      <c r="O61" s="94" t="e">
        <v>#VALUE!</v>
      </c>
      <c r="P61" s="94" t="e">
        <v>#VALUE!</v>
      </c>
      <c r="Q61" s="94" t="e">
        <v>#VALUE!</v>
      </c>
      <c r="R61" s="94" t="e">
        <v>#VALUE!</v>
      </c>
      <c r="S61" s="94"/>
      <c r="T61" s="40" t="e">
        <f t="shared" si="47"/>
        <v>#VALUE!</v>
      </c>
      <c r="U61" s="94" t="e">
        <v>#VALUE!</v>
      </c>
      <c r="V61" s="94" t="e">
        <v>#VALUE!</v>
      </c>
      <c r="W61" s="94" t="e">
        <v>#VALUE!</v>
      </c>
      <c r="X61" s="94" t="e">
        <v>#VALUE!</v>
      </c>
      <c r="Y61" s="91" t="e">
        <f t="shared" ref="Y61:Y75" si="64">A61</f>
        <v>#REF!</v>
      </c>
      <c r="Z61" s="40" t="e">
        <f t="shared" si="48"/>
        <v>#VALUE!</v>
      </c>
      <c r="AA61" s="94" t="e">
        <v>#VALUE!</v>
      </c>
      <c r="AB61" s="94" t="e">
        <v>#VALUE!</v>
      </c>
      <c r="AC61" s="94" t="e">
        <v>#VALUE!</v>
      </c>
      <c r="AD61" s="94" t="e">
        <v>#VALUE!</v>
      </c>
      <c r="AF61" s="40" t="e">
        <f t="shared" si="49"/>
        <v>#VALUE!</v>
      </c>
      <c r="AG61" s="94" t="e">
        <v>#VALUE!</v>
      </c>
      <c r="AH61" s="94" t="e">
        <v>#VALUE!</v>
      </c>
      <c r="AI61" s="94" t="e">
        <v>#VALUE!</v>
      </c>
      <c r="AJ61" s="94" t="e">
        <v>#VALUE!</v>
      </c>
      <c r="AL61" s="40" t="e">
        <f t="shared" si="50"/>
        <v>#VALUE!</v>
      </c>
      <c r="AM61" s="94" t="e">
        <v>#VALUE!</v>
      </c>
      <c r="AN61" s="94" t="e">
        <v>#VALUE!</v>
      </c>
      <c r="AO61" s="94" t="e">
        <v>#VALUE!</v>
      </c>
      <c r="AP61" s="94" t="e">
        <v>#VALUE!</v>
      </c>
      <c r="AQ61" s="94"/>
      <c r="AR61" s="40" t="e">
        <f t="shared" si="51"/>
        <v>#VALUE!</v>
      </c>
      <c r="AS61" s="94" t="e">
        <v>#VALUE!</v>
      </c>
      <c r="AT61" s="94" t="e">
        <v>#VALUE!</v>
      </c>
      <c r="AU61" s="94" t="e">
        <v>#VALUE!</v>
      </c>
      <c r="AV61" s="94" t="e">
        <v>#VALUE!</v>
      </c>
      <c r="AW61" s="91" t="e">
        <f t="shared" ref="AW61:AW75" si="65">Y61</f>
        <v>#REF!</v>
      </c>
      <c r="AX61" s="40" t="e">
        <f t="shared" si="52"/>
        <v>#VALUE!</v>
      </c>
      <c r="AY61" s="94" t="e">
        <v>#VALUE!</v>
      </c>
      <c r="AZ61" s="94" t="e">
        <v>#VALUE!</v>
      </c>
      <c r="BA61" s="94" t="e">
        <v>#VALUE!</v>
      </c>
      <c r="BB61" s="94" t="e">
        <v>#VALUE!</v>
      </c>
      <c r="BD61" s="40" t="e">
        <f t="shared" si="53"/>
        <v>#VALUE!</v>
      </c>
      <c r="BE61" s="94" t="e">
        <v>#VALUE!</v>
      </c>
      <c r="BF61" s="94" t="e">
        <v>#VALUE!</v>
      </c>
      <c r="BG61" s="94" t="e">
        <v>#VALUE!</v>
      </c>
      <c r="BH61" s="94" t="e">
        <v>#VALUE!</v>
      </c>
      <c r="BJ61" s="40" t="e">
        <f t="shared" si="54"/>
        <v>#VALUE!</v>
      </c>
      <c r="BK61" s="94" t="e">
        <v>#VALUE!</v>
      </c>
      <c r="BL61" s="94" t="e">
        <v>#VALUE!</v>
      </c>
      <c r="BM61" s="94" t="e">
        <v>#VALUE!</v>
      </c>
      <c r="BN61" s="94" t="e">
        <v>#VALUE!</v>
      </c>
      <c r="BO61" s="94"/>
      <c r="BP61" s="40" t="e">
        <f t="shared" si="55"/>
        <v>#VALUE!</v>
      </c>
      <c r="BQ61" s="94" t="e">
        <v>#VALUE!</v>
      </c>
      <c r="BR61" s="94" t="e">
        <v>#VALUE!</v>
      </c>
      <c r="BS61" s="94" t="e">
        <v>#VALUE!</v>
      </c>
      <c r="BT61" s="94" t="e">
        <v>#VALUE!</v>
      </c>
      <c r="BU61" s="91" t="e">
        <f t="shared" ref="BU61:BU75" si="66">AW61</f>
        <v>#REF!</v>
      </c>
      <c r="BV61" s="40" t="e">
        <f t="shared" si="56"/>
        <v>#VALUE!</v>
      </c>
      <c r="BW61" s="94" t="e">
        <v>#VALUE!</v>
      </c>
      <c r="BX61" s="94" t="e">
        <v>#VALUE!</v>
      </c>
      <c r="BY61" s="94" t="e">
        <v>#VALUE!</v>
      </c>
      <c r="BZ61" s="94" t="e">
        <v>#VALUE!</v>
      </c>
      <c r="CB61" s="40" t="e">
        <f t="shared" si="57"/>
        <v>#VALUE!</v>
      </c>
      <c r="CC61" s="94" t="e">
        <v>#VALUE!</v>
      </c>
      <c r="CD61" s="94" t="e">
        <v>#VALUE!</v>
      </c>
      <c r="CE61" s="94" t="e">
        <v>#VALUE!</v>
      </c>
      <c r="CF61" s="94" t="e">
        <v>#VALUE!</v>
      </c>
      <c r="CH61" s="40" t="e">
        <f t="shared" si="58"/>
        <v>#VALUE!</v>
      </c>
      <c r="CI61" s="94" t="e">
        <v>#VALUE!</v>
      </c>
      <c r="CJ61" s="94" t="e">
        <v>#VALUE!</v>
      </c>
      <c r="CK61" s="94" t="e">
        <v>#VALUE!</v>
      </c>
      <c r="CL61" s="94" t="e">
        <v>#VALUE!</v>
      </c>
      <c r="CM61" s="94"/>
      <c r="CN61" s="40" t="e">
        <f t="shared" si="59"/>
        <v>#VALUE!</v>
      </c>
      <c r="CO61" s="94" t="e">
        <v>#VALUE!</v>
      </c>
      <c r="CP61" s="94" t="e">
        <v>#VALUE!</v>
      </c>
      <c r="CQ61" s="94" t="e">
        <v>#VALUE!</v>
      </c>
      <c r="CR61" s="94" t="e">
        <v>#VALUE!</v>
      </c>
      <c r="CS61" s="91" t="e">
        <f t="shared" ref="CS61:CS75" si="67">BU61</f>
        <v>#REF!</v>
      </c>
      <c r="CT61" s="40" t="e">
        <f t="shared" si="60"/>
        <v>#VALUE!</v>
      </c>
      <c r="CU61" s="94" t="e">
        <v>#VALUE!</v>
      </c>
      <c r="CV61" s="94" t="e">
        <v>#VALUE!</v>
      </c>
      <c r="CW61" s="94" t="e">
        <v>#VALUE!</v>
      </c>
      <c r="CX61" s="94" t="e">
        <v>#VALUE!</v>
      </c>
      <c r="CZ61" s="40" t="e">
        <f t="shared" si="61"/>
        <v>#VALUE!</v>
      </c>
      <c r="DA61" s="94" t="e">
        <v>#VALUE!</v>
      </c>
      <c r="DB61" s="94" t="e">
        <v>#VALUE!</v>
      </c>
      <c r="DC61" s="94" t="e">
        <v>#VALUE!</v>
      </c>
      <c r="DD61" s="94" t="e">
        <v>#VALUE!</v>
      </c>
      <c r="DF61" s="40" t="e">
        <f t="shared" si="62"/>
        <v>#VALUE!</v>
      </c>
      <c r="DG61" s="94" t="e">
        <v>#VALUE!</v>
      </c>
      <c r="DH61" s="94" t="e">
        <v>#VALUE!</v>
      </c>
      <c r="DI61" s="94" t="e">
        <v>#VALUE!</v>
      </c>
      <c r="DJ61" s="94" t="e">
        <v>#VALUE!</v>
      </c>
      <c r="DK61" s="94"/>
      <c r="DL61" s="40" t="e">
        <f t="shared" si="63"/>
        <v>#VALUE!</v>
      </c>
      <c r="DM61" s="94" t="e">
        <v>#VALUE!</v>
      </c>
      <c r="DN61" s="94" t="e">
        <v>#VALUE!</v>
      </c>
      <c r="DO61" s="94" t="e">
        <v>#VALUE!</v>
      </c>
      <c r="DP61" s="94" t="e">
        <v>#VALUE!</v>
      </c>
    </row>
    <row r="62" spans="1:120" x14ac:dyDescent="0.2">
      <c r="A62" s="91" t="e">
        <f>name!#REF!</f>
        <v>#REF!</v>
      </c>
      <c r="B62" s="40" t="e">
        <f t="shared" si="44"/>
        <v>#VALUE!</v>
      </c>
      <c r="C62" s="94" t="e">
        <v>#VALUE!</v>
      </c>
      <c r="D62" s="94" t="e">
        <v>#VALUE!</v>
      </c>
      <c r="E62" s="94" t="e">
        <v>#VALUE!</v>
      </c>
      <c r="F62" s="94" t="e">
        <v>#VALUE!</v>
      </c>
      <c r="H62" s="40" t="e">
        <f t="shared" si="45"/>
        <v>#VALUE!</v>
      </c>
      <c r="I62" s="94" t="e">
        <v>#VALUE!</v>
      </c>
      <c r="J62" s="94" t="e">
        <v>#VALUE!</v>
      </c>
      <c r="K62" s="94" t="e">
        <v>#VALUE!</v>
      </c>
      <c r="L62" s="94" t="e">
        <v>#VALUE!</v>
      </c>
      <c r="N62" s="40" t="e">
        <f t="shared" si="46"/>
        <v>#VALUE!</v>
      </c>
      <c r="O62" s="94" t="e">
        <v>#VALUE!</v>
      </c>
      <c r="P62" s="94" t="e">
        <v>#VALUE!</v>
      </c>
      <c r="Q62" s="94" t="e">
        <v>#VALUE!</v>
      </c>
      <c r="R62" s="94" t="e">
        <v>#VALUE!</v>
      </c>
      <c r="S62" s="94"/>
      <c r="T62" s="40" t="e">
        <f t="shared" si="47"/>
        <v>#VALUE!</v>
      </c>
      <c r="U62" s="94" t="e">
        <v>#VALUE!</v>
      </c>
      <c r="V62" s="94" t="e">
        <v>#VALUE!</v>
      </c>
      <c r="W62" s="94" t="e">
        <v>#VALUE!</v>
      </c>
      <c r="X62" s="94" t="e">
        <v>#VALUE!</v>
      </c>
      <c r="Y62" s="91" t="e">
        <f t="shared" si="64"/>
        <v>#REF!</v>
      </c>
      <c r="Z62" s="40" t="e">
        <f t="shared" si="48"/>
        <v>#VALUE!</v>
      </c>
      <c r="AA62" s="94" t="e">
        <v>#VALUE!</v>
      </c>
      <c r="AB62" s="94" t="e">
        <v>#VALUE!</v>
      </c>
      <c r="AC62" s="94" t="e">
        <v>#VALUE!</v>
      </c>
      <c r="AD62" s="94" t="e">
        <v>#VALUE!</v>
      </c>
      <c r="AF62" s="40" t="e">
        <f t="shared" si="49"/>
        <v>#VALUE!</v>
      </c>
      <c r="AG62" s="94" t="e">
        <v>#VALUE!</v>
      </c>
      <c r="AH62" s="94" t="e">
        <v>#VALUE!</v>
      </c>
      <c r="AI62" s="94" t="e">
        <v>#VALUE!</v>
      </c>
      <c r="AJ62" s="94" t="e">
        <v>#VALUE!</v>
      </c>
      <c r="AL62" s="40" t="e">
        <f t="shared" si="50"/>
        <v>#VALUE!</v>
      </c>
      <c r="AM62" s="94" t="e">
        <v>#VALUE!</v>
      </c>
      <c r="AN62" s="94" t="e">
        <v>#VALUE!</v>
      </c>
      <c r="AO62" s="94" t="e">
        <v>#VALUE!</v>
      </c>
      <c r="AP62" s="94" t="e">
        <v>#VALUE!</v>
      </c>
      <c r="AQ62" s="94"/>
      <c r="AR62" s="40" t="e">
        <f t="shared" si="51"/>
        <v>#VALUE!</v>
      </c>
      <c r="AS62" s="94" t="e">
        <v>#VALUE!</v>
      </c>
      <c r="AT62" s="94" t="e">
        <v>#VALUE!</v>
      </c>
      <c r="AU62" s="94" t="e">
        <v>#VALUE!</v>
      </c>
      <c r="AV62" s="94" t="e">
        <v>#VALUE!</v>
      </c>
      <c r="AW62" s="91" t="e">
        <f t="shared" si="65"/>
        <v>#REF!</v>
      </c>
      <c r="AX62" s="40" t="e">
        <f t="shared" si="52"/>
        <v>#VALUE!</v>
      </c>
      <c r="AY62" s="94" t="e">
        <v>#VALUE!</v>
      </c>
      <c r="AZ62" s="94" t="e">
        <v>#VALUE!</v>
      </c>
      <c r="BA62" s="94" t="e">
        <v>#VALUE!</v>
      </c>
      <c r="BB62" s="94" t="e">
        <v>#VALUE!</v>
      </c>
      <c r="BD62" s="40" t="e">
        <f t="shared" si="53"/>
        <v>#VALUE!</v>
      </c>
      <c r="BE62" s="94" t="e">
        <v>#VALUE!</v>
      </c>
      <c r="BF62" s="94" t="e">
        <v>#VALUE!</v>
      </c>
      <c r="BG62" s="94" t="e">
        <v>#VALUE!</v>
      </c>
      <c r="BH62" s="94" t="e">
        <v>#VALUE!</v>
      </c>
      <c r="BJ62" s="40" t="e">
        <f t="shared" si="54"/>
        <v>#VALUE!</v>
      </c>
      <c r="BK62" s="94" t="e">
        <v>#VALUE!</v>
      </c>
      <c r="BL62" s="94" t="e">
        <v>#VALUE!</v>
      </c>
      <c r="BM62" s="94" t="e">
        <v>#VALUE!</v>
      </c>
      <c r="BN62" s="94" t="e">
        <v>#VALUE!</v>
      </c>
      <c r="BO62" s="94"/>
      <c r="BP62" s="40" t="e">
        <f t="shared" si="55"/>
        <v>#VALUE!</v>
      </c>
      <c r="BQ62" s="94" t="e">
        <v>#VALUE!</v>
      </c>
      <c r="BR62" s="94" t="e">
        <v>#VALUE!</v>
      </c>
      <c r="BS62" s="94" t="e">
        <v>#VALUE!</v>
      </c>
      <c r="BT62" s="94" t="e">
        <v>#VALUE!</v>
      </c>
      <c r="BU62" s="91" t="e">
        <f t="shared" si="66"/>
        <v>#REF!</v>
      </c>
      <c r="BV62" s="40" t="e">
        <f t="shared" si="56"/>
        <v>#VALUE!</v>
      </c>
      <c r="BW62" s="94" t="e">
        <v>#VALUE!</v>
      </c>
      <c r="BX62" s="94" t="e">
        <v>#VALUE!</v>
      </c>
      <c r="BY62" s="94" t="e">
        <v>#VALUE!</v>
      </c>
      <c r="BZ62" s="94" t="e">
        <v>#VALUE!</v>
      </c>
      <c r="CB62" s="40" t="e">
        <f t="shared" si="57"/>
        <v>#VALUE!</v>
      </c>
      <c r="CC62" s="94" t="e">
        <v>#VALUE!</v>
      </c>
      <c r="CD62" s="94" t="e">
        <v>#VALUE!</v>
      </c>
      <c r="CE62" s="94" t="e">
        <v>#VALUE!</v>
      </c>
      <c r="CF62" s="94" t="e">
        <v>#VALUE!</v>
      </c>
      <c r="CH62" s="40" t="e">
        <f t="shared" si="58"/>
        <v>#VALUE!</v>
      </c>
      <c r="CI62" s="94" t="e">
        <v>#VALUE!</v>
      </c>
      <c r="CJ62" s="94" t="e">
        <v>#VALUE!</v>
      </c>
      <c r="CK62" s="94" t="e">
        <v>#VALUE!</v>
      </c>
      <c r="CL62" s="94" t="e">
        <v>#VALUE!</v>
      </c>
      <c r="CM62" s="94"/>
      <c r="CN62" s="40" t="e">
        <f t="shared" si="59"/>
        <v>#VALUE!</v>
      </c>
      <c r="CO62" s="94" t="e">
        <v>#VALUE!</v>
      </c>
      <c r="CP62" s="94" t="e">
        <v>#VALUE!</v>
      </c>
      <c r="CQ62" s="94" t="e">
        <v>#VALUE!</v>
      </c>
      <c r="CR62" s="94" t="e">
        <v>#VALUE!</v>
      </c>
      <c r="CS62" s="91" t="e">
        <f t="shared" si="67"/>
        <v>#REF!</v>
      </c>
      <c r="CT62" s="40" t="e">
        <f t="shared" si="60"/>
        <v>#VALUE!</v>
      </c>
      <c r="CU62" s="94" t="e">
        <v>#VALUE!</v>
      </c>
      <c r="CV62" s="94" t="e">
        <v>#VALUE!</v>
      </c>
      <c r="CW62" s="94" t="e">
        <v>#VALUE!</v>
      </c>
      <c r="CX62" s="94" t="e">
        <v>#VALUE!</v>
      </c>
      <c r="CZ62" s="40" t="e">
        <f t="shared" si="61"/>
        <v>#VALUE!</v>
      </c>
      <c r="DA62" s="94" t="e">
        <v>#VALUE!</v>
      </c>
      <c r="DB62" s="94" t="e">
        <v>#VALUE!</v>
      </c>
      <c r="DC62" s="94" t="e">
        <v>#VALUE!</v>
      </c>
      <c r="DD62" s="94" t="e">
        <v>#VALUE!</v>
      </c>
      <c r="DF62" s="40" t="e">
        <f t="shared" si="62"/>
        <v>#VALUE!</v>
      </c>
      <c r="DG62" s="94" t="e">
        <v>#VALUE!</v>
      </c>
      <c r="DH62" s="94" t="e">
        <v>#VALUE!</v>
      </c>
      <c r="DI62" s="94" t="e">
        <v>#VALUE!</v>
      </c>
      <c r="DJ62" s="94" t="e">
        <v>#VALUE!</v>
      </c>
      <c r="DK62" s="94"/>
      <c r="DL62" s="40" t="e">
        <f t="shared" si="63"/>
        <v>#VALUE!</v>
      </c>
      <c r="DM62" s="94" t="e">
        <v>#VALUE!</v>
      </c>
      <c r="DN62" s="94" t="e">
        <v>#VALUE!</v>
      </c>
      <c r="DO62" s="94" t="e">
        <v>#VALUE!</v>
      </c>
      <c r="DP62" s="94" t="e">
        <v>#VALUE!</v>
      </c>
    </row>
    <row r="63" spans="1:120" x14ac:dyDescent="0.2">
      <c r="A63" s="91" t="e">
        <f>name!#REF!</f>
        <v>#REF!</v>
      </c>
      <c r="B63" s="40" t="e">
        <f t="shared" si="44"/>
        <v>#VALUE!</v>
      </c>
      <c r="C63" s="94" t="e">
        <v>#VALUE!</v>
      </c>
      <c r="D63" s="94" t="e">
        <v>#VALUE!</v>
      </c>
      <c r="E63" s="94" t="e">
        <v>#VALUE!</v>
      </c>
      <c r="F63" s="94" t="e">
        <v>#VALUE!</v>
      </c>
      <c r="H63" s="40" t="e">
        <f t="shared" si="45"/>
        <v>#VALUE!</v>
      </c>
      <c r="I63" s="94" t="e">
        <v>#VALUE!</v>
      </c>
      <c r="J63" s="94" t="e">
        <v>#VALUE!</v>
      </c>
      <c r="K63" s="94" t="e">
        <v>#VALUE!</v>
      </c>
      <c r="L63" s="94" t="e">
        <v>#VALUE!</v>
      </c>
      <c r="N63" s="40" t="e">
        <f t="shared" si="46"/>
        <v>#VALUE!</v>
      </c>
      <c r="O63" s="94" t="e">
        <v>#VALUE!</v>
      </c>
      <c r="P63" s="94" t="e">
        <v>#VALUE!</v>
      </c>
      <c r="Q63" s="94" t="e">
        <v>#VALUE!</v>
      </c>
      <c r="R63" s="94" t="e">
        <v>#VALUE!</v>
      </c>
      <c r="S63" s="94"/>
      <c r="T63" s="40" t="e">
        <f t="shared" si="47"/>
        <v>#VALUE!</v>
      </c>
      <c r="U63" s="94" t="e">
        <v>#VALUE!</v>
      </c>
      <c r="V63" s="94" t="e">
        <v>#VALUE!</v>
      </c>
      <c r="W63" s="94" t="e">
        <v>#VALUE!</v>
      </c>
      <c r="X63" s="94" t="e">
        <v>#VALUE!</v>
      </c>
      <c r="Y63" s="91" t="e">
        <f t="shared" si="64"/>
        <v>#REF!</v>
      </c>
      <c r="Z63" s="40" t="e">
        <f t="shared" si="48"/>
        <v>#VALUE!</v>
      </c>
      <c r="AA63" s="94" t="e">
        <v>#VALUE!</v>
      </c>
      <c r="AB63" s="94" t="e">
        <v>#VALUE!</v>
      </c>
      <c r="AC63" s="94" t="e">
        <v>#VALUE!</v>
      </c>
      <c r="AD63" s="94" t="e">
        <v>#VALUE!</v>
      </c>
      <c r="AF63" s="40" t="e">
        <f t="shared" si="49"/>
        <v>#VALUE!</v>
      </c>
      <c r="AG63" s="94" t="e">
        <v>#VALUE!</v>
      </c>
      <c r="AH63" s="94" t="e">
        <v>#VALUE!</v>
      </c>
      <c r="AI63" s="94" t="e">
        <v>#VALUE!</v>
      </c>
      <c r="AJ63" s="94" t="e">
        <v>#VALUE!</v>
      </c>
      <c r="AL63" s="40" t="e">
        <f t="shared" si="50"/>
        <v>#VALUE!</v>
      </c>
      <c r="AM63" s="94" t="e">
        <v>#VALUE!</v>
      </c>
      <c r="AN63" s="94" t="e">
        <v>#VALUE!</v>
      </c>
      <c r="AO63" s="94" t="e">
        <v>#VALUE!</v>
      </c>
      <c r="AP63" s="94" t="e">
        <v>#VALUE!</v>
      </c>
      <c r="AQ63" s="94"/>
      <c r="AR63" s="40" t="e">
        <f t="shared" si="51"/>
        <v>#VALUE!</v>
      </c>
      <c r="AS63" s="94" t="e">
        <v>#VALUE!</v>
      </c>
      <c r="AT63" s="94" t="e">
        <v>#VALUE!</v>
      </c>
      <c r="AU63" s="94" t="e">
        <v>#VALUE!</v>
      </c>
      <c r="AV63" s="94" t="e">
        <v>#VALUE!</v>
      </c>
      <c r="AW63" s="91" t="e">
        <f t="shared" si="65"/>
        <v>#REF!</v>
      </c>
      <c r="AX63" s="40" t="e">
        <f t="shared" si="52"/>
        <v>#VALUE!</v>
      </c>
      <c r="AY63" s="94" t="e">
        <v>#VALUE!</v>
      </c>
      <c r="AZ63" s="94" t="e">
        <v>#VALUE!</v>
      </c>
      <c r="BA63" s="94" t="e">
        <v>#VALUE!</v>
      </c>
      <c r="BB63" s="94" t="e">
        <v>#VALUE!</v>
      </c>
      <c r="BD63" s="40" t="e">
        <f t="shared" si="53"/>
        <v>#VALUE!</v>
      </c>
      <c r="BE63" s="94" t="e">
        <v>#VALUE!</v>
      </c>
      <c r="BF63" s="94" t="e">
        <v>#VALUE!</v>
      </c>
      <c r="BG63" s="94" t="e">
        <v>#VALUE!</v>
      </c>
      <c r="BH63" s="94" t="e">
        <v>#VALUE!</v>
      </c>
      <c r="BJ63" s="40" t="e">
        <f t="shared" si="54"/>
        <v>#VALUE!</v>
      </c>
      <c r="BK63" s="94" t="e">
        <v>#VALUE!</v>
      </c>
      <c r="BL63" s="94" t="e">
        <v>#VALUE!</v>
      </c>
      <c r="BM63" s="94" t="e">
        <v>#VALUE!</v>
      </c>
      <c r="BN63" s="94" t="e">
        <v>#VALUE!</v>
      </c>
      <c r="BO63" s="94"/>
      <c r="BP63" s="40" t="e">
        <f t="shared" si="55"/>
        <v>#VALUE!</v>
      </c>
      <c r="BQ63" s="94" t="e">
        <v>#VALUE!</v>
      </c>
      <c r="BR63" s="94" t="e">
        <v>#VALUE!</v>
      </c>
      <c r="BS63" s="94" t="e">
        <v>#VALUE!</v>
      </c>
      <c r="BT63" s="94" t="e">
        <v>#VALUE!</v>
      </c>
      <c r="BU63" s="91" t="e">
        <f t="shared" si="66"/>
        <v>#REF!</v>
      </c>
      <c r="BV63" s="40" t="e">
        <f t="shared" si="56"/>
        <v>#VALUE!</v>
      </c>
      <c r="BW63" s="94" t="e">
        <v>#VALUE!</v>
      </c>
      <c r="BX63" s="94" t="e">
        <v>#VALUE!</v>
      </c>
      <c r="BY63" s="94" t="e">
        <v>#VALUE!</v>
      </c>
      <c r="BZ63" s="94" t="e">
        <v>#VALUE!</v>
      </c>
      <c r="CB63" s="40" t="e">
        <f t="shared" si="57"/>
        <v>#VALUE!</v>
      </c>
      <c r="CC63" s="94" t="e">
        <v>#VALUE!</v>
      </c>
      <c r="CD63" s="94" t="e">
        <v>#VALUE!</v>
      </c>
      <c r="CE63" s="94" t="e">
        <v>#VALUE!</v>
      </c>
      <c r="CF63" s="94" t="e">
        <v>#VALUE!</v>
      </c>
      <c r="CH63" s="40" t="e">
        <f t="shared" si="58"/>
        <v>#VALUE!</v>
      </c>
      <c r="CI63" s="94" t="e">
        <v>#VALUE!</v>
      </c>
      <c r="CJ63" s="94" t="e">
        <v>#VALUE!</v>
      </c>
      <c r="CK63" s="94" t="e">
        <v>#VALUE!</v>
      </c>
      <c r="CL63" s="94" t="e">
        <v>#VALUE!</v>
      </c>
      <c r="CM63" s="94"/>
      <c r="CN63" s="40" t="e">
        <f t="shared" si="59"/>
        <v>#VALUE!</v>
      </c>
      <c r="CO63" s="94" t="e">
        <v>#VALUE!</v>
      </c>
      <c r="CP63" s="94" t="e">
        <v>#VALUE!</v>
      </c>
      <c r="CQ63" s="94" t="e">
        <v>#VALUE!</v>
      </c>
      <c r="CR63" s="94" t="e">
        <v>#VALUE!</v>
      </c>
      <c r="CS63" s="91" t="e">
        <f t="shared" si="67"/>
        <v>#REF!</v>
      </c>
      <c r="CT63" s="40" t="e">
        <f t="shared" si="60"/>
        <v>#VALUE!</v>
      </c>
      <c r="CU63" s="94" t="e">
        <v>#VALUE!</v>
      </c>
      <c r="CV63" s="94" t="e">
        <v>#VALUE!</v>
      </c>
      <c r="CW63" s="94" t="e">
        <v>#VALUE!</v>
      </c>
      <c r="CX63" s="94" t="e">
        <v>#VALUE!</v>
      </c>
      <c r="CZ63" s="40" t="e">
        <f t="shared" si="61"/>
        <v>#VALUE!</v>
      </c>
      <c r="DA63" s="94" t="e">
        <v>#VALUE!</v>
      </c>
      <c r="DB63" s="94" t="e">
        <v>#VALUE!</v>
      </c>
      <c r="DC63" s="94" t="e">
        <v>#VALUE!</v>
      </c>
      <c r="DD63" s="94" t="e">
        <v>#VALUE!</v>
      </c>
      <c r="DF63" s="40" t="e">
        <f t="shared" si="62"/>
        <v>#VALUE!</v>
      </c>
      <c r="DG63" s="94" t="e">
        <v>#VALUE!</v>
      </c>
      <c r="DH63" s="94" t="e">
        <v>#VALUE!</v>
      </c>
      <c r="DI63" s="94" t="e">
        <v>#VALUE!</v>
      </c>
      <c r="DJ63" s="94" t="e">
        <v>#VALUE!</v>
      </c>
      <c r="DK63" s="94"/>
      <c r="DL63" s="40" t="e">
        <f t="shared" si="63"/>
        <v>#VALUE!</v>
      </c>
      <c r="DM63" s="94" t="e">
        <v>#VALUE!</v>
      </c>
      <c r="DN63" s="94" t="e">
        <v>#VALUE!</v>
      </c>
      <c r="DO63" s="94" t="e">
        <v>#VALUE!</v>
      </c>
      <c r="DP63" s="94" t="e">
        <v>#VALUE!</v>
      </c>
    </row>
    <row r="64" spans="1:120" x14ac:dyDescent="0.2">
      <c r="A64" s="91" t="e">
        <f>name!#REF!</f>
        <v>#REF!</v>
      </c>
      <c r="B64" s="40" t="e">
        <f t="shared" si="44"/>
        <v>#VALUE!</v>
      </c>
      <c r="C64" s="94" t="e">
        <v>#VALUE!</v>
      </c>
      <c r="D64" s="94" t="e">
        <v>#VALUE!</v>
      </c>
      <c r="E64" s="94" t="e">
        <v>#VALUE!</v>
      </c>
      <c r="F64" s="94" t="e">
        <v>#VALUE!</v>
      </c>
      <c r="H64" s="40" t="e">
        <f t="shared" si="45"/>
        <v>#VALUE!</v>
      </c>
      <c r="I64" s="94" t="e">
        <v>#VALUE!</v>
      </c>
      <c r="J64" s="94" t="e">
        <v>#VALUE!</v>
      </c>
      <c r="K64" s="94" t="e">
        <v>#VALUE!</v>
      </c>
      <c r="L64" s="94" t="e">
        <v>#VALUE!</v>
      </c>
      <c r="N64" s="40" t="e">
        <f t="shared" si="46"/>
        <v>#VALUE!</v>
      </c>
      <c r="O64" s="94" t="e">
        <v>#VALUE!</v>
      </c>
      <c r="P64" s="94" t="e">
        <v>#VALUE!</v>
      </c>
      <c r="Q64" s="94" t="e">
        <v>#VALUE!</v>
      </c>
      <c r="R64" s="94" t="e">
        <v>#VALUE!</v>
      </c>
      <c r="S64" s="94"/>
      <c r="T64" s="40" t="e">
        <f t="shared" si="47"/>
        <v>#VALUE!</v>
      </c>
      <c r="U64" s="94" t="e">
        <v>#VALUE!</v>
      </c>
      <c r="V64" s="94" t="e">
        <v>#VALUE!</v>
      </c>
      <c r="W64" s="94" t="e">
        <v>#VALUE!</v>
      </c>
      <c r="X64" s="94" t="e">
        <v>#VALUE!</v>
      </c>
      <c r="Y64" s="91" t="e">
        <f t="shared" si="64"/>
        <v>#REF!</v>
      </c>
      <c r="Z64" s="40" t="e">
        <f t="shared" si="48"/>
        <v>#VALUE!</v>
      </c>
      <c r="AA64" s="94" t="e">
        <v>#VALUE!</v>
      </c>
      <c r="AB64" s="94" t="e">
        <v>#VALUE!</v>
      </c>
      <c r="AC64" s="94" t="e">
        <v>#VALUE!</v>
      </c>
      <c r="AD64" s="94" t="e">
        <v>#VALUE!</v>
      </c>
      <c r="AF64" s="40" t="e">
        <f t="shared" si="49"/>
        <v>#VALUE!</v>
      </c>
      <c r="AG64" s="94" t="e">
        <v>#VALUE!</v>
      </c>
      <c r="AH64" s="94" t="e">
        <v>#VALUE!</v>
      </c>
      <c r="AI64" s="94" t="e">
        <v>#VALUE!</v>
      </c>
      <c r="AJ64" s="94" t="e">
        <v>#VALUE!</v>
      </c>
      <c r="AL64" s="40" t="e">
        <f t="shared" si="50"/>
        <v>#VALUE!</v>
      </c>
      <c r="AM64" s="94" t="e">
        <v>#VALUE!</v>
      </c>
      <c r="AN64" s="94" t="e">
        <v>#VALUE!</v>
      </c>
      <c r="AO64" s="94" t="e">
        <v>#VALUE!</v>
      </c>
      <c r="AP64" s="94" t="e">
        <v>#VALUE!</v>
      </c>
      <c r="AQ64" s="94"/>
      <c r="AR64" s="40" t="e">
        <f t="shared" si="51"/>
        <v>#VALUE!</v>
      </c>
      <c r="AS64" s="94" t="e">
        <v>#VALUE!</v>
      </c>
      <c r="AT64" s="94" t="e">
        <v>#VALUE!</v>
      </c>
      <c r="AU64" s="94" t="e">
        <v>#VALUE!</v>
      </c>
      <c r="AV64" s="94" t="e">
        <v>#VALUE!</v>
      </c>
      <c r="AW64" s="91" t="e">
        <f t="shared" si="65"/>
        <v>#REF!</v>
      </c>
      <c r="AX64" s="40" t="e">
        <f t="shared" si="52"/>
        <v>#VALUE!</v>
      </c>
      <c r="AY64" s="94" t="e">
        <v>#VALUE!</v>
      </c>
      <c r="AZ64" s="94" t="e">
        <v>#VALUE!</v>
      </c>
      <c r="BA64" s="94" t="e">
        <v>#VALUE!</v>
      </c>
      <c r="BB64" s="94" t="e">
        <v>#VALUE!</v>
      </c>
      <c r="BD64" s="40" t="e">
        <f t="shared" si="53"/>
        <v>#VALUE!</v>
      </c>
      <c r="BE64" s="94" t="e">
        <v>#VALUE!</v>
      </c>
      <c r="BF64" s="94" t="e">
        <v>#VALUE!</v>
      </c>
      <c r="BG64" s="94" t="e">
        <v>#VALUE!</v>
      </c>
      <c r="BH64" s="94" t="e">
        <v>#VALUE!</v>
      </c>
      <c r="BJ64" s="40" t="e">
        <f t="shared" si="54"/>
        <v>#VALUE!</v>
      </c>
      <c r="BK64" s="94" t="e">
        <v>#VALUE!</v>
      </c>
      <c r="BL64" s="94" t="e">
        <v>#VALUE!</v>
      </c>
      <c r="BM64" s="94" t="e">
        <v>#VALUE!</v>
      </c>
      <c r="BN64" s="94" t="e">
        <v>#VALUE!</v>
      </c>
      <c r="BO64" s="94"/>
      <c r="BP64" s="40" t="e">
        <f t="shared" si="55"/>
        <v>#VALUE!</v>
      </c>
      <c r="BQ64" s="94" t="e">
        <v>#VALUE!</v>
      </c>
      <c r="BR64" s="94" t="e">
        <v>#VALUE!</v>
      </c>
      <c r="BS64" s="94" t="e">
        <v>#VALUE!</v>
      </c>
      <c r="BT64" s="94" t="e">
        <v>#VALUE!</v>
      </c>
      <c r="BU64" s="91" t="e">
        <f t="shared" si="66"/>
        <v>#REF!</v>
      </c>
      <c r="BV64" s="40" t="e">
        <f t="shared" si="56"/>
        <v>#VALUE!</v>
      </c>
      <c r="BW64" s="94" t="e">
        <v>#VALUE!</v>
      </c>
      <c r="BX64" s="94" t="e">
        <v>#VALUE!</v>
      </c>
      <c r="BY64" s="94" t="e">
        <v>#VALUE!</v>
      </c>
      <c r="BZ64" s="94" t="e">
        <v>#VALUE!</v>
      </c>
      <c r="CB64" s="40" t="e">
        <f t="shared" si="57"/>
        <v>#VALUE!</v>
      </c>
      <c r="CC64" s="94" t="e">
        <v>#VALUE!</v>
      </c>
      <c r="CD64" s="94" t="e">
        <v>#VALUE!</v>
      </c>
      <c r="CE64" s="94" t="e">
        <v>#VALUE!</v>
      </c>
      <c r="CF64" s="94" t="e">
        <v>#VALUE!</v>
      </c>
      <c r="CH64" s="40" t="e">
        <f t="shared" si="58"/>
        <v>#VALUE!</v>
      </c>
      <c r="CI64" s="94" t="e">
        <v>#VALUE!</v>
      </c>
      <c r="CJ64" s="94" t="e">
        <v>#VALUE!</v>
      </c>
      <c r="CK64" s="94" t="e">
        <v>#VALUE!</v>
      </c>
      <c r="CL64" s="94" t="e">
        <v>#VALUE!</v>
      </c>
      <c r="CM64" s="94"/>
      <c r="CN64" s="40" t="e">
        <f t="shared" si="59"/>
        <v>#VALUE!</v>
      </c>
      <c r="CO64" s="94" t="e">
        <v>#VALUE!</v>
      </c>
      <c r="CP64" s="94" t="e">
        <v>#VALUE!</v>
      </c>
      <c r="CQ64" s="94" t="e">
        <v>#VALUE!</v>
      </c>
      <c r="CR64" s="94" t="e">
        <v>#VALUE!</v>
      </c>
      <c r="CS64" s="91" t="e">
        <f t="shared" si="67"/>
        <v>#REF!</v>
      </c>
      <c r="CT64" s="40" t="e">
        <f t="shared" si="60"/>
        <v>#VALUE!</v>
      </c>
      <c r="CU64" s="94" t="e">
        <v>#VALUE!</v>
      </c>
      <c r="CV64" s="94" t="e">
        <v>#VALUE!</v>
      </c>
      <c r="CW64" s="94" t="e">
        <v>#VALUE!</v>
      </c>
      <c r="CX64" s="94" t="e">
        <v>#VALUE!</v>
      </c>
      <c r="CZ64" s="40" t="e">
        <f t="shared" si="61"/>
        <v>#VALUE!</v>
      </c>
      <c r="DA64" s="94" t="e">
        <v>#VALUE!</v>
      </c>
      <c r="DB64" s="94" t="e">
        <v>#VALUE!</v>
      </c>
      <c r="DC64" s="94" t="e">
        <v>#VALUE!</v>
      </c>
      <c r="DD64" s="94" t="e">
        <v>#VALUE!</v>
      </c>
      <c r="DF64" s="40" t="e">
        <f t="shared" si="62"/>
        <v>#VALUE!</v>
      </c>
      <c r="DG64" s="94" t="e">
        <v>#VALUE!</v>
      </c>
      <c r="DH64" s="94" t="e">
        <v>#VALUE!</v>
      </c>
      <c r="DI64" s="94" t="e">
        <v>#VALUE!</v>
      </c>
      <c r="DJ64" s="94" t="e">
        <v>#VALUE!</v>
      </c>
      <c r="DK64" s="94"/>
      <c r="DL64" s="40" t="e">
        <f t="shared" si="63"/>
        <v>#VALUE!</v>
      </c>
      <c r="DM64" s="94" t="e">
        <v>#VALUE!</v>
      </c>
      <c r="DN64" s="94" t="e">
        <v>#VALUE!</v>
      </c>
      <c r="DO64" s="94" t="e">
        <v>#VALUE!</v>
      </c>
      <c r="DP64" s="94" t="e">
        <v>#VALUE!</v>
      </c>
    </row>
    <row r="65" spans="1:120" x14ac:dyDescent="0.2">
      <c r="A65" s="91" t="e">
        <f>name!#REF!</f>
        <v>#REF!</v>
      </c>
      <c r="B65" s="40" t="e">
        <f t="shared" si="44"/>
        <v>#VALUE!</v>
      </c>
      <c r="C65" s="94" t="e">
        <v>#VALUE!</v>
      </c>
      <c r="D65" s="94" t="e">
        <v>#VALUE!</v>
      </c>
      <c r="E65" s="94" t="e">
        <v>#VALUE!</v>
      </c>
      <c r="F65" s="94" t="e">
        <v>#VALUE!</v>
      </c>
      <c r="H65" s="40" t="e">
        <f t="shared" si="45"/>
        <v>#VALUE!</v>
      </c>
      <c r="I65" s="94" t="e">
        <v>#VALUE!</v>
      </c>
      <c r="J65" s="94" t="e">
        <v>#VALUE!</v>
      </c>
      <c r="K65" s="94" t="e">
        <v>#VALUE!</v>
      </c>
      <c r="L65" s="94" t="e">
        <v>#VALUE!</v>
      </c>
      <c r="N65" s="40" t="e">
        <f t="shared" si="46"/>
        <v>#VALUE!</v>
      </c>
      <c r="O65" s="94" t="e">
        <v>#VALUE!</v>
      </c>
      <c r="P65" s="94" t="e">
        <v>#VALUE!</v>
      </c>
      <c r="Q65" s="94" t="e">
        <v>#VALUE!</v>
      </c>
      <c r="R65" s="94" t="e">
        <v>#VALUE!</v>
      </c>
      <c r="S65" s="94"/>
      <c r="T65" s="40" t="e">
        <f t="shared" si="47"/>
        <v>#VALUE!</v>
      </c>
      <c r="U65" s="94" t="e">
        <v>#VALUE!</v>
      </c>
      <c r="V65" s="94" t="e">
        <v>#VALUE!</v>
      </c>
      <c r="W65" s="94" t="e">
        <v>#VALUE!</v>
      </c>
      <c r="X65" s="94" t="e">
        <v>#VALUE!</v>
      </c>
      <c r="Y65" s="91" t="e">
        <f t="shared" si="64"/>
        <v>#REF!</v>
      </c>
      <c r="Z65" s="40" t="e">
        <f t="shared" si="48"/>
        <v>#VALUE!</v>
      </c>
      <c r="AA65" s="94" t="e">
        <v>#VALUE!</v>
      </c>
      <c r="AB65" s="94" t="e">
        <v>#VALUE!</v>
      </c>
      <c r="AC65" s="94" t="e">
        <v>#VALUE!</v>
      </c>
      <c r="AD65" s="94" t="e">
        <v>#VALUE!</v>
      </c>
      <c r="AF65" s="40" t="e">
        <f t="shared" si="49"/>
        <v>#VALUE!</v>
      </c>
      <c r="AG65" s="94" t="e">
        <v>#VALUE!</v>
      </c>
      <c r="AH65" s="94" t="e">
        <v>#VALUE!</v>
      </c>
      <c r="AI65" s="94" t="e">
        <v>#VALUE!</v>
      </c>
      <c r="AJ65" s="94" t="e">
        <v>#VALUE!</v>
      </c>
      <c r="AL65" s="40" t="e">
        <f t="shared" si="50"/>
        <v>#VALUE!</v>
      </c>
      <c r="AM65" s="94" t="e">
        <v>#VALUE!</v>
      </c>
      <c r="AN65" s="94" t="e">
        <v>#VALUE!</v>
      </c>
      <c r="AO65" s="94" t="e">
        <v>#VALUE!</v>
      </c>
      <c r="AP65" s="94" t="e">
        <v>#VALUE!</v>
      </c>
      <c r="AQ65" s="94"/>
      <c r="AR65" s="40" t="e">
        <f t="shared" si="51"/>
        <v>#VALUE!</v>
      </c>
      <c r="AS65" s="94" t="e">
        <v>#VALUE!</v>
      </c>
      <c r="AT65" s="94" t="e">
        <v>#VALUE!</v>
      </c>
      <c r="AU65" s="94" t="e">
        <v>#VALUE!</v>
      </c>
      <c r="AV65" s="94" t="e">
        <v>#VALUE!</v>
      </c>
      <c r="AW65" s="91" t="e">
        <f t="shared" si="65"/>
        <v>#REF!</v>
      </c>
      <c r="AX65" s="40" t="e">
        <f t="shared" si="52"/>
        <v>#VALUE!</v>
      </c>
      <c r="AY65" s="94" t="e">
        <v>#VALUE!</v>
      </c>
      <c r="AZ65" s="94" t="e">
        <v>#VALUE!</v>
      </c>
      <c r="BA65" s="94" t="e">
        <v>#VALUE!</v>
      </c>
      <c r="BB65" s="94" t="e">
        <v>#VALUE!</v>
      </c>
      <c r="BD65" s="40" t="e">
        <f t="shared" si="53"/>
        <v>#VALUE!</v>
      </c>
      <c r="BE65" s="94" t="e">
        <v>#VALUE!</v>
      </c>
      <c r="BF65" s="94" t="e">
        <v>#VALUE!</v>
      </c>
      <c r="BG65" s="94" t="e">
        <v>#VALUE!</v>
      </c>
      <c r="BH65" s="94" t="e">
        <v>#VALUE!</v>
      </c>
      <c r="BJ65" s="40" t="e">
        <f t="shared" si="54"/>
        <v>#VALUE!</v>
      </c>
      <c r="BK65" s="94" t="e">
        <v>#VALUE!</v>
      </c>
      <c r="BL65" s="94" t="e">
        <v>#VALUE!</v>
      </c>
      <c r="BM65" s="94" t="e">
        <v>#VALUE!</v>
      </c>
      <c r="BN65" s="94" t="e">
        <v>#VALUE!</v>
      </c>
      <c r="BO65" s="94"/>
      <c r="BP65" s="40" t="e">
        <f t="shared" si="55"/>
        <v>#VALUE!</v>
      </c>
      <c r="BQ65" s="94" t="e">
        <v>#VALUE!</v>
      </c>
      <c r="BR65" s="94" t="e">
        <v>#VALUE!</v>
      </c>
      <c r="BS65" s="94" t="e">
        <v>#VALUE!</v>
      </c>
      <c r="BT65" s="94" t="e">
        <v>#VALUE!</v>
      </c>
      <c r="BU65" s="91" t="e">
        <f t="shared" si="66"/>
        <v>#REF!</v>
      </c>
      <c r="BV65" s="40" t="e">
        <f t="shared" si="56"/>
        <v>#VALUE!</v>
      </c>
      <c r="BW65" s="94" t="e">
        <v>#VALUE!</v>
      </c>
      <c r="BX65" s="94" t="e">
        <v>#VALUE!</v>
      </c>
      <c r="BY65" s="94" t="e">
        <v>#VALUE!</v>
      </c>
      <c r="BZ65" s="94" t="e">
        <v>#VALUE!</v>
      </c>
      <c r="CB65" s="40" t="e">
        <f t="shared" si="57"/>
        <v>#VALUE!</v>
      </c>
      <c r="CC65" s="94" t="e">
        <v>#VALUE!</v>
      </c>
      <c r="CD65" s="94" t="e">
        <v>#VALUE!</v>
      </c>
      <c r="CE65" s="94" t="e">
        <v>#VALUE!</v>
      </c>
      <c r="CF65" s="94" t="e">
        <v>#VALUE!</v>
      </c>
      <c r="CH65" s="40" t="e">
        <f t="shared" si="58"/>
        <v>#VALUE!</v>
      </c>
      <c r="CI65" s="94" t="e">
        <v>#VALUE!</v>
      </c>
      <c r="CJ65" s="94" t="e">
        <v>#VALUE!</v>
      </c>
      <c r="CK65" s="94" t="e">
        <v>#VALUE!</v>
      </c>
      <c r="CL65" s="94" t="e">
        <v>#VALUE!</v>
      </c>
      <c r="CM65" s="94"/>
      <c r="CN65" s="40" t="e">
        <f t="shared" si="59"/>
        <v>#VALUE!</v>
      </c>
      <c r="CO65" s="94" t="e">
        <v>#VALUE!</v>
      </c>
      <c r="CP65" s="94" t="e">
        <v>#VALUE!</v>
      </c>
      <c r="CQ65" s="94" t="e">
        <v>#VALUE!</v>
      </c>
      <c r="CR65" s="94" t="e">
        <v>#VALUE!</v>
      </c>
      <c r="CS65" s="91" t="e">
        <f t="shared" si="67"/>
        <v>#REF!</v>
      </c>
      <c r="CT65" s="40" t="e">
        <f t="shared" si="60"/>
        <v>#VALUE!</v>
      </c>
      <c r="CU65" s="94" t="e">
        <v>#VALUE!</v>
      </c>
      <c r="CV65" s="94" t="e">
        <v>#VALUE!</v>
      </c>
      <c r="CW65" s="94" t="e">
        <v>#VALUE!</v>
      </c>
      <c r="CX65" s="94" t="e">
        <v>#VALUE!</v>
      </c>
      <c r="CZ65" s="40" t="e">
        <f t="shared" si="61"/>
        <v>#VALUE!</v>
      </c>
      <c r="DA65" s="94" t="e">
        <v>#VALUE!</v>
      </c>
      <c r="DB65" s="94" t="e">
        <v>#VALUE!</v>
      </c>
      <c r="DC65" s="94" t="e">
        <v>#VALUE!</v>
      </c>
      <c r="DD65" s="94" t="e">
        <v>#VALUE!</v>
      </c>
      <c r="DF65" s="40" t="e">
        <f t="shared" si="62"/>
        <v>#VALUE!</v>
      </c>
      <c r="DG65" s="94" t="e">
        <v>#VALUE!</v>
      </c>
      <c r="DH65" s="94" t="e">
        <v>#VALUE!</v>
      </c>
      <c r="DI65" s="94" t="e">
        <v>#VALUE!</v>
      </c>
      <c r="DJ65" s="94" t="e">
        <v>#VALUE!</v>
      </c>
      <c r="DK65" s="94"/>
      <c r="DL65" s="40" t="e">
        <f t="shared" si="63"/>
        <v>#VALUE!</v>
      </c>
      <c r="DM65" s="94" t="e">
        <v>#VALUE!</v>
      </c>
      <c r="DN65" s="94" t="e">
        <v>#VALUE!</v>
      </c>
      <c r="DO65" s="94" t="e">
        <v>#VALUE!</v>
      </c>
      <c r="DP65" s="94" t="e">
        <v>#VALUE!</v>
      </c>
    </row>
    <row r="66" spans="1:120" x14ac:dyDescent="0.2">
      <c r="A66" s="91" t="e">
        <f>name!#REF!</f>
        <v>#REF!</v>
      </c>
      <c r="B66" s="40" t="e">
        <f t="shared" si="44"/>
        <v>#VALUE!</v>
      </c>
      <c r="C66" s="94" t="e">
        <v>#VALUE!</v>
      </c>
      <c r="D66" s="94" t="e">
        <v>#VALUE!</v>
      </c>
      <c r="E66" s="94" t="e">
        <v>#VALUE!</v>
      </c>
      <c r="F66" s="94" t="e">
        <v>#VALUE!</v>
      </c>
      <c r="H66" s="40" t="e">
        <f t="shared" si="45"/>
        <v>#VALUE!</v>
      </c>
      <c r="I66" s="94" t="e">
        <v>#VALUE!</v>
      </c>
      <c r="J66" s="94" t="e">
        <v>#VALUE!</v>
      </c>
      <c r="K66" s="94" t="e">
        <v>#VALUE!</v>
      </c>
      <c r="L66" s="94" t="e">
        <v>#VALUE!</v>
      </c>
      <c r="N66" s="40" t="e">
        <f t="shared" si="46"/>
        <v>#VALUE!</v>
      </c>
      <c r="O66" s="94" t="e">
        <v>#VALUE!</v>
      </c>
      <c r="P66" s="94" t="e">
        <v>#VALUE!</v>
      </c>
      <c r="Q66" s="94" t="e">
        <v>#VALUE!</v>
      </c>
      <c r="R66" s="94" t="e">
        <v>#VALUE!</v>
      </c>
      <c r="S66" s="94"/>
      <c r="T66" s="40" t="e">
        <f t="shared" si="47"/>
        <v>#VALUE!</v>
      </c>
      <c r="U66" s="94" t="e">
        <v>#VALUE!</v>
      </c>
      <c r="V66" s="94" t="e">
        <v>#VALUE!</v>
      </c>
      <c r="W66" s="94" t="e">
        <v>#VALUE!</v>
      </c>
      <c r="X66" s="94" t="e">
        <v>#VALUE!</v>
      </c>
      <c r="Y66" s="91" t="e">
        <f t="shared" si="64"/>
        <v>#REF!</v>
      </c>
      <c r="Z66" s="40" t="e">
        <f t="shared" si="48"/>
        <v>#VALUE!</v>
      </c>
      <c r="AA66" s="94" t="e">
        <v>#VALUE!</v>
      </c>
      <c r="AB66" s="94" t="e">
        <v>#VALUE!</v>
      </c>
      <c r="AC66" s="94" t="e">
        <v>#VALUE!</v>
      </c>
      <c r="AD66" s="94" t="e">
        <v>#VALUE!</v>
      </c>
      <c r="AF66" s="40" t="e">
        <f t="shared" si="49"/>
        <v>#VALUE!</v>
      </c>
      <c r="AG66" s="94" t="e">
        <v>#VALUE!</v>
      </c>
      <c r="AH66" s="94" t="e">
        <v>#VALUE!</v>
      </c>
      <c r="AI66" s="94" t="e">
        <v>#VALUE!</v>
      </c>
      <c r="AJ66" s="94" t="e">
        <v>#VALUE!</v>
      </c>
      <c r="AL66" s="40" t="e">
        <f t="shared" si="50"/>
        <v>#VALUE!</v>
      </c>
      <c r="AM66" s="94" t="e">
        <v>#VALUE!</v>
      </c>
      <c r="AN66" s="94" t="e">
        <v>#VALUE!</v>
      </c>
      <c r="AO66" s="94" t="e">
        <v>#VALUE!</v>
      </c>
      <c r="AP66" s="94" t="e">
        <v>#VALUE!</v>
      </c>
      <c r="AQ66" s="94"/>
      <c r="AR66" s="40" t="e">
        <f t="shared" si="51"/>
        <v>#VALUE!</v>
      </c>
      <c r="AS66" s="94" t="e">
        <v>#VALUE!</v>
      </c>
      <c r="AT66" s="94" t="e">
        <v>#VALUE!</v>
      </c>
      <c r="AU66" s="94" t="e">
        <v>#VALUE!</v>
      </c>
      <c r="AV66" s="94" t="e">
        <v>#VALUE!</v>
      </c>
      <c r="AW66" s="91" t="e">
        <f t="shared" si="65"/>
        <v>#REF!</v>
      </c>
      <c r="AX66" s="40" t="e">
        <f t="shared" si="52"/>
        <v>#VALUE!</v>
      </c>
      <c r="AY66" s="94" t="e">
        <v>#VALUE!</v>
      </c>
      <c r="AZ66" s="94" t="e">
        <v>#VALUE!</v>
      </c>
      <c r="BA66" s="94" t="e">
        <v>#VALUE!</v>
      </c>
      <c r="BB66" s="94" t="e">
        <v>#VALUE!</v>
      </c>
      <c r="BD66" s="40" t="e">
        <f t="shared" si="53"/>
        <v>#VALUE!</v>
      </c>
      <c r="BE66" s="94" t="e">
        <v>#VALUE!</v>
      </c>
      <c r="BF66" s="94" t="e">
        <v>#VALUE!</v>
      </c>
      <c r="BG66" s="94" t="e">
        <v>#VALUE!</v>
      </c>
      <c r="BH66" s="94" t="e">
        <v>#VALUE!</v>
      </c>
      <c r="BJ66" s="40" t="e">
        <f t="shared" si="54"/>
        <v>#VALUE!</v>
      </c>
      <c r="BK66" s="94" t="e">
        <v>#VALUE!</v>
      </c>
      <c r="BL66" s="94" t="e">
        <v>#VALUE!</v>
      </c>
      <c r="BM66" s="94" t="e">
        <v>#VALUE!</v>
      </c>
      <c r="BN66" s="94" t="e">
        <v>#VALUE!</v>
      </c>
      <c r="BO66" s="94"/>
      <c r="BP66" s="40" t="e">
        <f t="shared" si="55"/>
        <v>#VALUE!</v>
      </c>
      <c r="BQ66" s="94" t="e">
        <v>#VALUE!</v>
      </c>
      <c r="BR66" s="94" t="e">
        <v>#VALUE!</v>
      </c>
      <c r="BS66" s="94" t="e">
        <v>#VALUE!</v>
      </c>
      <c r="BT66" s="94" t="e">
        <v>#VALUE!</v>
      </c>
      <c r="BU66" s="91" t="e">
        <f t="shared" si="66"/>
        <v>#REF!</v>
      </c>
      <c r="BV66" s="40" t="e">
        <f t="shared" si="56"/>
        <v>#VALUE!</v>
      </c>
      <c r="BW66" s="94" t="e">
        <v>#VALUE!</v>
      </c>
      <c r="BX66" s="94" t="e">
        <v>#VALUE!</v>
      </c>
      <c r="BY66" s="94" t="e">
        <v>#VALUE!</v>
      </c>
      <c r="BZ66" s="94" t="e">
        <v>#VALUE!</v>
      </c>
      <c r="CB66" s="40" t="e">
        <f t="shared" si="57"/>
        <v>#VALUE!</v>
      </c>
      <c r="CC66" s="94" t="e">
        <v>#VALUE!</v>
      </c>
      <c r="CD66" s="94" t="e">
        <v>#VALUE!</v>
      </c>
      <c r="CE66" s="94" t="e">
        <v>#VALUE!</v>
      </c>
      <c r="CF66" s="94" t="e">
        <v>#VALUE!</v>
      </c>
      <c r="CH66" s="40" t="e">
        <f t="shared" si="58"/>
        <v>#VALUE!</v>
      </c>
      <c r="CI66" s="94" t="e">
        <v>#VALUE!</v>
      </c>
      <c r="CJ66" s="94" t="e">
        <v>#VALUE!</v>
      </c>
      <c r="CK66" s="94" t="e">
        <v>#VALUE!</v>
      </c>
      <c r="CL66" s="94" t="e">
        <v>#VALUE!</v>
      </c>
      <c r="CM66" s="94"/>
      <c r="CN66" s="40" t="e">
        <f t="shared" si="59"/>
        <v>#VALUE!</v>
      </c>
      <c r="CO66" s="94" t="e">
        <v>#VALUE!</v>
      </c>
      <c r="CP66" s="94" t="e">
        <v>#VALUE!</v>
      </c>
      <c r="CQ66" s="94" t="e">
        <v>#VALUE!</v>
      </c>
      <c r="CR66" s="94" t="e">
        <v>#VALUE!</v>
      </c>
      <c r="CS66" s="91" t="e">
        <f t="shared" si="67"/>
        <v>#REF!</v>
      </c>
      <c r="CT66" s="40" t="e">
        <f t="shared" si="60"/>
        <v>#VALUE!</v>
      </c>
      <c r="CU66" s="94" t="e">
        <v>#VALUE!</v>
      </c>
      <c r="CV66" s="94" t="e">
        <v>#VALUE!</v>
      </c>
      <c r="CW66" s="94" t="e">
        <v>#VALUE!</v>
      </c>
      <c r="CX66" s="94" t="e">
        <v>#VALUE!</v>
      </c>
      <c r="CZ66" s="40" t="e">
        <f t="shared" si="61"/>
        <v>#VALUE!</v>
      </c>
      <c r="DA66" s="94" t="e">
        <v>#VALUE!</v>
      </c>
      <c r="DB66" s="94" t="e">
        <v>#VALUE!</v>
      </c>
      <c r="DC66" s="94" t="e">
        <v>#VALUE!</v>
      </c>
      <c r="DD66" s="94" t="e">
        <v>#VALUE!</v>
      </c>
      <c r="DF66" s="40" t="e">
        <f t="shared" si="62"/>
        <v>#VALUE!</v>
      </c>
      <c r="DG66" s="94" t="e">
        <v>#VALUE!</v>
      </c>
      <c r="DH66" s="94" t="e">
        <v>#VALUE!</v>
      </c>
      <c r="DI66" s="94" t="e">
        <v>#VALUE!</v>
      </c>
      <c r="DJ66" s="94" t="e">
        <v>#VALUE!</v>
      </c>
      <c r="DK66" s="94"/>
      <c r="DL66" s="40" t="e">
        <f t="shared" si="63"/>
        <v>#VALUE!</v>
      </c>
      <c r="DM66" s="94" t="e">
        <v>#VALUE!</v>
      </c>
      <c r="DN66" s="94" t="e">
        <v>#VALUE!</v>
      </c>
      <c r="DO66" s="94" t="e">
        <v>#VALUE!</v>
      </c>
      <c r="DP66" s="94" t="e">
        <v>#VALUE!</v>
      </c>
    </row>
    <row r="67" spans="1:120" x14ac:dyDescent="0.2">
      <c r="A67" s="91" t="e">
        <f>name!#REF!</f>
        <v>#REF!</v>
      </c>
      <c r="B67" s="40" t="e">
        <f t="shared" si="44"/>
        <v>#VALUE!</v>
      </c>
      <c r="C67" s="94" t="e">
        <v>#VALUE!</v>
      </c>
      <c r="D67" s="94" t="e">
        <v>#VALUE!</v>
      </c>
      <c r="E67" s="94" t="e">
        <v>#VALUE!</v>
      </c>
      <c r="F67" s="94" t="e">
        <v>#VALUE!</v>
      </c>
      <c r="H67" s="40" t="e">
        <f t="shared" si="45"/>
        <v>#VALUE!</v>
      </c>
      <c r="I67" s="94" t="e">
        <v>#VALUE!</v>
      </c>
      <c r="J67" s="94" t="e">
        <v>#VALUE!</v>
      </c>
      <c r="K67" s="94" t="e">
        <v>#VALUE!</v>
      </c>
      <c r="L67" s="94" t="e">
        <v>#VALUE!</v>
      </c>
      <c r="N67" s="40" t="e">
        <f t="shared" si="46"/>
        <v>#VALUE!</v>
      </c>
      <c r="O67" s="94" t="e">
        <v>#VALUE!</v>
      </c>
      <c r="P67" s="94" t="e">
        <v>#VALUE!</v>
      </c>
      <c r="Q67" s="94" t="e">
        <v>#VALUE!</v>
      </c>
      <c r="R67" s="94" t="e">
        <v>#VALUE!</v>
      </c>
      <c r="S67" s="94"/>
      <c r="T67" s="40" t="e">
        <f t="shared" si="47"/>
        <v>#VALUE!</v>
      </c>
      <c r="U67" s="94" t="e">
        <v>#VALUE!</v>
      </c>
      <c r="V67" s="94" t="e">
        <v>#VALUE!</v>
      </c>
      <c r="W67" s="94" t="e">
        <v>#VALUE!</v>
      </c>
      <c r="X67" s="94" t="e">
        <v>#VALUE!</v>
      </c>
      <c r="Y67" s="91" t="e">
        <f t="shared" si="64"/>
        <v>#REF!</v>
      </c>
      <c r="Z67" s="40" t="e">
        <f t="shared" si="48"/>
        <v>#VALUE!</v>
      </c>
      <c r="AA67" s="94" t="e">
        <v>#VALUE!</v>
      </c>
      <c r="AB67" s="94" t="e">
        <v>#VALUE!</v>
      </c>
      <c r="AC67" s="94" t="e">
        <v>#VALUE!</v>
      </c>
      <c r="AD67" s="94" t="e">
        <v>#VALUE!</v>
      </c>
      <c r="AF67" s="40" t="e">
        <f t="shared" si="49"/>
        <v>#VALUE!</v>
      </c>
      <c r="AG67" s="94" t="e">
        <v>#VALUE!</v>
      </c>
      <c r="AH67" s="94" t="e">
        <v>#VALUE!</v>
      </c>
      <c r="AI67" s="94" t="e">
        <v>#VALUE!</v>
      </c>
      <c r="AJ67" s="94" t="e">
        <v>#VALUE!</v>
      </c>
      <c r="AL67" s="40" t="e">
        <f t="shared" si="50"/>
        <v>#VALUE!</v>
      </c>
      <c r="AM67" s="94" t="e">
        <v>#VALUE!</v>
      </c>
      <c r="AN67" s="94" t="e">
        <v>#VALUE!</v>
      </c>
      <c r="AO67" s="94" t="e">
        <v>#VALUE!</v>
      </c>
      <c r="AP67" s="94" t="e">
        <v>#VALUE!</v>
      </c>
      <c r="AQ67" s="94"/>
      <c r="AR67" s="40" t="e">
        <f t="shared" si="51"/>
        <v>#VALUE!</v>
      </c>
      <c r="AS67" s="94" t="e">
        <v>#VALUE!</v>
      </c>
      <c r="AT67" s="94" t="e">
        <v>#VALUE!</v>
      </c>
      <c r="AU67" s="94" t="e">
        <v>#VALUE!</v>
      </c>
      <c r="AV67" s="94" t="e">
        <v>#VALUE!</v>
      </c>
      <c r="AW67" s="91" t="e">
        <f t="shared" si="65"/>
        <v>#REF!</v>
      </c>
      <c r="AX67" s="40" t="e">
        <f t="shared" si="52"/>
        <v>#VALUE!</v>
      </c>
      <c r="AY67" s="94" t="e">
        <v>#VALUE!</v>
      </c>
      <c r="AZ67" s="94" t="e">
        <v>#VALUE!</v>
      </c>
      <c r="BA67" s="94" t="e">
        <v>#VALUE!</v>
      </c>
      <c r="BB67" s="94" t="e">
        <v>#VALUE!</v>
      </c>
      <c r="BD67" s="40" t="e">
        <f t="shared" si="53"/>
        <v>#VALUE!</v>
      </c>
      <c r="BE67" s="94" t="e">
        <v>#VALUE!</v>
      </c>
      <c r="BF67" s="94" t="e">
        <v>#VALUE!</v>
      </c>
      <c r="BG67" s="94" t="e">
        <v>#VALUE!</v>
      </c>
      <c r="BH67" s="94" t="e">
        <v>#VALUE!</v>
      </c>
      <c r="BJ67" s="40" t="e">
        <f t="shared" si="54"/>
        <v>#VALUE!</v>
      </c>
      <c r="BK67" s="94" t="e">
        <v>#VALUE!</v>
      </c>
      <c r="BL67" s="94" t="e">
        <v>#VALUE!</v>
      </c>
      <c r="BM67" s="94" t="e">
        <v>#VALUE!</v>
      </c>
      <c r="BN67" s="94" t="e">
        <v>#VALUE!</v>
      </c>
      <c r="BO67" s="94"/>
      <c r="BP67" s="40" t="e">
        <f t="shared" si="55"/>
        <v>#VALUE!</v>
      </c>
      <c r="BQ67" s="94" t="e">
        <v>#VALUE!</v>
      </c>
      <c r="BR67" s="94" t="e">
        <v>#VALUE!</v>
      </c>
      <c r="BS67" s="94" t="e">
        <v>#VALUE!</v>
      </c>
      <c r="BT67" s="94" t="e">
        <v>#VALUE!</v>
      </c>
      <c r="BU67" s="91" t="e">
        <f t="shared" si="66"/>
        <v>#REF!</v>
      </c>
      <c r="BV67" s="40" t="e">
        <f t="shared" si="56"/>
        <v>#VALUE!</v>
      </c>
      <c r="BW67" s="94" t="e">
        <v>#VALUE!</v>
      </c>
      <c r="BX67" s="94" t="e">
        <v>#VALUE!</v>
      </c>
      <c r="BY67" s="94" t="e">
        <v>#VALUE!</v>
      </c>
      <c r="BZ67" s="94" t="e">
        <v>#VALUE!</v>
      </c>
      <c r="CB67" s="40" t="e">
        <f t="shared" si="57"/>
        <v>#VALUE!</v>
      </c>
      <c r="CC67" s="94" t="e">
        <v>#VALUE!</v>
      </c>
      <c r="CD67" s="94" t="e">
        <v>#VALUE!</v>
      </c>
      <c r="CE67" s="94" t="e">
        <v>#VALUE!</v>
      </c>
      <c r="CF67" s="94" t="e">
        <v>#VALUE!</v>
      </c>
      <c r="CH67" s="40" t="e">
        <f t="shared" si="58"/>
        <v>#VALUE!</v>
      </c>
      <c r="CI67" s="94" t="e">
        <v>#VALUE!</v>
      </c>
      <c r="CJ67" s="94" t="e">
        <v>#VALUE!</v>
      </c>
      <c r="CK67" s="94" t="e">
        <v>#VALUE!</v>
      </c>
      <c r="CL67" s="94" t="e">
        <v>#VALUE!</v>
      </c>
      <c r="CM67" s="94"/>
      <c r="CN67" s="40" t="e">
        <f t="shared" si="59"/>
        <v>#VALUE!</v>
      </c>
      <c r="CO67" s="94" t="e">
        <v>#VALUE!</v>
      </c>
      <c r="CP67" s="94" t="e">
        <v>#VALUE!</v>
      </c>
      <c r="CQ67" s="94" t="e">
        <v>#VALUE!</v>
      </c>
      <c r="CR67" s="94" t="e">
        <v>#VALUE!</v>
      </c>
      <c r="CS67" s="91" t="e">
        <f t="shared" si="67"/>
        <v>#REF!</v>
      </c>
      <c r="CT67" s="40" t="e">
        <f t="shared" si="60"/>
        <v>#VALUE!</v>
      </c>
      <c r="CU67" s="94" t="e">
        <v>#VALUE!</v>
      </c>
      <c r="CV67" s="94" t="e">
        <v>#VALUE!</v>
      </c>
      <c r="CW67" s="94" t="e">
        <v>#VALUE!</v>
      </c>
      <c r="CX67" s="94" t="e">
        <v>#VALUE!</v>
      </c>
      <c r="CZ67" s="40" t="e">
        <f t="shared" si="61"/>
        <v>#VALUE!</v>
      </c>
      <c r="DA67" s="94" t="e">
        <v>#VALUE!</v>
      </c>
      <c r="DB67" s="94" t="e">
        <v>#VALUE!</v>
      </c>
      <c r="DC67" s="94" t="e">
        <v>#VALUE!</v>
      </c>
      <c r="DD67" s="94" t="e">
        <v>#VALUE!</v>
      </c>
      <c r="DF67" s="40" t="e">
        <f t="shared" si="62"/>
        <v>#VALUE!</v>
      </c>
      <c r="DG67" s="94" t="e">
        <v>#VALUE!</v>
      </c>
      <c r="DH67" s="94" t="e">
        <v>#VALUE!</v>
      </c>
      <c r="DI67" s="94" t="e">
        <v>#VALUE!</v>
      </c>
      <c r="DJ67" s="94" t="e">
        <v>#VALUE!</v>
      </c>
      <c r="DK67" s="94"/>
      <c r="DL67" s="40" t="e">
        <f t="shared" si="63"/>
        <v>#VALUE!</v>
      </c>
      <c r="DM67" s="94" t="e">
        <v>#VALUE!</v>
      </c>
      <c r="DN67" s="94" t="e">
        <v>#VALUE!</v>
      </c>
      <c r="DO67" s="94" t="e">
        <v>#VALUE!</v>
      </c>
      <c r="DP67" s="94" t="e">
        <v>#VALUE!</v>
      </c>
    </row>
    <row r="68" spans="1:120" x14ac:dyDescent="0.2">
      <c r="A68" s="91" t="e">
        <f>name!#REF!</f>
        <v>#REF!</v>
      </c>
      <c r="B68" s="40" t="e">
        <f t="shared" si="44"/>
        <v>#VALUE!</v>
      </c>
      <c r="C68" s="94" t="e">
        <v>#VALUE!</v>
      </c>
      <c r="D68" s="94" t="e">
        <v>#VALUE!</v>
      </c>
      <c r="E68" s="94" t="e">
        <v>#VALUE!</v>
      </c>
      <c r="F68" s="94" t="e">
        <v>#VALUE!</v>
      </c>
      <c r="H68" s="40" t="e">
        <f t="shared" si="45"/>
        <v>#VALUE!</v>
      </c>
      <c r="I68" s="94" t="e">
        <v>#VALUE!</v>
      </c>
      <c r="J68" s="94" t="e">
        <v>#VALUE!</v>
      </c>
      <c r="K68" s="94" t="e">
        <v>#VALUE!</v>
      </c>
      <c r="L68" s="94" t="e">
        <v>#VALUE!</v>
      </c>
      <c r="N68" s="40" t="e">
        <f t="shared" si="46"/>
        <v>#VALUE!</v>
      </c>
      <c r="O68" s="94" t="e">
        <v>#VALUE!</v>
      </c>
      <c r="P68" s="94" t="e">
        <v>#VALUE!</v>
      </c>
      <c r="Q68" s="94" t="e">
        <v>#VALUE!</v>
      </c>
      <c r="R68" s="94" t="e">
        <v>#VALUE!</v>
      </c>
      <c r="S68" s="94"/>
      <c r="T68" s="40" t="e">
        <f t="shared" si="47"/>
        <v>#VALUE!</v>
      </c>
      <c r="U68" s="94" t="e">
        <v>#VALUE!</v>
      </c>
      <c r="V68" s="94" t="e">
        <v>#VALUE!</v>
      </c>
      <c r="W68" s="94" t="e">
        <v>#VALUE!</v>
      </c>
      <c r="X68" s="94" t="e">
        <v>#VALUE!</v>
      </c>
      <c r="Y68" s="91" t="e">
        <f t="shared" si="64"/>
        <v>#REF!</v>
      </c>
      <c r="Z68" s="40" t="e">
        <f t="shared" si="48"/>
        <v>#VALUE!</v>
      </c>
      <c r="AA68" s="94" t="e">
        <v>#VALUE!</v>
      </c>
      <c r="AB68" s="94" t="e">
        <v>#VALUE!</v>
      </c>
      <c r="AC68" s="94" t="e">
        <v>#VALUE!</v>
      </c>
      <c r="AD68" s="94" t="e">
        <v>#VALUE!</v>
      </c>
      <c r="AF68" s="40" t="e">
        <f t="shared" si="49"/>
        <v>#VALUE!</v>
      </c>
      <c r="AG68" s="94" t="e">
        <v>#VALUE!</v>
      </c>
      <c r="AH68" s="94" t="e">
        <v>#VALUE!</v>
      </c>
      <c r="AI68" s="94" t="e">
        <v>#VALUE!</v>
      </c>
      <c r="AJ68" s="94" t="e">
        <v>#VALUE!</v>
      </c>
      <c r="AL68" s="40" t="e">
        <f t="shared" si="50"/>
        <v>#VALUE!</v>
      </c>
      <c r="AM68" s="94" t="e">
        <v>#VALUE!</v>
      </c>
      <c r="AN68" s="94" t="e">
        <v>#VALUE!</v>
      </c>
      <c r="AO68" s="94" t="e">
        <v>#VALUE!</v>
      </c>
      <c r="AP68" s="94" t="e">
        <v>#VALUE!</v>
      </c>
      <c r="AQ68" s="94"/>
      <c r="AR68" s="40" t="e">
        <f t="shared" si="51"/>
        <v>#VALUE!</v>
      </c>
      <c r="AS68" s="94" t="e">
        <v>#VALUE!</v>
      </c>
      <c r="AT68" s="94" t="e">
        <v>#VALUE!</v>
      </c>
      <c r="AU68" s="94" t="e">
        <v>#VALUE!</v>
      </c>
      <c r="AV68" s="94" t="e">
        <v>#VALUE!</v>
      </c>
      <c r="AW68" s="91" t="e">
        <f t="shared" si="65"/>
        <v>#REF!</v>
      </c>
      <c r="AX68" s="40" t="e">
        <f t="shared" si="52"/>
        <v>#VALUE!</v>
      </c>
      <c r="AY68" s="94" t="e">
        <v>#VALUE!</v>
      </c>
      <c r="AZ68" s="94" t="e">
        <v>#VALUE!</v>
      </c>
      <c r="BA68" s="94" t="e">
        <v>#VALUE!</v>
      </c>
      <c r="BB68" s="94" t="e">
        <v>#VALUE!</v>
      </c>
      <c r="BD68" s="40" t="e">
        <f t="shared" si="53"/>
        <v>#VALUE!</v>
      </c>
      <c r="BE68" s="94" t="e">
        <v>#VALUE!</v>
      </c>
      <c r="BF68" s="94" t="e">
        <v>#VALUE!</v>
      </c>
      <c r="BG68" s="94" t="e">
        <v>#VALUE!</v>
      </c>
      <c r="BH68" s="94" t="e">
        <v>#VALUE!</v>
      </c>
      <c r="BJ68" s="40" t="e">
        <f t="shared" si="54"/>
        <v>#VALUE!</v>
      </c>
      <c r="BK68" s="94" t="e">
        <v>#VALUE!</v>
      </c>
      <c r="BL68" s="94" t="e">
        <v>#VALUE!</v>
      </c>
      <c r="BM68" s="94" t="e">
        <v>#VALUE!</v>
      </c>
      <c r="BN68" s="94" t="e">
        <v>#VALUE!</v>
      </c>
      <c r="BO68" s="94"/>
      <c r="BP68" s="40" t="e">
        <f t="shared" si="55"/>
        <v>#VALUE!</v>
      </c>
      <c r="BQ68" s="94" t="e">
        <v>#VALUE!</v>
      </c>
      <c r="BR68" s="94" t="e">
        <v>#VALUE!</v>
      </c>
      <c r="BS68" s="94" t="e">
        <v>#VALUE!</v>
      </c>
      <c r="BT68" s="94" t="e">
        <v>#VALUE!</v>
      </c>
      <c r="BU68" s="91" t="e">
        <f t="shared" si="66"/>
        <v>#REF!</v>
      </c>
      <c r="BV68" s="40" t="e">
        <f t="shared" si="56"/>
        <v>#VALUE!</v>
      </c>
      <c r="BW68" s="94" t="e">
        <v>#VALUE!</v>
      </c>
      <c r="BX68" s="94" t="e">
        <v>#VALUE!</v>
      </c>
      <c r="BY68" s="94" t="e">
        <v>#VALUE!</v>
      </c>
      <c r="BZ68" s="94" t="e">
        <v>#VALUE!</v>
      </c>
      <c r="CB68" s="40" t="e">
        <f t="shared" si="57"/>
        <v>#VALUE!</v>
      </c>
      <c r="CC68" s="94" t="e">
        <v>#VALUE!</v>
      </c>
      <c r="CD68" s="94" t="e">
        <v>#VALUE!</v>
      </c>
      <c r="CE68" s="94" t="e">
        <v>#VALUE!</v>
      </c>
      <c r="CF68" s="94" t="e">
        <v>#VALUE!</v>
      </c>
      <c r="CH68" s="40" t="e">
        <f t="shared" si="58"/>
        <v>#VALUE!</v>
      </c>
      <c r="CI68" s="94" t="e">
        <v>#VALUE!</v>
      </c>
      <c r="CJ68" s="94" t="e">
        <v>#VALUE!</v>
      </c>
      <c r="CK68" s="94" t="e">
        <v>#VALUE!</v>
      </c>
      <c r="CL68" s="94" t="e">
        <v>#VALUE!</v>
      </c>
      <c r="CM68" s="94"/>
      <c r="CN68" s="40" t="e">
        <f t="shared" si="59"/>
        <v>#VALUE!</v>
      </c>
      <c r="CO68" s="94" t="e">
        <v>#VALUE!</v>
      </c>
      <c r="CP68" s="94" t="e">
        <v>#VALUE!</v>
      </c>
      <c r="CQ68" s="94" t="e">
        <v>#VALUE!</v>
      </c>
      <c r="CR68" s="94" t="e">
        <v>#VALUE!</v>
      </c>
      <c r="CS68" s="91" t="e">
        <f t="shared" si="67"/>
        <v>#REF!</v>
      </c>
      <c r="CT68" s="40" t="e">
        <f t="shared" si="60"/>
        <v>#VALUE!</v>
      </c>
      <c r="CU68" s="94" t="e">
        <v>#VALUE!</v>
      </c>
      <c r="CV68" s="94" t="e">
        <v>#VALUE!</v>
      </c>
      <c r="CW68" s="94" t="e">
        <v>#VALUE!</v>
      </c>
      <c r="CX68" s="94" t="e">
        <v>#VALUE!</v>
      </c>
      <c r="CZ68" s="40" t="e">
        <f t="shared" si="61"/>
        <v>#VALUE!</v>
      </c>
      <c r="DA68" s="94" t="e">
        <v>#VALUE!</v>
      </c>
      <c r="DB68" s="94" t="e">
        <v>#VALUE!</v>
      </c>
      <c r="DC68" s="94" t="e">
        <v>#VALUE!</v>
      </c>
      <c r="DD68" s="94" t="e">
        <v>#VALUE!</v>
      </c>
      <c r="DF68" s="40" t="e">
        <f t="shared" si="62"/>
        <v>#VALUE!</v>
      </c>
      <c r="DG68" s="94" t="e">
        <v>#VALUE!</v>
      </c>
      <c r="DH68" s="94" t="e">
        <v>#VALUE!</v>
      </c>
      <c r="DI68" s="94" t="e">
        <v>#VALUE!</v>
      </c>
      <c r="DJ68" s="94" t="e">
        <v>#VALUE!</v>
      </c>
      <c r="DK68" s="94"/>
      <c r="DL68" s="40" t="e">
        <f t="shared" si="63"/>
        <v>#VALUE!</v>
      </c>
      <c r="DM68" s="94" t="e">
        <v>#VALUE!</v>
      </c>
      <c r="DN68" s="94" t="e">
        <v>#VALUE!</v>
      </c>
      <c r="DO68" s="94" t="e">
        <v>#VALUE!</v>
      </c>
      <c r="DP68" s="94" t="e">
        <v>#VALUE!</v>
      </c>
    </row>
    <row r="69" spans="1:120" x14ac:dyDescent="0.2">
      <c r="A69" s="91" t="e">
        <f>name!#REF!</f>
        <v>#REF!</v>
      </c>
      <c r="B69" s="40" t="e">
        <f t="shared" si="44"/>
        <v>#VALUE!</v>
      </c>
      <c r="C69" s="94" t="e">
        <v>#VALUE!</v>
      </c>
      <c r="D69" s="94" t="e">
        <v>#VALUE!</v>
      </c>
      <c r="E69" s="94" t="e">
        <v>#VALUE!</v>
      </c>
      <c r="F69" s="94" t="e">
        <v>#VALUE!</v>
      </c>
      <c r="H69" s="40" t="e">
        <f t="shared" si="45"/>
        <v>#VALUE!</v>
      </c>
      <c r="I69" s="94" t="e">
        <v>#VALUE!</v>
      </c>
      <c r="J69" s="94" t="e">
        <v>#VALUE!</v>
      </c>
      <c r="K69" s="94" t="e">
        <v>#VALUE!</v>
      </c>
      <c r="L69" s="94" t="e">
        <v>#VALUE!</v>
      </c>
      <c r="N69" s="40" t="e">
        <f t="shared" si="46"/>
        <v>#VALUE!</v>
      </c>
      <c r="O69" s="94" t="e">
        <v>#VALUE!</v>
      </c>
      <c r="P69" s="94" t="e">
        <v>#VALUE!</v>
      </c>
      <c r="Q69" s="94" t="e">
        <v>#VALUE!</v>
      </c>
      <c r="R69" s="94" t="e">
        <v>#VALUE!</v>
      </c>
      <c r="S69" s="94"/>
      <c r="T69" s="40" t="e">
        <f t="shared" si="47"/>
        <v>#VALUE!</v>
      </c>
      <c r="U69" s="94" t="e">
        <v>#VALUE!</v>
      </c>
      <c r="V69" s="94" t="e">
        <v>#VALUE!</v>
      </c>
      <c r="W69" s="94" t="e">
        <v>#VALUE!</v>
      </c>
      <c r="X69" s="94" t="e">
        <v>#VALUE!</v>
      </c>
      <c r="Y69" s="91" t="e">
        <f t="shared" si="64"/>
        <v>#REF!</v>
      </c>
      <c r="Z69" s="40" t="e">
        <f t="shared" si="48"/>
        <v>#VALUE!</v>
      </c>
      <c r="AA69" s="94" t="e">
        <v>#VALUE!</v>
      </c>
      <c r="AB69" s="94" t="e">
        <v>#VALUE!</v>
      </c>
      <c r="AC69" s="94" t="e">
        <v>#VALUE!</v>
      </c>
      <c r="AD69" s="94" t="e">
        <v>#VALUE!</v>
      </c>
      <c r="AF69" s="40" t="e">
        <f t="shared" si="49"/>
        <v>#VALUE!</v>
      </c>
      <c r="AG69" s="94" t="e">
        <v>#VALUE!</v>
      </c>
      <c r="AH69" s="94" t="e">
        <v>#VALUE!</v>
      </c>
      <c r="AI69" s="94" t="e">
        <v>#VALUE!</v>
      </c>
      <c r="AJ69" s="94" t="e">
        <v>#VALUE!</v>
      </c>
      <c r="AL69" s="40" t="e">
        <f t="shared" si="50"/>
        <v>#VALUE!</v>
      </c>
      <c r="AM69" s="94" t="e">
        <v>#VALUE!</v>
      </c>
      <c r="AN69" s="94" t="e">
        <v>#VALUE!</v>
      </c>
      <c r="AO69" s="94" t="e">
        <v>#VALUE!</v>
      </c>
      <c r="AP69" s="94" t="e">
        <v>#VALUE!</v>
      </c>
      <c r="AQ69" s="94"/>
      <c r="AR69" s="40" t="e">
        <f t="shared" si="51"/>
        <v>#VALUE!</v>
      </c>
      <c r="AS69" s="94" t="e">
        <v>#VALUE!</v>
      </c>
      <c r="AT69" s="94" t="e">
        <v>#VALUE!</v>
      </c>
      <c r="AU69" s="94" t="e">
        <v>#VALUE!</v>
      </c>
      <c r="AV69" s="94" t="e">
        <v>#VALUE!</v>
      </c>
      <c r="AW69" s="91" t="e">
        <f t="shared" si="65"/>
        <v>#REF!</v>
      </c>
      <c r="AX69" s="40" t="e">
        <f t="shared" si="52"/>
        <v>#VALUE!</v>
      </c>
      <c r="AY69" s="94" t="e">
        <v>#VALUE!</v>
      </c>
      <c r="AZ69" s="94" t="e">
        <v>#VALUE!</v>
      </c>
      <c r="BA69" s="94" t="e">
        <v>#VALUE!</v>
      </c>
      <c r="BB69" s="94" t="e">
        <v>#VALUE!</v>
      </c>
      <c r="BD69" s="40" t="e">
        <f t="shared" si="53"/>
        <v>#VALUE!</v>
      </c>
      <c r="BE69" s="94" t="e">
        <v>#VALUE!</v>
      </c>
      <c r="BF69" s="94" t="e">
        <v>#VALUE!</v>
      </c>
      <c r="BG69" s="94" t="e">
        <v>#VALUE!</v>
      </c>
      <c r="BH69" s="94" t="e">
        <v>#VALUE!</v>
      </c>
      <c r="BJ69" s="40" t="e">
        <f t="shared" si="54"/>
        <v>#VALUE!</v>
      </c>
      <c r="BK69" s="94" t="e">
        <v>#VALUE!</v>
      </c>
      <c r="BL69" s="94" t="e">
        <v>#VALUE!</v>
      </c>
      <c r="BM69" s="94" t="e">
        <v>#VALUE!</v>
      </c>
      <c r="BN69" s="94" t="e">
        <v>#VALUE!</v>
      </c>
      <c r="BO69" s="94"/>
      <c r="BP69" s="40" t="e">
        <f t="shared" si="55"/>
        <v>#VALUE!</v>
      </c>
      <c r="BQ69" s="94" t="e">
        <v>#VALUE!</v>
      </c>
      <c r="BR69" s="94" t="e">
        <v>#VALUE!</v>
      </c>
      <c r="BS69" s="94" t="e">
        <v>#VALUE!</v>
      </c>
      <c r="BT69" s="94" t="e">
        <v>#VALUE!</v>
      </c>
      <c r="BU69" s="91" t="e">
        <f t="shared" si="66"/>
        <v>#REF!</v>
      </c>
      <c r="BV69" s="40" t="e">
        <f t="shared" si="56"/>
        <v>#VALUE!</v>
      </c>
      <c r="BW69" s="94" t="e">
        <v>#VALUE!</v>
      </c>
      <c r="BX69" s="94" t="e">
        <v>#VALUE!</v>
      </c>
      <c r="BY69" s="94" t="e">
        <v>#VALUE!</v>
      </c>
      <c r="BZ69" s="94" t="e">
        <v>#VALUE!</v>
      </c>
      <c r="CB69" s="40" t="e">
        <f t="shared" si="57"/>
        <v>#VALUE!</v>
      </c>
      <c r="CC69" s="94" t="e">
        <v>#VALUE!</v>
      </c>
      <c r="CD69" s="94" t="e">
        <v>#VALUE!</v>
      </c>
      <c r="CE69" s="94" t="e">
        <v>#VALUE!</v>
      </c>
      <c r="CF69" s="94" t="e">
        <v>#VALUE!</v>
      </c>
      <c r="CH69" s="40" t="e">
        <f t="shared" si="58"/>
        <v>#VALUE!</v>
      </c>
      <c r="CI69" s="94" t="e">
        <v>#VALUE!</v>
      </c>
      <c r="CJ69" s="94" t="e">
        <v>#VALUE!</v>
      </c>
      <c r="CK69" s="94" t="e">
        <v>#VALUE!</v>
      </c>
      <c r="CL69" s="94" t="e">
        <v>#VALUE!</v>
      </c>
      <c r="CM69" s="94"/>
      <c r="CN69" s="40" t="e">
        <f t="shared" si="59"/>
        <v>#VALUE!</v>
      </c>
      <c r="CO69" s="94" t="e">
        <v>#VALUE!</v>
      </c>
      <c r="CP69" s="94" t="e">
        <v>#VALUE!</v>
      </c>
      <c r="CQ69" s="94" t="e">
        <v>#VALUE!</v>
      </c>
      <c r="CR69" s="94" t="e">
        <v>#VALUE!</v>
      </c>
      <c r="CS69" s="91" t="e">
        <f t="shared" si="67"/>
        <v>#REF!</v>
      </c>
      <c r="CT69" s="40" t="e">
        <f t="shared" si="60"/>
        <v>#VALUE!</v>
      </c>
      <c r="CU69" s="94" t="e">
        <v>#VALUE!</v>
      </c>
      <c r="CV69" s="94" t="e">
        <v>#VALUE!</v>
      </c>
      <c r="CW69" s="94" t="e">
        <v>#VALUE!</v>
      </c>
      <c r="CX69" s="94" t="e">
        <v>#VALUE!</v>
      </c>
      <c r="CZ69" s="40" t="e">
        <f t="shared" si="61"/>
        <v>#VALUE!</v>
      </c>
      <c r="DA69" s="94" t="e">
        <v>#VALUE!</v>
      </c>
      <c r="DB69" s="94" t="e">
        <v>#VALUE!</v>
      </c>
      <c r="DC69" s="94" t="e">
        <v>#VALUE!</v>
      </c>
      <c r="DD69" s="94" t="e">
        <v>#VALUE!</v>
      </c>
      <c r="DF69" s="40" t="e">
        <f t="shared" si="62"/>
        <v>#VALUE!</v>
      </c>
      <c r="DG69" s="94" t="e">
        <v>#VALUE!</v>
      </c>
      <c r="DH69" s="94" t="e">
        <v>#VALUE!</v>
      </c>
      <c r="DI69" s="94" t="e">
        <v>#VALUE!</v>
      </c>
      <c r="DJ69" s="94" t="e">
        <v>#VALUE!</v>
      </c>
      <c r="DK69" s="94"/>
      <c r="DL69" s="40" t="e">
        <f t="shared" si="63"/>
        <v>#VALUE!</v>
      </c>
      <c r="DM69" s="94" t="e">
        <v>#VALUE!</v>
      </c>
      <c r="DN69" s="94" t="e">
        <v>#VALUE!</v>
      </c>
      <c r="DO69" s="94" t="e">
        <v>#VALUE!</v>
      </c>
      <c r="DP69" s="94" t="e">
        <v>#VALUE!</v>
      </c>
    </row>
    <row r="70" spans="1:120" x14ac:dyDescent="0.2">
      <c r="A70" s="91" t="e">
        <f>name!#REF!</f>
        <v>#REF!</v>
      </c>
      <c r="B70" s="40" t="e">
        <f t="shared" si="44"/>
        <v>#VALUE!</v>
      </c>
      <c r="C70" s="94" t="e">
        <v>#VALUE!</v>
      </c>
      <c r="D70" s="94" t="e">
        <v>#VALUE!</v>
      </c>
      <c r="E70" s="94" t="e">
        <v>#VALUE!</v>
      </c>
      <c r="F70" s="94" t="e">
        <v>#VALUE!</v>
      </c>
      <c r="H70" s="40" t="e">
        <f t="shared" si="45"/>
        <v>#VALUE!</v>
      </c>
      <c r="I70" s="94" t="e">
        <v>#VALUE!</v>
      </c>
      <c r="J70" s="94" t="e">
        <v>#VALUE!</v>
      </c>
      <c r="K70" s="94" t="e">
        <v>#VALUE!</v>
      </c>
      <c r="L70" s="94" t="e">
        <v>#VALUE!</v>
      </c>
      <c r="N70" s="40" t="e">
        <f t="shared" si="46"/>
        <v>#VALUE!</v>
      </c>
      <c r="O70" s="94" t="e">
        <v>#VALUE!</v>
      </c>
      <c r="P70" s="94" t="e">
        <v>#VALUE!</v>
      </c>
      <c r="Q70" s="94" t="e">
        <v>#VALUE!</v>
      </c>
      <c r="R70" s="94" t="e">
        <v>#VALUE!</v>
      </c>
      <c r="S70" s="94"/>
      <c r="T70" s="40" t="e">
        <f t="shared" si="47"/>
        <v>#VALUE!</v>
      </c>
      <c r="U70" s="94" t="e">
        <v>#VALUE!</v>
      </c>
      <c r="V70" s="94" t="e">
        <v>#VALUE!</v>
      </c>
      <c r="W70" s="94" t="e">
        <v>#VALUE!</v>
      </c>
      <c r="X70" s="94" t="e">
        <v>#VALUE!</v>
      </c>
      <c r="Y70" s="91" t="e">
        <f t="shared" si="64"/>
        <v>#REF!</v>
      </c>
      <c r="Z70" s="40" t="e">
        <f t="shared" si="48"/>
        <v>#VALUE!</v>
      </c>
      <c r="AA70" s="94" t="e">
        <v>#VALUE!</v>
      </c>
      <c r="AB70" s="94" t="e">
        <v>#VALUE!</v>
      </c>
      <c r="AC70" s="94" t="e">
        <v>#VALUE!</v>
      </c>
      <c r="AD70" s="94" t="e">
        <v>#VALUE!</v>
      </c>
      <c r="AF70" s="40" t="e">
        <f t="shared" si="49"/>
        <v>#VALUE!</v>
      </c>
      <c r="AG70" s="94" t="e">
        <v>#VALUE!</v>
      </c>
      <c r="AH70" s="94" t="e">
        <v>#VALUE!</v>
      </c>
      <c r="AI70" s="94" t="e">
        <v>#VALUE!</v>
      </c>
      <c r="AJ70" s="94" t="e">
        <v>#VALUE!</v>
      </c>
      <c r="AL70" s="40" t="e">
        <f t="shared" si="50"/>
        <v>#VALUE!</v>
      </c>
      <c r="AM70" s="94" t="e">
        <v>#VALUE!</v>
      </c>
      <c r="AN70" s="94" t="e">
        <v>#VALUE!</v>
      </c>
      <c r="AO70" s="94" t="e">
        <v>#VALUE!</v>
      </c>
      <c r="AP70" s="94" t="e">
        <v>#VALUE!</v>
      </c>
      <c r="AQ70" s="94"/>
      <c r="AR70" s="40" t="e">
        <f t="shared" si="51"/>
        <v>#VALUE!</v>
      </c>
      <c r="AS70" s="94" t="e">
        <v>#VALUE!</v>
      </c>
      <c r="AT70" s="94" t="e">
        <v>#VALUE!</v>
      </c>
      <c r="AU70" s="94" t="e">
        <v>#VALUE!</v>
      </c>
      <c r="AV70" s="94" t="e">
        <v>#VALUE!</v>
      </c>
      <c r="AW70" s="91" t="e">
        <f t="shared" si="65"/>
        <v>#REF!</v>
      </c>
      <c r="AX70" s="40" t="e">
        <f t="shared" si="52"/>
        <v>#VALUE!</v>
      </c>
      <c r="AY70" s="94" t="e">
        <v>#VALUE!</v>
      </c>
      <c r="AZ70" s="94" t="e">
        <v>#VALUE!</v>
      </c>
      <c r="BA70" s="94" t="e">
        <v>#VALUE!</v>
      </c>
      <c r="BB70" s="94" t="e">
        <v>#VALUE!</v>
      </c>
      <c r="BD70" s="40" t="e">
        <f t="shared" si="53"/>
        <v>#VALUE!</v>
      </c>
      <c r="BE70" s="94" t="e">
        <v>#VALUE!</v>
      </c>
      <c r="BF70" s="94" t="e">
        <v>#VALUE!</v>
      </c>
      <c r="BG70" s="94" t="e">
        <v>#VALUE!</v>
      </c>
      <c r="BH70" s="94" t="e">
        <v>#VALUE!</v>
      </c>
      <c r="BJ70" s="40" t="e">
        <f t="shared" si="54"/>
        <v>#VALUE!</v>
      </c>
      <c r="BK70" s="94" t="e">
        <v>#VALUE!</v>
      </c>
      <c r="BL70" s="94" t="e">
        <v>#VALUE!</v>
      </c>
      <c r="BM70" s="94" t="e">
        <v>#VALUE!</v>
      </c>
      <c r="BN70" s="94" t="e">
        <v>#VALUE!</v>
      </c>
      <c r="BO70" s="94"/>
      <c r="BP70" s="40" t="e">
        <f t="shared" si="55"/>
        <v>#VALUE!</v>
      </c>
      <c r="BQ70" s="94" t="e">
        <v>#VALUE!</v>
      </c>
      <c r="BR70" s="94" t="e">
        <v>#VALUE!</v>
      </c>
      <c r="BS70" s="94" t="e">
        <v>#VALUE!</v>
      </c>
      <c r="BT70" s="94" t="e">
        <v>#VALUE!</v>
      </c>
      <c r="BU70" s="91" t="e">
        <f t="shared" si="66"/>
        <v>#REF!</v>
      </c>
      <c r="BV70" s="40" t="e">
        <f t="shared" si="56"/>
        <v>#VALUE!</v>
      </c>
      <c r="BW70" s="94" t="e">
        <v>#VALUE!</v>
      </c>
      <c r="BX70" s="94" t="e">
        <v>#VALUE!</v>
      </c>
      <c r="BY70" s="94" t="e">
        <v>#VALUE!</v>
      </c>
      <c r="BZ70" s="94" t="e">
        <v>#VALUE!</v>
      </c>
      <c r="CB70" s="40" t="e">
        <f t="shared" si="57"/>
        <v>#VALUE!</v>
      </c>
      <c r="CC70" s="94" t="e">
        <v>#VALUE!</v>
      </c>
      <c r="CD70" s="94" t="e">
        <v>#VALUE!</v>
      </c>
      <c r="CE70" s="94" t="e">
        <v>#VALUE!</v>
      </c>
      <c r="CF70" s="94" t="e">
        <v>#VALUE!</v>
      </c>
      <c r="CH70" s="40" t="e">
        <f t="shared" si="58"/>
        <v>#VALUE!</v>
      </c>
      <c r="CI70" s="94" t="e">
        <v>#VALUE!</v>
      </c>
      <c r="CJ70" s="94" t="e">
        <v>#VALUE!</v>
      </c>
      <c r="CK70" s="94" t="e">
        <v>#VALUE!</v>
      </c>
      <c r="CL70" s="94" t="e">
        <v>#VALUE!</v>
      </c>
      <c r="CM70" s="94"/>
      <c r="CN70" s="40" t="e">
        <f t="shared" si="59"/>
        <v>#VALUE!</v>
      </c>
      <c r="CO70" s="94" t="e">
        <v>#VALUE!</v>
      </c>
      <c r="CP70" s="94" t="e">
        <v>#VALUE!</v>
      </c>
      <c r="CQ70" s="94" t="e">
        <v>#VALUE!</v>
      </c>
      <c r="CR70" s="94" t="e">
        <v>#VALUE!</v>
      </c>
      <c r="CS70" s="91" t="e">
        <f t="shared" si="67"/>
        <v>#REF!</v>
      </c>
      <c r="CT70" s="40" t="e">
        <f t="shared" si="60"/>
        <v>#VALUE!</v>
      </c>
      <c r="CU70" s="94" t="e">
        <v>#VALUE!</v>
      </c>
      <c r="CV70" s="94" t="e">
        <v>#VALUE!</v>
      </c>
      <c r="CW70" s="94" t="e">
        <v>#VALUE!</v>
      </c>
      <c r="CX70" s="94" t="e">
        <v>#VALUE!</v>
      </c>
      <c r="CZ70" s="40" t="e">
        <f t="shared" si="61"/>
        <v>#VALUE!</v>
      </c>
      <c r="DA70" s="94" t="e">
        <v>#VALUE!</v>
      </c>
      <c r="DB70" s="94" t="e">
        <v>#VALUE!</v>
      </c>
      <c r="DC70" s="94" t="e">
        <v>#VALUE!</v>
      </c>
      <c r="DD70" s="94" t="e">
        <v>#VALUE!</v>
      </c>
      <c r="DF70" s="40" t="e">
        <f t="shared" si="62"/>
        <v>#VALUE!</v>
      </c>
      <c r="DG70" s="94" t="e">
        <v>#VALUE!</v>
      </c>
      <c r="DH70" s="94" t="e">
        <v>#VALUE!</v>
      </c>
      <c r="DI70" s="94" t="e">
        <v>#VALUE!</v>
      </c>
      <c r="DJ70" s="94" t="e">
        <v>#VALUE!</v>
      </c>
      <c r="DK70" s="94"/>
      <c r="DL70" s="40" t="e">
        <f t="shared" si="63"/>
        <v>#VALUE!</v>
      </c>
      <c r="DM70" s="94" t="e">
        <v>#VALUE!</v>
      </c>
      <c r="DN70" s="94" t="e">
        <v>#VALUE!</v>
      </c>
      <c r="DO70" s="94" t="e">
        <v>#VALUE!</v>
      </c>
      <c r="DP70" s="94" t="e">
        <v>#VALUE!</v>
      </c>
    </row>
    <row r="71" spans="1:120" x14ac:dyDescent="0.2">
      <c r="A71" s="91" t="e">
        <f>name!#REF!</f>
        <v>#REF!</v>
      </c>
      <c r="B71" s="40" t="e">
        <f t="shared" si="44"/>
        <v>#VALUE!</v>
      </c>
      <c r="C71" s="94" t="e">
        <v>#VALUE!</v>
      </c>
      <c r="D71" s="94" t="e">
        <v>#VALUE!</v>
      </c>
      <c r="E71" s="94" t="e">
        <v>#VALUE!</v>
      </c>
      <c r="F71" s="94" t="e">
        <v>#VALUE!</v>
      </c>
      <c r="H71" s="40" t="e">
        <f t="shared" si="45"/>
        <v>#VALUE!</v>
      </c>
      <c r="I71" s="94" t="e">
        <v>#VALUE!</v>
      </c>
      <c r="J71" s="94" t="e">
        <v>#VALUE!</v>
      </c>
      <c r="K71" s="94" t="e">
        <v>#VALUE!</v>
      </c>
      <c r="L71" s="94" t="e">
        <v>#VALUE!</v>
      </c>
      <c r="N71" s="40" t="e">
        <f t="shared" si="46"/>
        <v>#VALUE!</v>
      </c>
      <c r="O71" s="94" t="e">
        <v>#VALUE!</v>
      </c>
      <c r="P71" s="94" t="e">
        <v>#VALUE!</v>
      </c>
      <c r="Q71" s="94" t="e">
        <v>#VALUE!</v>
      </c>
      <c r="R71" s="94" t="e">
        <v>#VALUE!</v>
      </c>
      <c r="S71" s="94"/>
      <c r="T71" s="40" t="e">
        <f t="shared" si="47"/>
        <v>#VALUE!</v>
      </c>
      <c r="U71" s="94" t="e">
        <v>#VALUE!</v>
      </c>
      <c r="V71" s="94" t="e">
        <v>#VALUE!</v>
      </c>
      <c r="W71" s="94" t="e">
        <v>#VALUE!</v>
      </c>
      <c r="X71" s="94" t="e">
        <v>#VALUE!</v>
      </c>
      <c r="Y71" s="91" t="e">
        <f t="shared" si="64"/>
        <v>#REF!</v>
      </c>
      <c r="Z71" s="40" t="e">
        <f t="shared" si="48"/>
        <v>#VALUE!</v>
      </c>
      <c r="AA71" s="94" t="e">
        <v>#VALUE!</v>
      </c>
      <c r="AB71" s="94" t="e">
        <v>#VALUE!</v>
      </c>
      <c r="AC71" s="94" t="e">
        <v>#VALUE!</v>
      </c>
      <c r="AD71" s="94" t="e">
        <v>#VALUE!</v>
      </c>
      <c r="AF71" s="40" t="e">
        <f t="shared" si="49"/>
        <v>#VALUE!</v>
      </c>
      <c r="AG71" s="94" t="e">
        <v>#VALUE!</v>
      </c>
      <c r="AH71" s="94" t="e">
        <v>#VALUE!</v>
      </c>
      <c r="AI71" s="94" t="e">
        <v>#VALUE!</v>
      </c>
      <c r="AJ71" s="94" t="e">
        <v>#VALUE!</v>
      </c>
      <c r="AL71" s="40" t="e">
        <f t="shared" si="50"/>
        <v>#VALUE!</v>
      </c>
      <c r="AM71" s="94" t="e">
        <v>#VALUE!</v>
      </c>
      <c r="AN71" s="94" t="e">
        <v>#VALUE!</v>
      </c>
      <c r="AO71" s="94" t="e">
        <v>#VALUE!</v>
      </c>
      <c r="AP71" s="94" t="e">
        <v>#VALUE!</v>
      </c>
      <c r="AQ71" s="94"/>
      <c r="AR71" s="40" t="e">
        <f t="shared" si="51"/>
        <v>#VALUE!</v>
      </c>
      <c r="AS71" s="94" t="e">
        <v>#VALUE!</v>
      </c>
      <c r="AT71" s="94" t="e">
        <v>#VALUE!</v>
      </c>
      <c r="AU71" s="94" t="e">
        <v>#VALUE!</v>
      </c>
      <c r="AV71" s="94" t="e">
        <v>#VALUE!</v>
      </c>
      <c r="AW71" s="91" t="e">
        <f t="shared" si="65"/>
        <v>#REF!</v>
      </c>
      <c r="AX71" s="40" t="e">
        <f t="shared" si="52"/>
        <v>#VALUE!</v>
      </c>
      <c r="AY71" s="94" t="e">
        <v>#VALUE!</v>
      </c>
      <c r="AZ71" s="94" t="e">
        <v>#VALUE!</v>
      </c>
      <c r="BA71" s="94" t="e">
        <v>#VALUE!</v>
      </c>
      <c r="BB71" s="94" t="e">
        <v>#VALUE!</v>
      </c>
      <c r="BD71" s="40" t="e">
        <f t="shared" si="53"/>
        <v>#VALUE!</v>
      </c>
      <c r="BE71" s="94" t="e">
        <v>#VALUE!</v>
      </c>
      <c r="BF71" s="94" t="e">
        <v>#VALUE!</v>
      </c>
      <c r="BG71" s="94" t="e">
        <v>#VALUE!</v>
      </c>
      <c r="BH71" s="94" t="e">
        <v>#VALUE!</v>
      </c>
      <c r="BJ71" s="40" t="e">
        <f t="shared" si="54"/>
        <v>#VALUE!</v>
      </c>
      <c r="BK71" s="94" t="e">
        <v>#VALUE!</v>
      </c>
      <c r="BL71" s="94" t="e">
        <v>#VALUE!</v>
      </c>
      <c r="BM71" s="94" t="e">
        <v>#VALUE!</v>
      </c>
      <c r="BN71" s="94" t="e">
        <v>#VALUE!</v>
      </c>
      <c r="BO71" s="94"/>
      <c r="BP71" s="40" t="e">
        <f t="shared" si="55"/>
        <v>#VALUE!</v>
      </c>
      <c r="BQ71" s="94" t="e">
        <v>#VALUE!</v>
      </c>
      <c r="BR71" s="94" t="e">
        <v>#VALUE!</v>
      </c>
      <c r="BS71" s="94" t="e">
        <v>#VALUE!</v>
      </c>
      <c r="BT71" s="94" t="e">
        <v>#VALUE!</v>
      </c>
      <c r="BU71" s="91" t="e">
        <f t="shared" si="66"/>
        <v>#REF!</v>
      </c>
      <c r="BV71" s="40" t="e">
        <f t="shared" si="56"/>
        <v>#VALUE!</v>
      </c>
      <c r="BW71" s="94" t="e">
        <v>#VALUE!</v>
      </c>
      <c r="BX71" s="94" t="e">
        <v>#VALUE!</v>
      </c>
      <c r="BY71" s="94" t="e">
        <v>#VALUE!</v>
      </c>
      <c r="BZ71" s="94" t="e">
        <v>#VALUE!</v>
      </c>
      <c r="CB71" s="40" t="e">
        <f t="shared" si="57"/>
        <v>#VALUE!</v>
      </c>
      <c r="CC71" s="94" t="e">
        <v>#VALUE!</v>
      </c>
      <c r="CD71" s="94" t="e">
        <v>#VALUE!</v>
      </c>
      <c r="CE71" s="94" t="e">
        <v>#VALUE!</v>
      </c>
      <c r="CF71" s="94" t="e">
        <v>#VALUE!</v>
      </c>
      <c r="CH71" s="40" t="e">
        <f t="shared" si="58"/>
        <v>#VALUE!</v>
      </c>
      <c r="CI71" s="94" t="e">
        <v>#VALUE!</v>
      </c>
      <c r="CJ71" s="94" t="e">
        <v>#VALUE!</v>
      </c>
      <c r="CK71" s="94" t="e">
        <v>#VALUE!</v>
      </c>
      <c r="CL71" s="94" t="e">
        <v>#VALUE!</v>
      </c>
      <c r="CM71" s="94"/>
      <c r="CN71" s="40" t="e">
        <f t="shared" si="59"/>
        <v>#VALUE!</v>
      </c>
      <c r="CO71" s="94" t="e">
        <v>#VALUE!</v>
      </c>
      <c r="CP71" s="94" t="e">
        <v>#VALUE!</v>
      </c>
      <c r="CQ71" s="94" t="e">
        <v>#VALUE!</v>
      </c>
      <c r="CR71" s="94" t="e">
        <v>#VALUE!</v>
      </c>
      <c r="CS71" s="91" t="e">
        <f t="shared" si="67"/>
        <v>#REF!</v>
      </c>
      <c r="CT71" s="40" t="e">
        <f t="shared" si="60"/>
        <v>#VALUE!</v>
      </c>
      <c r="CU71" s="94" t="e">
        <v>#VALUE!</v>
      </c>
      <c r="CV71" s="94" t="e">
        <v>#VALUE!</v>
      </c>
      <c r="CW71" s="94" t="e">
        <v>#VALUE!</v>
      </c>
      <c r="CX71" s="94" t="e">
        <v>#VALUE!</v>
      </c>
      <c r="CZ71" s="40" t="e">
        <f t="shared" si="61"/>
        <v>#VALUE!</v>
      </c>
      <c r="DA71" s="94" t="e">
        <v>#VALUE!</v>
      </c>
      <c r="DB71" s="94" t="e">
        <v>#VALUE!</v>
      </c>
      <c r="DC71" s="94" t="e">
        <v>#VALUE!</v>
      </c>
      <c r="DD71" s="94" t="e">
        <v>#VALUE!</v>
      </c>
      <c r="DF71" s="40" t="e">
        <f t="shared" si="62"/>
        <v>#VALUE!</v>
      </c>
      <c r="DG71" s="94" t="e">
        <v>#VALUE!</v>
      </c>
      <c r="DH71" s="94" t="e">
        <v>#VALUE!</v>
      </c>
      <c r="DI71" s="94" t="e">
        <v>#VALUE!</v>
      </c>
      <c r="DJ71" s="94" t="e">
        <v>#VALUE!</v>
      </c>
      <c r="DK71" s="94"/>
      <c r="DL71" s="40" t="e">
        <f t="shared" si="63"/>
        <v>#VALUE!</v>
      </c>
      <c r="DM71" s="94" t="e">
        <v>#VALUE!</v>
      </c>
      <c r="DN71" s="94" t="e">
        <v>#VALUE!</v>
      </c>
      <c r="DO71" s="94" t="e">
        <v>#VALUE!</v>
      </c>
      <c r="DP71" s="94" t="e">
        <v>#VALUE!</v>
      </c>
    </row>
    <row r="72" spans="1:120" x14ac:dyDescent="0.2">
      <c r="A72" s="91" t="e">
        <f>name!#REF!</f>
        <v>#REF!</v>
      </c>
      <c r="B72" s="40" t="e">
        <f t="shared" si="44"/>
        <v>#VALUE!</v>
      </c>
      <c r="C72" s="94" t="e">
        <v>#VALUE!</v>
      </c>
      <c r="D72" s="94" t="e">
        <v>#VALUE!</v>
      </c>
      <c r="E72" s="94" t="e">
        <v>#VALUE!</v>
      </c>
      <c r="F72" s="94" t="e">
        <v>#VALUE!</v>
      </c>
      <c r="H72" s="40" t="e">
        <f t="shared" si="45"/>
        <v>#VALUE!</v>
      </c>
      <c r="I72" s="94" t="e">
        <v>#VALUE!</v>
      </c>
      <c r="J72" s="94" t="e">
        <v>#VALUE!</v>
      </c>
      <c r="K72" s="94" t="e">
        <v>#VALUE!</v>
      </c>
      <c r="L72" s="94" t="e">
        <v>#VALUE!</v>
      </c>
      <c r="N72" s="40" t="e">
        <f t="shared" si="46"/>
        <v>#VALUE!</v>
      </c>
      <c r="O72" s="94" t="e">
        <v>#VALUE!</v>
      </c>
      <c r="P72" s="94" t="e">
        <v>#VALUE!</v>
      </c>
      <c r="Q72" s="94" t="e">
        <v>#VALUE!</v>
      </c>
      <c r="R72" s="94" t="e">
        <v>#VALUE!</v>
      </c>
      <c r="S72" s="94"/>
      <c r="T72" s="40" t="e">
        <f t="shared" si="47"/>
        <v>#VALUE!</v>
      </c>
      <c r="U72" s="94" t="e">
        <v>#VALUE!</v>
      </c>
      <c r="V72" s="94" t="e">
        <v>#VALUE!</v>
      </c>
      <c r="W72" s="94" t="e">
        <v>#VALUE!</v>
      </c>
      <c r="X72" s="94" t="e">
        <v>#VALUE!</v>
      </c>
      <c r="Y72" s="91" t="e">
        <f t="shared" si="64"/>
        <v>#REF!</v>
      </c>
      <c r="Z72" s="40" t="e">
        <f t="shared" si="48"/>
        <v>#VALUE!</v>
      </c>
      <c r="AA72" s="94" t="e">
        <v>#VALUE!</v>
      </c>
      <c r="AB72" s="94" t="e">
        <v>#VALUE!</v>
      </c>
      <c r="AC72" s="94" t="e">
        <v>#VALUE!</v>
      </c>
      <c r="AD72" s="94" t="e">
        <v>#VALUE!</v>
      </c>
      <c r="AF72" s="40" t="e">
        <f t="shared" si="49"/>
        <v>#VALUE!</v>
      </c>
      <c r="AG72" s="94" t="e">
        <v>#VALUE!</v>
      </c>
      <c r="AH72" s="94" t="e">
        <v>#VALUE!</v>
      </c>
      <c r="AI72" s="94" t="e">
        <v>#VALUE!</v>
      </c>
      <c r="AJ72" s="94" t="e">
        <v>#VALUE!</v>
      </c>
      <c r="AL72" s="40" t="e">
        <f t="shared" si="50"/>
        <v>#VALUE!</v>
      </c>
      <c r="AM72" s="94" t="e">
        <v>#VALUE!</v>
      </c>
      <c r="AN72" s="94" t="e">
        <v>#VALUE!</v>
      </c>
      <c r="AO72" s="94" t="e">
        <v>#VALUE!</v>
      </c>
      <c r="AP72" s="94" t="e">
        <v>#VALUE!</v>
      </c>
      <c r="AQ72" s="94"/>
      <c r="AR72" s="40" t="e">
        <f t="shared" si="51"/>
        <v>#VALUE!</v>
      </c>
      <c r="AS72" s="94" t="e">
        <v>#VALUE!</v>
      </c>
      <c r="AT72" s="94" t="e">
        <v>#VALUE!</v>
      </c>
      <c r="AU72" s="94" t="e">
        <v>#VALUE!</v>
      </c>
      <c r="AV72" s="94" t="e">
        <v>#VALUE!</v>
      </c>
      <c r="AW72" s="91" t="e">
        <f t="shared" si="65"/>
        <v>#REF!</v>
      </c>
      <c r="AX72" s="40" t="e">
        <f t="shared" si="52"/>
        <v>#VALUE!</v>
      </c>
      <c r="AY72" s="94" t="e">
        <v>#VALUE!</v>
      </c>
      <c r="AZ72" s="94" t="e">
        <v>#VALUE!</v>
      </c>
      <c r="BA72" s="94" t="e">
        <v>#VALUE!</v>
      </c>
      <c r="BB72" s="94" t="e">
        <v>#VALUE!</v>
      </c>
      <c r="BD72" s="40" t="e">
        <f t="shared" si="53"/>
        <v>#VALUE!</v>
      </c>
      <c r="BE72" s="94" t="e">
        <v>#VALUE!</v>
      </c>
      <c r="BF72" s="94" t="e">
        <v>#VALUE!</v>
      </c>
      <c r="BG72" s="94" t="e">
        <v>#VALUE!</v>
      </c>
      <c r="BH72" s="94" t="e">
        <v>#VALUE!</v>
      </c>
      <c r="BJ72" s="40" t="e">
        <f t="shared" si="54"/>
        <v>#VALUE!</v>
      </c>
      <c r="BK72" s="94" t="e">
        <v>#VALUE!</v>
      </c>
      <c r="BL72" s="94" t="e">
        <v>#VALUE!</v>
      </c>
      <c r="BM72" s="94" t="e">
        <v>#VALUE!</v>
      </c>
      <c r="BN72" s="94" t="e">
        <v>#VALUE!</v>
      </c>
      <c r="BO72" s="94"/>
      <c r="BP72" s="40" t="e">
        <f t="shared" si="55"/>
        <v>#VALUE!</v>
      </c>
      <c r="BQ72" s="94" t="e">
        <v>#VALUE!</v>
      </c>
      <c r="BR72" s="94" t="e">
        <v>#VALUE!</v>
      </c>
      <c r="BS72" s="94" t="e">
        <v>#VALUE!</v>
      </c>
      <c r="BT72" s="94" t="e">
        <v>#VALUE!</v>
      </c>
      <c r="BU72" s="91" t="e">
        <f t="shared" si="66"/>
        <v>#REF!</v>
      </c>
      <c r="BV72" s="40" t="e">
        <f t="shared" si="56"/>
        <v>#VALUE!</v>
      </c>
      <c r="BW72" s="94" t="e">
        <v>#VALUE!</v>
      </c>
      <c r="BX72" s="94" t="e">
        <v>#VALUE!</v>
      </c>
      <c r="BY72" s="94" t="e">
        <v>#VALUE!</v>
      </c>
      <c r="BZ72" s="94" t="e">
        <v>#VALUE!</v>
      </c>
      <c r="CB72" s="40" t="e">
        <f t="shared" si="57"/>
        <v>#VALUE!</v>
      </c>
      <c r="CC72" s="94" t="e">
        <v>#VALUE!</v>
      </c>
      <c r="CD72" s="94" t="e">
        <v>#VALUE!</v>
      </c>
      <c r="CE72" s="94" t="e">
        <v>#VALUE!</v>
      </c>
      <c r="CF72" s="94" t="e">
        <v>#VALUE!</v>
      </c>
      <c r="CH72" s="40" t="e">
        <f t="shared" si="58"/>
        <v>#VALUE!</v>
      </c>
      <c r="CI72" s="94" t="e">
        <v>#VALUE!</v>
      </c>
      <c r="CJ72" s="94" t="e">
        <v>#VALUE!</v>
      </c>
      <c r="CK72" s="94" t="e">
        <v>#VALUE!</v>
      </c>
      <c r="CL72" s="94" t="e">
        <v>#VALUE!</v>
      </c>
      <c r="CM72" s="94"/>
      <c r="CN72" s="40" t="e">
        <f t="shared" si="59"/>
        <v>#VALUE!</v>
      </c>
      <c r="CO72" s="94" t="e">
        <v>#VALUE!</v>
      </c>
      <c r="CP72" s="94" t="e">
        <v>#VALUE!</v>
      </c>
      <c r="CQ72" s="94" t="e">
        <v>#VALUE!</v>
      </c>
      <c r="CR72" s="94" t="e">
        <v>#VALUE!</v>
      </c>
      <c r="CS72" s="91" t="e">
        <f t="shared" si="67"/>
        <v>#REF!</v>
      </c>
      <c r="CT72" s="40" t="e">
        <f t="shared" si="60"/>
        <v>#VALUE!</v>
      </c>
      <c r="CU72" s="94" t="e">
        <v>#VALUE!</v>
      </c>
      <c r="CV72" s="94" t="e">
        <v>#VALUE!</v>
      </c>
      <c r="CW72" s="94" t="e">
        <v>#VALUE!</v>
      </c>
      <c r="CX72" s="94" t="e">
        <v>#VALUE!</v>
      </c>
      <c r="CZ72" s="40" t="e">
        <f t="shared" si="61"/>
        <v>#VALUE!</v>
      </c>
      <c r="DA72" s="94" t="e">
        <v>#VALUE!</v>
      </c>
      <c r="DB72" s="94" t="e">
        <v>#VALUE!</v>
      </c>
      <c r="DC72" s="94" t="e">
        <v>#VALUE!</v>
      </c>
      <c r="DD72" s="94" t="e">
        <v>#VALUE!</v>
      </c>
      <c r="DF72" s="40" t="e">
        <f t="shared" si="62"/>
        <v>#VALUE!</v>
      </c>
      <c r="DG72" s="94" t="e">
        <v>#VALUE!</v>
      </c>
      <c r="DH72" s="94" t="e">
        <v>#VALUE!</v>
      </c>
      <c r="DI72" s="94" t="e">
        <v>#VALUE!</v>
      </c>
      <c r="DJ72" s="94" t="e">
        <v>#VALUE!</v>
      </c>
      <c r="DK72" s="94"/>
      <c r="DL72" s="40" t="e">
        <f t="shared" si="63"/>
        <v>#VALUE!</v>
      </c>
      <c r="DM72" s="94" t="e">
        <v>#VALUE!</v>
      </c>
      <c r="DN72" s="94" t="e">
        <v>#VALUE!</v>
      </c>
      <c r="DO72" s="94" t="e">
        <v>#VALUE!</v>
      </c>
      <c r="DP72" s="94" t="e">
        <v>#VALUE!</v>
      </c>
    </row>
    <row r="73" spans="1:120" x14ac:dyDescent="0.2">
      <c r="A73" s="91" t="e">
        <f>name!#REF!</f>
        <v>#REF!</v>
      </c>
      <c r="B73" s="40" t="e">
        <f t="shared" si="44"/>
        <v>#VALUE!</v>
      </c>
      <c r="C73" s="94" t="e">
        <v>#VALUE!</v>
      </c>
      <c r="D73" s="94" t="e">
        <v>#VALUE!</v>
      </c>
      <c r="E73" s="94" t="e">
        <v>#VALUE!</v>
      </c>
      <c r="F73" s="94" t="e">
        <v>#VALUE!</v>
      </c>
      <c r="H73" s="40" t="e">
        <f t="shared" si="45"/>
        <v>#VALUE!</v>
      </c>
      <c r="I73" s="94" t="e">
        <v>#VALUE!</v>
      </c>
      <c r="J73" s="94" t="e">
        <v>#VALUE!</v>
      </c>
      <c r="K73" s="94" t="e">
        <v>#VALUE!</v>
      </c>
      <c r="L73" s="94" t="e">
        <v>#VALUE!</v>
      </c>
      <c r="N73" s="40" t="e">
        <f t="shared" si="46"/>
        <v>#VALUE!</v>
      </c>
      <c r="O73" s="94" t="e">
        <v>#VALUE!</v>
      </c>
      <c r="P73" s="94" t="e">
        <v>#VALUE!</v>
      </c>
      <c r="Q73" s="94" t="e">
        <v>#VALUE!</v>
      </c>
      <c r="R73" s="94" t="e">
        <v>#VALUE!</v>
      </c>
      <c r="S73" s="94"/>
      <c r="T73" s="40" t="e">
        <f t="shared" si="47"/>
        <v>#VALUE!</v>
      </c>
      <c r="U73" s="94" t="e">
        <v>#VALUE!</v>
      </c>
      <c r="V73" s="94" t="e">
        <v>#VALUE!</v>
      </c>
      <c r="W73" s="94" t="e">
        <v>#VALUE!</v>
      </c>
      <c r="X73" s="94" t="e">
        <v>#VALUE!</v>
      </c>
      <c r="Y73" s="91" t="e">
        <f t="shared" si="64"/>
        <v>#REF!</v>
      </c>
      <c r="Z73" s="40" t="e">
        <f t="shared" si="48"/>
        <v>#VALUE!</v>
      </c>
      <c r="AA73" s="94" t="e">
        <v>#VALUE!</v>
      </c>
      <c r="AB73" s="94" t="e">
        <v>#VALUE!</v>
      </c>
      <c r="AC73" s="94" t="e">
        <v>#VALUE!</v>
      </c>
      <c r="AD73" s="94" t="e">
        <v>#VALUE!</v>
      </c>
      <c r="AF73" s="40" t="e">
        <f t="shared" si="49"/>
        <v>#VALUE!</v>
      </c>
      <c r="AG73" s="94" t="e">
        <v>#VALUE!</v>
      </c>
      <c r="AH73" s="94" t="e">
        <v>#VALUE!</v>
      </c>
      <c r="AI73" s="94" t="e">
        <v>#VALUE!</v>
      </c>
      <c r="AJ73" s="94" t="e">
        <v>#VALUE!</v>
      </c>
      <c r="AL73" s="40" t="e">
        <f t="shared" si="50"/>
        <v>#VALUE!</v>
      </c>
      <c r="AM73" s="94" t="e">
        <v>#VALUE!</v>
      </c>
      <c r="AN73" s="94" t="e">
        <v>#VALUE!</v>
      </c>
      <c r="AO73" s="94" t="e">
        <v>#VALUE!</v>
      </c>
      <c r="AP73" s="94" t="e">
        <v>#VALUE!</v>
      </c>
      <c r="AQ73" s="94"/>
      <c r="AR73" s="40" t="e">
        <f t="shared" si="51"/>
        <v>#VALUE!</v>
      </c>
      <c r="AS73" s="94" t="e">
        <v>#VALUE!</v>
      </c>
      <c r="AT73" s="94" t="e">
        <v>#VALUE!</v>
      </c>
      <c r="AU73" s="94" t="e">
        <v>#VALUE!</v>
      </c>
      <c r="AV73" s="94" t="e">
        <v>#VALUE!</v>
      </c>
      <c r="AW73" s="91" t="e">
        <f t="shared" si="65"/>
        <v>#REF!</v>
      </c>
      <c r="AX73" s="40" t="e">
        <f t="shared" si="52"/>
        <v>#VALUE!</v>
      </c>
      <c r="AY73" s="94" t="e">
        <v>#VALUE!</v>
      </c>
      <c r="AZ73" s="94" t="e">
        <v>#VALUE!</v>
      </c>
      <c r="BA73" s="94" t="e">
        <v>#VALUE!</v>
      </c>
      <c r="BB73" s="94" t="e">
        <v>#VALUE!</v>
      </c>
      <c r="BD73" s="40" t="e">
        <f t="shared" si="53"/>
        <v>#VALUE!</v>
      </c>
      <c r="BE73" s="94" t="e">
        <v>#VALUE!</v>
      </c>
      <c r="BF73" s="94" t="e">
        <v>#VALUE!</v>
      </c>
      <c r="BG73" s="94" t="e">
        <v>#VALUE!</v>
      </c>
      <c r="BH73" s="94" t="e">
        <v>#VALUE!</v>
      </c>
      <c r="BJ73" s="40" t="e">
        <f t="shared" si="54"/>
        <v>#VALUE!</v>
      </c>
      <c r="BK73" s="94" t="e">
        <v>#VALUE!</v>
      </c>
      <c r="BL73" s="94" t="e">
        <v>#VALUE!</v>
      </c>
      <c r="BM73" s="94" t="e">
        <v>#VALUE!</v>
      </c>
      <c r="BN73" s="94" t="e">
        <v>#VALUE!</v>
      </c>
      <c r="BO73" s="94"/>
      <c r="BP73" s="40" t="e">
        <f t="shared" si="55"/>
        <v>#VALUE!</v>
      </c>
      <c r="BQ73" s="94" t="e">
        <v>#VALUE!</v>
      </c>
      <c r="BR73" s="94" t="e">
        <v>#VALUE!</v>
      </c>
      <c r="BS73" s="94" t="e">
        <v>#VALUE!</v>
      </c>
      <c r="BT73" s="94" t="e">
        <v>#VALUE!</v>
      </c>
      <c r="BU73" s="91" t="e">
        <f t="shared" si="66"/>
        <v>#REF!</v>
      </c>
      <c r="BV73" s="40" t="e">
        <f t="shared" si="56"/>
        <v>#VALUE!</v>
      </c>
      <c r="BW73" s="94" t="e">
        <v>#VALUE!</v>
      </c>
      <c r="BX73" s="94" t="e">
        <v>#VALUE!</v>
      </c>
      <c r="BY73" s="94" t="e">
        <v>#VALUE!</v>
      </c>
      <c r="BZ73" s="94" t="e">
        <v>#VALUE!</v>
      </c>
      <c r="CB73" s="40" t="e">
        <f t="shared" si="57"/>
        <v>#VALUE!</v>
      </c>
      <c r="CC73" s="94" t="e">
        <v>#VALUE!</v>
      </c>
      <c r="CD73" s="94" t="e">
        <v>#VALUE!</v>
      </c>
      <c r="CE73" s="94" t="e">
        <v>#VALUE!</v>
      </c>
      <c r="CF73" s="94" t="e">
        <v>#VALUE!</v>
      </c>
      <c r="CH73" s="40" t="e">
        <f t="shared" si="58"/>
        <v>#VALUE!</v>
      </c>
      <c r="CI73" s="94" t="e">
        <v>#VALUE!</v>
      </c>
      <c r="CJ73" s="94" t="e">
        <v>#VALUE!</v>
      </c>
      <c r="CK73" s="94" t="e">
        <v>#VALUE!</v>
      </c>
      <c r="CL73" s="94" t="e">
        <v>#VALUE!</v>
      </c>
      <c r="CM73" s="94"/>
      <c r="CN73" s="40" t="e">
        <f t="shared" si="59"/>
        <v>#VALUE!</v>
      </c>
      <c r="CO73" s="94" t="e">
        <v>#VALUE!</v>
      </c>
      <c r="CP73" s="94" t="e">
        <v>#VALUE!</v>
      </c>
      <c r="CQ73" s="94" t="e">
        <v>#VALUE!</v>
      </c>
      <c r="CR73" s="94" t="e">
        <v>#VALUE!</v>
      </c>
      <c r="CS73" s="91" t="e">
        <f t="shared" si="67"/>
        <v>#REF!</v>
      </c>
      <c r="CT73" s="40" t="e">
        <f t="shared" si="60"/>
        <v>#VALUE!</v>
      </c>
      <c r="CU73" s="94" t="e">
        <v>#VALUE!</v>
      </c>
      <c r="CV73" s="94" t="e">
        <v>#VALUE!</v>
      </c>
      <c r="CW73" s="94" t="e">
        <v>#VALUE!</v>
      </c>
      <c r="CX73" s="94" t="e">
        <v>#VALUE!</v>
      </c>
      <c r="CZ73" s="40" t="e">
        <f t="shared" si="61"/>
        <v>#VALUE!</v>
      </c>
      <c r="DA73" s="94" t="e">
        <v>#VALUE!</v>
      </c>
      <c r="DB73" s="94" t="e">
        <v>#VALUE!</v>
      </c>
      <c r="DC73" s="94" t="e">
        <v>#VALUE!</v>
      </c>
      <c r="DD73" s="94" t="e">
        <v>#VALUE!</v>
      </c>
      <c r="DF73" s="40" t="e">
        <f t="shared" si="62"/>
        <v>#VALUE!</v>
      </c>
      <c r="DG73" s="94" t="e">
        <v>#VALUE!</v>
      </c>
      <c r="DH73" s="94" t="e">
        <v>#VALUE!</v>
      </c>
      <c r="DI73" s="94" t="e">
        <v>#VALUE!</v>
      </c>
      <c r="DJ73" s="94" t="e">
        <v>#VALUE!</v>
      </c>
      <c r="DK73" s="94"/>
      <c r="DL73" s="40" t="e">
        <f t="shared" si="63"/>
        <v>#VALUE!</v>
      </c>
      <c r="DM73" s="94" t="e">
        <v>#VALUE!</v>
      </c>
      <c r="DN73" s="94" t="e">
        <v>#VALUE!</v>
      </c>
      <c r="DO73" s="94" t="e">
        <v>#VALUE!</v>
      </c>
      <c r="DP73" s="94" t="e">
        <v>#VALUE!</v>
      </c>
    </row>
    <row r="74" spans="1:120" x14ac:dyDescent="0.2">
      <c r="A74" s="91" t="e">
        <f>name!#REF!</f>
        <v>#REF!</v>
      </c>
      <c r="B74" s="40" t="e">
        <f t="shared" si="44"/>
        <v>#VALUE!</v>
      </c>
      <c r="C74" s="94" t="e">
        <v>#VALUE!</v>
      </c>
      <c r="D74" s="94" t="e">
        <v>#VALUE!</v>
      </c>
      <c r="E74" s="94" t="e">
        <v>#VALUE!</v>
      </c>
      <c r="F74" s="94" t="e">
        <v>#VALUE!</v>
      </c>
      <c r="H74" s="40" t="e">
        <f t="shared" si="45"/>
        <v>#VALUE!</v>
      </c>
      <c r="I74" s="94" t="e">
        <v>#VALUE!</v>
      </c>
      <c r="J74" s="94" t="e">
        <v>#VALUE!</v>
      </c>
      <c r="K74" s="94" t="e">
        <v>#VALUE!</v>
      </c>
      <c r="L74" s="94" t="e">
        <v>#VALUE!</v>
      </c>
      <c r="N74" s="40" t="e">
        <f t="shared" si="46"/>
        <v>#VALUE!</v>
      </c>
      <c r="O74" s="94" t="e">
        <v>#VALUE!</v>
      </c>
      <c r="P74" s="94" t="e">
        <v>#VALUE!</v>
      </c>
      <c r="Q74" s="94" t="e">
        <v>#VALUE!</v>
      </c>
      <c r="R74" s="94" t="e">
        <v>#VALUE!</v>
      </c>
      <c r="S74" s="94"/>
      <c r="T74" s="40" t="e">
        <f t="shared" si="47"/>
        <v>#VALUE!</v>
      </c>
      <c r="U74" s="94" t="e">
        <v>#VALUE!</v>
      </c>
      <c r="V74" s="94" t="e">
        <v>#VALUE!</v>
      </c>
      <c r="W74" s="94" t="e">
        <v>#VALUE!</v>
      </c>
      <c r="X74" s="94" t="e">
        <v>#VALUE!</v>
      </c>
      <c r="Y74" s="91" t="e">
        <f t="shared" si="64"/>
        <v>#REF!</v>
      </c>
      <c r="Z74" s="40" t="e">
        <f t="shared" si="48"/>
        <v>#VALUE!</v>
      </c>
      <c r="AA74" s="94" t="e">
        <v>#VALUE!</v>
      </c>
      <c r="AB74" s="94" t="e">
        <v>#VALUE!</v>
      </c>
      <c r="AC74" s="94" t="e">
        <v>#VALUE!</v>
      </c>
      <c r="AD74" s="94" t="e">
        <v>#VALUE!</v>
      </c>
      <c r="AF74" s="40" t="e">
        <f t="shared" si="49"/>
        <v>#VALUE!</v>
      </c>
      <c r="AG74" s="94" t="e">
        <v>#VALUE!</v>
      </c>
      <c r="AH74" s="94" t="e">
        <v>#VALUE!</v>
      </c>
      <c r="AI74" s="94" t="e">
        <v>#VALUE!</v>
      </c>
      <c r="AJ74" s="94" t="e">
        <v>#VALUE!</v>
      </c>
      <c r="AL74" s="40" t="e">
        <f t="shared" si="50"/>
        <v>#VALUE!</v>
      </c>
      <c r="AM74" s="94" t="e">
        <v>#VALUE!</v>
      </c>
      <c r="AN74" s="94" t="e">
        <v>#VALUE!</v>
      </c>
      <c r="AO74" s="94" t="e">
        <v>#VALUE!</v>
      </c>
      <c r="AP74" s="94" t="e">
        <v>#VALUE!</v>
      </c>
      <c r="AQ74" s="94"/>
      <c r="AR74" s="40" t="e">
        <f t="shared" si="51"/>
        <v>#VALUE!</v>
      </c>
      <c r="AS74" s="94" t="e">
        <v>#VALUE!</v>
      </c>
      <c r="AT74" s="94" t="e">
        <v>#VALUE!</v>
      </c>
      <c r="AU74" s="94" t="e">
        <v>#VALUE!</v>
      </c>
      <c r="AV74" s="94" t="e">
        <v>#VALUE!</v>
      </c>
      <c r="AW74" s="91" t="e">
        <f t="shared" si="65"/>
        <v>#REF!</v>
      </c>
      <c r="AX74" s="40" t="e">
        <f t="shared" si="52"/>
        <v>#VALUE!</v>
      </c>
      <c r="AY74" s="94" t="e">
        <v>#VALUE!</v>
      </c>
      <c r="AZ74" s="94" t="e">
        <v>#VALUE!</v>
      </c>
      <c r="BA74" s="94" t="e">
        <v>#VALUE!</v>
      </c>
      <c r="BB74" s="94" t="e">
        <v>#VALUE!</v>
      </c>
      <c r="BD74" s="40" t="e">
        <f t="shared" si="53"/>
        <v>#VALUE!</v>
      </c>
      <c r="BE74" s="94" t="e">
        <v>#VALUE!</v>
      </c>
      <c r="BF74" s="94" t="e">
        <v>#VALUE!</v>
      </c>
      <c r="BG74" s="94" t="e">
        <v>#VALUE!</v>
      </c>
      <c r="BH74" s="94" t="e">
        <v>#VALUE!</v>
      </c>
      <c r="BJ74" s="40" t="e">
        <f t="shared" si="54"/>
        <v>#VALUE!</v>
      </c>
      <c r="BK74" s="94" t="e">
        <v>#VALUE!</v>
      </c>
      <c r="BL74" s="94" t="e">
        <v>#VALUE!</v>
      </c>
      <c r="BM74" s="94" t="e">
        <v>#VALUE!</v>
      </c>
      <c r="BN74" s="94" t="e">
        <v>#VALUE!</v>
      </c>
      <c r="BO74" s="94"/>
      <c r="BP74" s="40" t="e">
        <f t="shared" si="55"/>
        <v>#VALUE!</v>
      </c>
      <c r="BQ74" s="94" t="e">
        <v>#VALUE!</v>
      </c>
      <c r="BR74" s="94" t="e">
        <v>#VALUE!</v>
      </c>
      <c r="BS74" s="94" t="e">
        <v>#VALUE!</v>
      </c>
      <c r="BT74" s="94" t="e">
        <v>#VALUE!</v>
      </c>
      <c r="BU74" s="91" t="e">
        <f t="shared" si="66"/>
        <v>#REF!</v>
      </c>
      <c r="BV74" s="40" t="e">
        <f t="shared" si="56"/>
        <v>#VALUE!</v>
      </c>
      <c r="BW74" s="94" t="e">
        <v>#VALUE!</v>
      </c>
      <c r="BX74" s="94" t="e">
        <v>#VALUE!</v>
      </c>
      <c r="BY74" s="94" t="e">
        <v>#VALUE!</v>
      </c>
      <c r="BZ74" s="94" t="e">
        <v>#VALUE!</v>
      </c>
      <c r="CB74" s="40" t="e">
        <f t="shared" si="57"/>
        <v>#VALUE!</v>
      </c>
      <c r="CC74" s="94" t="e">
        <v>#VALUE!</v>
      </c>
      <c r="CD74" s="94" t="e">
        <v>#VALUE!</v>
      </c>
      <c r="CE74" s="94" t="e">
        <v>#VALUE!</v>
      </c>
      <c r="CF74" s="94" t="e">
        <v>#VALUE!</v>
      </c>
      <c r="CH74" s="40" t="e">
        <f t="shared" si="58"/>
        <v>#VALUE!</v>
      </c>
      <c r="CI74" s="94" t="e">
        <v>#VALUE!</v>
      </c>
      <c r="CJ74" s="94" t="e">
        <v>#VALUE!</v>
      </c>
      <c r="CK74" s="94" t="e">
        <v>#VALUE!</v>
      </c>
      <c r="CL74" s="94" t="e">
        <v>#VALUE!</v>
      </c>
      <c r="CM74" s="94"/>
      <c r="CN74" s="40" t="e">
        <f t="shared" si="59"/>
        <v>#VALUE!</v>
      </c>
      <c r="CO74" s="94" t="e">
        <v>#VALUE!</v>
      </c>
      <c r="CP74" s="94" t="e">
        <v>#VALUE!</v>
      </c>
      <c r="CQ74" s="94" t="e">
        <v>#VALUE!</v>
      </c>
      <c r="CR74" s="94" t="e">
        <v>#VALUE!</v>
      </c>
      <c r="CS74" s="91" t="e">
        <f t="shared" si="67"/>
        <v>#REF!</v>
      </c>
      <c r="CT74" s="40" t="e">
        <f t="shared" si="60"/>
        <v>#VALUE!</v>
      </c>
      <c r="CU74" s="94" t="e">
        <v>#VALUE!</v>
      </c>
      <c r="CV74" s="94" t="e">
        <v>#VALUE!</v>
      </c>
      <c r="CW74" s="94" t="e">
        <v>#VALUE!</v>
      </c>
      <c r="CX74" s="94" t="e">
        <v>#VALUE!</v>
      </c>
      <c r="CZ74" s="40" t="e">
        <f t="shared" si="61"/>
        <v>#VALUE!</v>
      </c>
      <c r="DA74" s="94" t="e">
        <v>#VALUE!</v>
      </c>
      <c r="DB74" s="94" t="e">
        <v>#VALUE!</v>
      </c>
      <c r="DC74" s="94" t="e">
        <v>#VALUE!</v>
      </c>
      <c r="DD74" s="94" t="e">
        <v>#VALUE!</v>
      </c>
      <c r="DF74" s="40" t="e">
        <f t="shared" si="62"/>
        <v>#VALUE!</v>
      </c>
      <c r="DG74" s="94" t="e">
        <v>#VALUE!</v>
      </c>
      <c r="DH74" s="94" t="e">
        <v>#VALUE!</v>
      </c>
      <c r="DI74" s="94" t="e">
        <v>#VALUE!</v>
      </c>
      <c r="DJ74" s="94" t="e">
        <v>#VALUE!</v>
      </c>
      <c r="DK74" s="94"/>
      <c r="DL74" s="40" t="e">
        <f t="shared" si="63"/>
        <v>#VALUE!</v>
      </c>
      <c r="DM74" s="94" t="e">
        <v>#VALUE!</v>
      </c>
      <c r="DN74" s="94" t="e">
        <v>#VALUE!</v>
      </c>
      <c r="DO74" s="94" t="e">
        <v>#VALUE!</v>
      </c>
      <c r="DP74" s="94" t="e">
        <v>#VALUE!</v>
      </c>
    </row>
    <row r="75" spans="1:120" x14ac:dyDescent="0.2">
      <c r="A75" s="91" t="e">
        <f>name!#REF!</f>
        <v>#REF!</v>
      </c>
      <c r="B75" s="40" t="e">
        <f t="shared" si="44"/>
        <v>#VALUE!</v>
      </c>
      <c r="C75" s="94" t="e">
        <v>#VALUE!</v>
      </c>
      <c r="D75" s="94" t="e">
        <v>#VALUE!</v>
      </c>
      <c r="E75" s="94" t="e">
        <v>#VALUE!</v>
      </c>
      <c r="F75" s="94" t="e">
        <v>#VALUE!</v>
      </c>
      <c r="H75" s="40" t="e">
        <f t="shared" si="45"/>
        <v>#VALUE!</v>
      </c>
      <c r="I75" s="94" t="e">
        <v>#VALUE!</v>
      </c>
      <c r="J75" s="94" t="e">
        <v>#VALUE!</v>
      </c>
      <c r="K75" s="94" t="e">
        <v>#VALUE!</v>
      </c>
      <c r="L75" s="94" t="e">
        <v>#VALUE!</v>
      </c>
      <c r="N75" s="40" t="e">
        <f t="shared" si="46"/>
        <v>#VALUE!</v>
      </c>
      <c r="O75" s="94" t="e">
        <v>#VALUE!</v>
      </c>
      <c r="P75" s="94" t="e">
        <v>#VALUE!</v>
      </c>
      <c r="Q75" s="94" t="e">
        <v>#VALUE!</v>
      </c>
      <c r="R75" s="94" t="e">
        <v>#VALUE!</v>
      </c>
      <c r="S75" s="94"/>
      <c r="T75" s="40" t="e">
        <f t="shared" si="47"/>
        <v>#VALUE!</v>
      </c>
      <c r="U75" s="94" t="e">
        <v>#VALUE!</v>
      </c>
      <c r="V75" s="94" t="e">
        <v>#VALUE!</v>
      </c>
      <c r="W75" s="94" t="e">
        <v>#VALUE!</v>
      </c>
      <c r="X75" s="94" t="e">
        <v>#VALUE!</v>
      </c>
      <c r="Y75" s="91" t="e">
        <f t="shared" si="64"/>
        <v>#REF!</v>
      </c>
      <c r="Z75" s="40" t="e">
        <f t="shared" si="48"/>
        <v>#VALUE!</v>
      </c>
      <c r="AA75" s="94" t="e">
        <v>#VALUE!</v>
      </c>
      <c r="AB75" s="94" t="e">
        <v>#VALUE!</v>
      </c>
      <c r="AC75" s="94" t="e">
        <v>#VALUE!</v>
      </c>
      <c r="AD75" s="94" t="e">
        <v>#VALUE!</v>
      </c>
      <c r="AF75" s="40" t="e">
        <f t="shared" si="49"/>
        <v>#VALUE!</v>
      </c>
      <c r="AG75" s="94" t="e">
        <v>#VALUE!</v>
      </c>
      <c r="AH75" s="94" t="e">
        <v>#VALUE!</v>
      </c>
      <c r="AI75" s="94" t="e">
        <v>#VALUE!</v>
      </c>
      <c r="AJ75" s="94" t="e">
        <v>#VALUE!</v>
      </c>
      <c r="AL75" s="40" t="e">
        <f t="shared" si="50"/>
        <v>#VALUE!</v>
      </c>
      <c r="AM75" s="94" t="e">
        <v>#VALUE!</v>
      </c>
      <c r="AN75" s="94" t="e">
        <v>#VALUE!</v>
      </c>
      <c r="AO75" s="94" t="e">
        <v>#VALUE!</v>
      </c>
      <c r="AP75" s="94" t="e">
        <v>#VALUE!</v>
      </c>
      <c r="AQ75" s="94"/>
      <c r="AR75" s="40" t="e">
        <f t="shared" si="51"/>
        <v>#VALUE!</v>
      </c>
      <c r="AS75" s="94" t="e">
        <v>#VALUE!</v>
      </c>
      <c r="AT75" s="94" t="e">
        <v>#VALUE!</v>
      </c>
      <c r="AU75" s="94" t="e">
        <v>#VALUE!</v>
      </c>
      <c r="AV75" s="94" t="e">
        <v>#VALUE!</v>
      </c>
      <c r="AW75" s="91" t="e">
        <f t="shared" si="65"/>
        <v>#REF!</v>
      </c>
      <c r="AX75" s="40" t="e">
        <f t="shared" si="52"/>
        <v>#VALUE!</v>
      </c>
      <c r="AY75" s="94" t="e">
        <v>#VALUE!</v>
      </c>
      <c r="AZ75" s="94" t="e">
        <v>#VALUE!</v>
      </c>
      <c r="BA75" s="94" t="e">
        <v>#VALUE!</v>
      </c>
      <c r="BB75" s="94" t="e">
        <v>#VALUE!</v>
      </c>
      <c r="BD75" s="40" t="e">
        <f t="shared" si="53"/>
        <v>#VALUE!</v>
      </c>
      <c r="BE75" s="94" t="e">
        <v>#VALUE!</v>
      </c>
      <c r="BF75" s="94" t="e">
        <v>#VALUE!</v>
      </c>
      <c r="BG75" s="94" t="e">
        <v>#VALUE!</v>
      </c>
      <c r="BH75" s="94" t="e">
        <v>#VALUE!</v>
      </c>
      <c r="BJ75" s="40" t="e">
        <f t="shared" si="54"/>
        <v>#VALUE!</v>
      </c>
      <c r="BK75" s="94" t="e">
        <v>#VALUE!</v>
      </c>
      <c r="BL75" s="94" t="e">
        <v>#VALUE!</v>
      </c>
      <c r="BM75" s="94" t="e">
        <v>#VALUE!</v>
      </c>
      <c r="BN75" s="94" t="e">
        <v>#VALUE!</v>
      </c>
      <c r="BO75" s="94"/>
      <c r="BP75" s="40" t="e">
        <f t="shared" si="55"/>
        <v>#VALUE!</v>
      </c>
      <c r="BQ75" s="94" t="e">
        <v>#VALUE!</v>
      </c>
      <c r="BR75" s="94" t="e">
        <v>#VALUE!</v>
      </c>
      <c r="BS75" s="94" t="e">
        <v>#VALUE!</v>
      </c>
      <c r="BT75" s="94" t="e">
        <v>#VALUE!</v>
      </c>
      <c r="BU75" s="91" t="e">
        <f t="shared" si="66"/>
        <v>#REF!</v>
      </c>
      <c r="BV75" s="40" t="e">
        <f t="shared" si="56"/>
        <v>#VALUE!</v>
      </c>
      <c r="BW75" s="94" t="e">
        <v>#VALUE!</v>
      </c>
      <c r="BX75" s="94" t="e">
        <v>#VALUE!</v>
      </c>
      <c r="BY75" s="94" t="e">
        <v>#VALUE!</v>
      </c>
      <c r="BZ75" s="94" t="e">
        <v>#VALUE!</v>
      </c>
      <c r="CB75" s="40" t="e">
        <f t="shared" si="57"/>
        <v>#VALUE!</v>
      </c>
      <c r="CC75" s="94" t="e">
        <v>#VALUE!</v>
      </c>
      <c r="CD75" s="94" t="e">
        <v>#VALUE!</v>
      </c>
      <c r="CE75" s="94" t="e">
        <v>#VALUE!</v>
      </c>
      <c r="CF75" s="94" t="e">
        <v>#VALUE!</v>
      </c>
      <c r="CH75" s="40" t="e">
        <f t="shared" si="58"/>
        <v>#VALUE!</v>
      </c>
      <c r="CI75" s="94" t="e">
        <v>#VALUE!</v>
      </c>
      <c r="CJ75" s="94" t="e">
        <v>#VALUE!</v>
      </c>
      <c r="CK75" s="94" t="e">
        <v>#VALUE!</v>
      </c>
      <c r="CL75" s="94" t="e">
        <v>#VALUE!</v>
      </c>
      <c r="CM75" s="94"/>
      <c r="CN75" s="40" t="e">
        <f t="shared" si="59"/>
        <v>#VALUE!</v>
      </c>
      <c r="CO75" s="94" t="e">
        <v>#VALUE!</v>
      </c>
      <c r="CP75" s="94" t="e">
        <v>#VALUE!</v>
      </c>
      <c r="CQ75" s="94" t="e">
        <v>#VALUE!</v>
      </c>
      <c r="CR75" s="94" t="e">
        <v>#VALUE!</v>
      </c>
      <c r="CS75" s="91" t="e">
        <f t="shared" si="67"/>
        <v>#REF!</v>
      </c>
      <c r="CT75" s="40" t="e">
        <f t="shared" si="60"/>
        <v>#VALUE!</v>
      </c>
      <c r="CU75" s="94" t="e">
        <v>#VALUE!</v>
      </c>
      <c r="CV75" s="94" t="e">
        <v>#VALUE!</v>
      </c>
      <c r="CW75" s="94" t="e">
        <v>#VALUE!</v>
      </c>
      <c r="CX75" s="94" t="e">
        <v>#VALUE!</v>
      </c>
      <c r="CZ75" s="40" t="e">
        <f t="shared" si="61"/>
        <v>#VALUE!</v>
      </c>
      <c r="DA75" s="94" t="e">
        <v>#VALUE!</v>
      </c>
      <c r="DB75" s="94" t="e">
        <v>#VALUE!</v>
      </c>
      <c r="DC75" s="94" t="e">
        <v>#VALUE!</v>
      </c>
      <c r="DD75" s="94" t="e">
        <v>#VALUE!</v>
      </c>
      <c r="DF75" s="40" t="e">
        <f t="shared" si="62"/>
        <v>#VALUE!</v>
      </c>
      <c r="DG75" s="94" t="e">
        <v>#VALUE!</v>
      </c>
      <c r="DH75" s="94" t="e">
        <v>#VALUE!</v>
      </c>
      <c r="DI75" s="94" t="e">
        <v>#VALUE!</v>
      </c>
      <c r="DJ75" s="94" t="e">
        <v>#VALUE!</v>
      </c>
      <c r="DK75" s="94"/>
      <c r="DL75" s="40" t="e">
        <f t="shared" si="63"/>
        <v>#VALUE!</v>
      </c>
      <c r="DM75" s="94" t="e">
        <v>#VALUE!</v>
      </c>
      <c r="DN75" s="94" t="e">
        <v>#VALUE!</v>
      </c>
      <c r="DO75" s="94" t="e">
        <v>#VALUE!</v>
      </c>
      <c r="DP75" s="94" t="e">
        <v>#VALUE!</v>
      </c>
    </row>
    <row r="76" spans="1:120" x14ac:dyDescent="0.2">
      <c r="B76" s="40"/>
      <c r="H76" s="40"/>
      <c r="N76" s="40"/>
      <c r="T76" s="40"/>
      <c r="Z76" s="40"/>
      <c r="AF76" s="40"/>
      <c r="AL76" s="40"/>
      <c r="AR76" s="40"/>
      <c r="AX76" s="40"/>
      <c r="BD76" s="40"/>
      <c r="BJ76" s="40"/>
      <c r="BP76" s="40"/>
      <c r="BV76" s="40"/>
      <c r="CB76" s="40"/>
      <c r="CH76" s="40"/>
      <c r="CN76" s="40"/>
      <c r="CT76" s="40"/>
      <c r="CZ76" s="40"/>
      <c r="DF76" s="40"/>
      <c r="DL76" s="40"/>
    </row>
    <row r="77" spans="1:120" x14ac:dyDescent="0.2">
      <c r="A77" s="92" t="e">
        <f>name!#REF!</f>
        <v>#REF!</v>
      </c>
      <c r="B77" s="43">
        <f t="shared" si="44"/>
        <v>2.7912372459239387</v>
      </c>
      <c r="C77" s="93">
        <f>C50</f>
        <v>4561.2992279926211</v>
      </c>
      <c r="D77" s="93">
        <f>D50</f>
        <v>431.97496524334053</v>
      </c>
      <c r="E77" s="93">
        <f>E50</f>
        <v>1445.5882710202891</v>
      </c>
      <c r="F77" s="93">
        <f>F50</f>
        <v>1877.5632362636297</v>
      </c>
      <c r="G77" s="92"/>
      <c r="H77" s="43">
        <f t="shared" si="45"/>
        <v>2.6517730789267446</v>
      </c>
      <c r="I77" s="93">
        <f>I50</f>
        <v>774.77767553257945</v>
      </c>
      <c r="J77" s="93">
        <f>J50</f>
        <v>-90.9176985646708</v>
      </c>
      <c r="K77" s="93">
        <f>K50</f>
        <v>231.78692033646578</v>
      </c>
      <c r="L77" s="93">
        <f>L50</f>
        <v>140.86922177179497</v>
      </c>
      <c r="M77" s="92"/>
      <c r="N77" s="43">
        <f t="shared" si="46"/>
        <v>2.6893242464146816</v>
      </c>
      <c r="O77" s="93">
        <f>O50</f>
        <v>1810.6123702397726</v>
      </c>
      <c r="P77" s="93">
        <f>P50</f>
        <v>208.84741372398935</v>
      </c>
      <c r="Q77" s="93">
        <f>Q50</f>
        <v>550.29225403969679</v>
      </c>
      <c r="R77" s="93">
        <f>R50</f>
        <v>759.13966776368613</v>
      </c>
      <c r="S77" s="93"/>
      <c r="T77" s="43">
        <f t="shared" si="47"/>
        <v>2.9376202991175049</v>
      </c>
      <c r="U77" s="93">
        <f>U50</f>
        <v>1975.9091822202711</v>
      </c>
      <c r="V77" s="93">
        <f>V50</f>
        <v>314.04525008402186</v>
      </c>
      <c r="W77" s="93">
        <f>W50</f>
        <v>663.50909664412427</v>
      </c>
      <c r="X77" s="93">
        <f>X50</f>
        <v>977.55434672814613</v>
      </c>
      <c r="Y77" s="92" t="e">
        <f>A77</f>
        <v>#REF!</v>
      </c>
      <c r="Z77" s="43">
        <f>IF(AA77&gt;0,((1+(AC77/AA77))^(1/($A$101-$A$100))-1)*100,0)</f>
        <v>2.9771972098236787</v>
      </c>
      <c r="AA77" s="93">
        <f>AA50</f>
        <v>2141.7348734083043</v>
      </c>
      <c r="AB77" s="93">
        <f>AB50</f>
        <v>328.18012130131888</v>
      </c>
      <c r="AC77" s="93">
        <f>AC50</f>
        <v>730.21185757939747</v>
      </c>
      <c r="AD77" s="93">
        <f>AD50</f>
        <v>1058.3919788807164</v>
      </c>
      <c r="AE77" s="92"/>
      <c r="AF77" s="43">
        <f>IF(AG77&gt;0,((1+(AI77/AG77))^(1/($A$101-$A$100))-1)*100,0)</f>
        <v>3.0280155732974823</v>
      </c>
      <c r="AG77" s="93">
        <f>AG50</f>
        <v>114.36183531349347</v>
      </c>
      <c r="AH77" s="93">
        <f>AH50</f>
        <v>10.806009020856356</v>
      </c>
      <c r="AI77" s="93">
        <f>AI50</f>
        <v>39.749458273691218</v>
      </c>
      <c r="AJ77" s="93">
        <f>AJ50</f>
        <v>50.555467294547576</v>
      </c>
      <c r="AK77" s="92"/>
      <c r="AL77" s="43">
        <f>IF(AM77&gt;0,((1+(AO77/AM77))^(1/($A$101-$A$100))-1)*100,0)</f>
        <v>2.9663353480916088</v>
      </c>
      <c r="AM77" s="93">
        <f>AM50</f>
        <v>484.03376220781502</v>
      </c>
      <c r="AN77" s="93">
        <f>AN50</f>
        <v>80.752171418150368</v>
      </c>
      <c r="AO77" s="93">
        <f>AO50</f>
        <v>164.34415782441963</v>
      </c>
      <c r="AP77" s="93">
        <f>AP50</f>
        <v>245.09632924256999</v>
      </c>
      <c r="AQ77" s="93"/>
      <c r="AR77" s="43">
        <f>IF(AS77&gt;0,((1+(AU77/AS77))^(1/($A$101-$A$100))-1)*100,0)</f>
        <v>2.9768281396108875</v>
      </c>
      <c r="AS77" s="93">
        <f>AS50</f>
        <v>1543.3392758869961</v>
      </c>
      <c r="AT77" s="93">
        <f>AT50</f>
        <v>236.62194086231219</v>
      </c>
      <c r="AU77" s="93">
        <f>AU50</f>
        <v>526.11824148128676</v>
      </c>
      <c r="AV77" s="93">
        <f>AV50</f>
        <v>762.74018234359892</v>
      </c>
      <c r="AW77" s="92" t="e">
        <f>Y77</f>
        <v>#REF!</v>
      </c>
      <c r="AX77" s="43">
        <f>IF(AY77&gt;0,((1+(BA77/AY77))^(1/($A$101-$A$100))-1)*100,0)</f>
        <v>2.5960689907792656</v>
      </c>
      <c r="AY77" s="93">
        <f>AY50</f>
        <v>1169.4910110900296</v>
      </c>
      <c r="AZ77" s="93">
        <f>AZ50</f>
        <v>61.012733866251224</v>
      </c>
      <c r="BA77" s="93">
        <f>BA50</f>
        <v>341.64688672572964</v>
      </c>
      <c r="BB77" s="93">
        <f>BB50</f>
        <v>402.65962059198085</v>
      </c>
      <c r="BC77" s="92"/>
      <c r="BD77" s="43">
        <f>IF(BE77&gt;0,((1+(BG77/BE77))^(1/($A$101-$A$100))-1)*100,0)</f>
        <v>2.5108134589674425</v>
      </c>
      <c r="BE77" s="93">
        <f>BE50</f>
        <v>196.77997170605971</v>
      </c>
      <c r="BF77" s="93">
        <f>BF50</f>
        <v>-19.19988351079143</v>
      </c>
      <c r="BG77" s="93">
        <f>BG50</f>
        <v>55.380896948664599</v>
      </c>
      <c r="BH77" s="93">
        <f>BH50</f>
        <v>36.181013437873169</v>
      </c>
      <c r="BI77" s="92"/>
      <c r="BJ77" s="43">
        <f>IF(BK77&gt;0,((1+(BM77/BK77))^(1/($A$101-$A$100))-1)*100,0)</f>
        <v>2.5531077119064882</v>
      </c>
      <c r="BK77" s="93">
        <f>BK50</f>
        <v>650.12175377402275</v>
      </c>
      <c r="BL77" s="93">
        <f>BL50</f>
        <v>42.192712487148434</v>
      </c>
      <c r="BM77" s="93">
        <f>BM50</f>
        <v>186.41100647521165</v>
      </c>
      <c r="BN77" s="93">
        <f>BN50</f>
        <v>228.60371896236009</v>
      </c>
      <c r="BO77" s="93"/>
      <c r="BP77" s="43">
        <f>IF(BQ77&gt;0,((1+(BS77/BQ77))^(1/($A$101-$A$100))-1)*100,0)</f>
        <v>2.7334678665663192</v>
      </c>
      <c r="BQ77" s="93">
        <f>BQ50</f>
        <v>322.58928560994713</v>
      </c>
      <c r="BR77" s="93">
        <f>BR50</f>
        <v>38.019904889894228</v>
      </c>
      <c r="BS77" s="93">
        <f>BS50</f>
        <v>99.854983301853494</v>
      </c>
      <c r="BT77" s="93">
        <f>BT50</f>
        <v>137.87488819174771</v>
      </c>
      <c r="BU77" s="92" t="e">
        <f>AW77</f>
        <v>#REF!</v>
      </c>
      <c r="BV77" s="43">
        <f>IF(BW77&gt;0,((1+(BY77/BW77))^(1/($A$101-$A$100))-1)*100,0)</f>
        <v>2.5889208699682698</v>
      </c>
      <c r="BW77" s="93">
        <f>BW50</f>
        <v>786.26148565798121</v>
      </c>
      <c r="BX77" s="93">
        <f>BX50</f>
        <v>-16.768227409449015</v>
      </c>
      <c r="BY77" s="93">
        <f>BY50</f>
        <v>228.98528730973825</v>
      </c>
      <c r="BZ77" s="93">
        <f>BZ50</f>
        <v>212.21705990028923</v>
      </c>
      <c r="CA77" s="92"/>
      <c r="CB77" s="43">
        <f>IF(CC77&gt;0,((1+(CE77/CC77))^(1/($A$101-$A$100))-1)*100,0)</f>
        <v>2.5278948366694864</v>
      </c>
      <c r="CC77" s="93">
        <f>CC50</f>
        <v>257.91842111045776</v>
      </c>
      <c r="CD77" s="93">
        <f>CD50</f>
        <v>-52.179148361626908</v>
      </c>
      <c r="CE77" s="93">
        <f>CE50</f>
        <v>73.138570554183204</v>
      </c>
      <c r="CF77" s="93">
        <f>CF50</f>
        <v>20.959422192556296</v>
      </c>
      <c r="CG77" s="92"/>
      <c r="CH77" s="43">
        <f>IF(CI77&gt;0,((1+(CK77/CI77))^(1/($A$101-$A$100))-1)*100,0)</f>
        <v>2.5655949055339189</v>
      </c>
      <c r="CI77" s="93">
        <f>CI50</f>
        <v>462.50112579230256</v>
      </c>
      <c r="CJ77" s="93">
        <f>CJ50</f>
        <v>18.263082416840735</v>
      </c>
      <c r="CK77" s="93">
        <f>CK50</f>
        <v>133.33911166207648</v>
      </c>
      <c r="CL77" s="93">
        <f>CL50</f>
        <v>151.60219407891722</v>
      </c>
      <c r="CM77" s="93"/>
      <c r="CN77" s="43">
        <f>IF(CO77&gt;0,((1+(CQ77/CO77))^(1/($A$101-$A$100))-1)*100,0)</f>
        <v>2.9840981402702971</v>
      </c>
      <c r="CO77" s="93">
        <f>CO50</f>
        <v>65.841938755220539</v>
      </c>
      <c r="CP77" s="93">
        <f>CP50</f>
        <v>17.147838535337179</v>
      </c>
      <c r="CQ77" s="93">
        <f>CQ50</f>
        <v>22.507605093478684</v>
      </c>
      <c r="CR77" s="93">
        <f>CR50</f>
        <v>39.65544362881586</v>
      </c>
      <c r="CS77" s="92" t="e">
        <f>BU77</f>
        <v>#REF!</v>
      </c>
      <c r="CT77" s="43">
        <f>IF(CU77&gt;0,((1+(CW77/CU77))^(1/($A$101-$A$100))-1)*100,0)</f>
        <v>2.7533233225370157</v>
      </c>
      <c r="CU77" s="93">
        <f>CU50</f>
        <v>463.81185783630696</v>
      </c>
      <c r="CV77" s="93">
        <f>CV50</f>
        <v>59.550337485219423</v>
      </c>
      <c r="CW77" s="93">
        <f>CW50</f>
        <v>144.74423940542175</v>
      </c>
      <c r="CX77" s="93">
        <f>CX50</f>
        <v>204.29457689064117</v>
      </c>
      <c r="CY77" s="92"/>
      <c r="CZ77" s="43">
        <f>IF(DA77&gt;0,((1+(DC77/DA77))^(1/($A$101-$A$100))-1)*100,0)</f>
        <v>2.7273559755584653</v>
      </c>
      <c r="DA77" s="93">
        <f>DA50</f>
        <v>205.71744740256855</v>
      </c>
      <c r="DB77" s="93">
        <f>DB50</f>
        <v>-30.344675713108767</v>
      </c>
      <c r="DC77" s="93">
        <f>DC50</f>
        <v>63.517994559926827</v>
      </c>
      <c r="DD77" s="93">
        <f>DD50</f>
        <v>33.173318846818063</v>
      </c>
      <c r="DE77" s="92"/>
      <c r="DF77" s="43">
        <f>IF(DG77&gt;0,((1+(DI77/DG77))^(1/($A$101-$A$100))-1)*100,0)</f>
        <v>2.7323553670193235</v>
      </c>
      <c r="DG77" s="93">
        <f>DG50</f>
        <v>213.95572846563186</v>
      </c>
      <c r="DH77" s="93">
        <f>DH50</f>
        <v>67.639447401849822</v>
      </c>
      <c r="DI77" s="93">
        <f>DI50</f>
        <v>66.197978077989319</v>
      </c>
      <c r="DJ77" s="93">
        <f>DJ50</f>
        <v>133.83742547983914</v>
      </c>
      <c r="DK77" s="93"/>
      <c r="DL77" s="43">
        <f>IF(DM77&gt;0,((1+(DO77/DM77))^(1/($A$101-$A$100))-1)*100,0)</f>
        <v>2.9736201868302725</v>
      </c>
      <c r="DM77" s="93">
        <f>DM50</f>
        <v>44.13868196810671</v>
      </c>
      <c r="DN77" s="93">
        <f>DN50</f>
        <v>22.25556579647839</v>
      </c>
      <c r="DO77" s="93">
        <f>DO50</f>
        <v>15.028266767505601</v>
      </c>
      <c r="DP77" s="93">
        <f>DP50</f>
        <v>37.283832563983992</v>
      </c>
    </row>
    <row r="79" spans="1:120" x14ac:dyDescent="0.2">
      <c r="A79" s="91" t="str">
        <f ca="1">CELL("filename")</f>
        <v>M:\IE\Projects\Nuffield via NFER AI and automation\Data\Results\Workbooks\LSIPs\LI_LSIP\[LI_LSIP_MainTables.Main.xlsm]Manager</v>
      </c>
      <c r="Y79" s="91" t="str">
        <f ca="1">CELL("filename")</f>
        <v>M:\IE\Projects\Nuffield via NFER AI and automation\Data\Results\Workbooks\LSIPs\LI_LSIP\[LI_LSIP_MainTables.Main.xlsm]Manager</v>
      </c>
      <c r="AW79" s="91" t="str">
        <f ca="1">CELL("filename")</f>
        <v>M:\IE\Projects\Nuffield via NFER AI and automation\Data\Results\Workbooks\LSIPs\LI_LSIP\[LI_LSIP_MainTables.Main.xlsm]Manager</v>
      </c>
      <c r="BU79" s="91" t="str">
        <f ca="1">CELL("filename")</f>
        <v>M:\IE\Projects\Nuffield via NFER AI and automation\Data\Results\Workbooks\LSIPs\LI_LSIP\[LI_LSIP_MainTables.Main.xlsm]Manager</v>
      </c>
      <c r="CS79" s="91" t="str">
        <f ca="1">CELL("filename")</f>
        <v>M:\IE\Projects\Nuffield via NFER AI and automation\Data\Results\Workbooks\LSIPs\LI_LSIP\[LI_LSIP_MainTables.Main.xlsm]Manager</v>
      </c>
    </row>
    <row r="80" spans="1:120" ht="15.75" x14ac:dyDescent="0.25">
      <c r="A80" s="19" t="str">
        <f>CONCATENATE("Basic Table 5  Replacement Demand, ",A100,"-",A101,", by Industry Sector and Qualification for ",name!$H$3)</f>
        <v>Basic Table 5  Replacement Demand, 2015-2025, by Industry Sector and Qualification for M</v>
      </c>
      <c r="Y80" s="19" t="str">
        <f>CONCATENATE("Basic Table 5  Replacement Demand, ",A100,"-",A101,", by Industry Sector and Qualification for ",name!$H$4)</f>
        <v>Basic Table 5  Replacement Demand, 2015-2025, by Industry Sector and Qualification for F</v>
      </c>
      <c r="AW80" s="19" t="str">
        <f>CONCATENATE("Basic Table 5  Replacement Demand, ",A100,"-",A101,", by Industry Sector and Qualification for ",name!$H$5)</f>
        <v xml:space="preserve">Basic Table 5  Replacement Demand, 2015-2025, by Industry Sector and Qualification for </v>
      </c>
      <c r="BU80" s="19" t="str">
        <f>CONCATENATE("Basic Table 5  Replacement Demand, ",A100,"-",A101,", by Industry Sector and Qualification for ",name!$H$6)</f>
        <v xml:space="preserve">Basic Table 5  Replacement Demand, 2015-2025, by Industry Sector and Qualification for </v>
      </c>
      <c r="CS80" s="19" t="str">
        <f>CONCATENATE("Basic Table 5  Replacement Demand, ",A100,"-",A101,", by Industry Sector and Qualification for ",name!$H$7)</f>
        <v xml:space="preserve">Basic Table 5  Replacement Demand, 2015-2025, by Industry Sector and Qualification for </v>
      </c>
    </row>
    <row r="82" spans="1:120" x14ac:dyDescent="0.2">
      <c r="A82" s="92"/>
      <c r="B82" s="92"/>
      <c r="C82" s="92"/>
      <c r="D82" s="92"/>
      <c r="E82" s="92"/>
      <c r="F82" s="92"/>
      <c r="G82" s="92"/>
      <c r="H82" s="92"/>
      <c r="I82" s="92"/>
      <c r="J82" s="92"/>
      <c r="K82" s="92"/>
      <c r="L82" s="92"/>
      <c r="M82" s="92"/>
      <c r="N82" s="92"/>
      <c r="O82" s="92"/>
      <c r="P82" s="92"/>
      <c r="Q82" s="92"/>
      <c r="R82" s="92"/>
      <c r="S82" s="92"/>
      <c r="T82" s="92"/>
      <c r="U82" s="92"/>
      <c r="V82" s="92"/>
      <c r="W82" s="92"/>
      <c r="X82" s="116" t="str">
        <f>$X$3</f>
        <v>thousands</v>
      </c>
      <c r="Y82" s="92"/>
      <c r="Z82" s="92"/>
      <c r="AA82" s="92"/>
      <c r="AB82" s="92"/>
      <c r="AC82" s="92"/>
      <c r="AD82" s="92"/>
      <c r="AE82" s="92"/>
      <c r="AF82" s="92"/>
      <c r="AG82" s="92"/>
      <c r="AH82" s="92"/>
      <c r="AI82" s="92"/>
      <c r="AJ82" s="92"/>
      <c r="AK82" s="92"/>
      <c r="AL82" s="92"/>
      <c r="AM82" s="92"/>
      <c r="AN82" s="92"/>
      <c r="AO82" s="92"/>
      <c r="AP82" s="92"/>
      <c r="AQ82" s="92"/>
      <c r="AR82" s="92"/>
      <c r="AS82" s="92"/>
      <c r="AT82" s="92"/>
      <c r="AU82" s="92"/>
      <c r="AV82" s="116" t="str">
        <f>$X$3</f>
        <v>thousands</v>
      </c>
      <c r="AW82" s="92"/>
      <c r="AX82" s="92"/>
      <c r="AY82" s="92"/>
      <c r="AZ82" s="92"/>
      <c r="BA82" s="92"/>
      <c r="BB82" s="92"/>
      <c r="BC82" s="92"/>
      <c r="BD82" s="92"/>
      <c r="BE82" s="92"/>
      <c r="BF82" s="92"/>
      <c r="BG82" s="92"/>
      <c r="BH82" s="92"/>
      <c r="BI82" s="92"/>
      <c r="BJ82" s="92"/>
      <c r="BK82" s="92"/>
      <c r="BL82" s="92"/>
      <c r="BM82" s="92"/>
      <c r="BN82" s="92"/>
      <c r="BO82" s="92"/>
      <c r="BP82" s="92"/>
      <c r="BQ82" s="92"/>
      <c r="BR82" s="92"/>
      <c r="BS82" s="92"/>
      <c r="BT82" s="116" t="str">
        <f>$X$3</f>
        <v>thousands</v>
      </c>
      <c r="BU82" s="92"/>
      <c r="BV82" s="92"/>
      <c r="BW82" s="92"/>
      <c r="BX82" s="92"/>
      <c r="BY82" s="92"/>
      <c r="BZ82" s="92"/>
      <c r="CA82" s="92"/>
      <c r="CB82" s="92"/>
      <c r="CC82" s="92"/>
      <c r="CD82" s="92"/>
      <c r="CE82" s="92"/>
      <c r="CF82" s="92"/>
      <c r="CG82" s="92"/>
      <c r="CH82" s="92"/>
      <c r="CI82" s="92"/>
      <c r="CJ82" s="92"/>
      <c r="CK82" s="92"/>
      <c r="CL82" s="92"/>
      <c r="CM82" s="92"/>
      <c r="CN82" s="92"/>
      <c r="CO82" s="92"/>
      <c r="CP82" s="92"/>
      <c r="CQ82" s="92"/>
      <c r="CR82" s="116" t="str">
        <f>$X$3</f>
        <v>thousands</v>
      </c>
      <c r="CS82" s="92"/>
      <c r="CT82" s="92"/>
      <c r="CU82" s="92"/>
      <c r="CV82" s="92"/>
      <c r="CW82" s="92"/>
      <c r="CX82" s="92"/>
      <c r="CY82" s="92"/>
      <c r="CZ82" s="92"/>
      <c r="DA82" s="92"/>
      <c r="DB82" s="92"/>
      <c r="DC82" s="92"/>
      <c r="DD82" s="92"/>
      <c r="DE82" s="92"/>
      <c r="DF82" s="92"/>
      <c r="DG82" s="92"/>
      <c r="DH82" s="92"/>
      <c r="DI82" s="92"/>
      <c r="DJ82" s="92"/>
      <c r="DK82" s="92"/>
      <c r="DL82" s="92"/>
      <c r="DM82" s="92"/>
      <c r="DN82" s="92"/>
      <c r="DO82" s="92"/>
      <c r="DP82" s="116" t="str">
        <f>$X$3</f>
        <v>thousands</v>
      </c>
    </row>
    <row r="83" spans="1:120" x14ac:dyDescent="0.2">
      <c r="B83" s="385" t="str">
        <f>B4</f>
        <v>All qualifications</v>
      </c>
      <c r="C83" s="385"/>
      <c r="D83" s="385"/>
      <c r="E83" s="385"/>
      <c r="F83" s="385"/>
      <c r="G83" s="114"/>
      <c r="H83" s="385" t="str">
        <f>H4</f>
        <v>RQF8 Doctorate</v>
      </c>
      <c r="I83" s="385"/>
      <c r="J83" s="385"/>
      <c r="K83" s="385"/>
      <c r="L83" s="385"/>
      <c r="M83" s="114"/>
      <c r="N83" s="384" t="str">
        <f>N4</f>
        <v>RQF7 Other higher degree</v>
      </c>
      <c r="O83" s="384"/>
      <c r="P83" s="384"/>
      <c r="Q83" s="384"/>
      <c r="R83" s="384"/>
      <c r="S83" s="111"/>
      <c r="T83" s="384" t="str">
        <f>T4</f>
        <v>RQF6 First degree</v>
      </c>
      <c r="U83" s="384"/>
      <c r="V83" s="384"/>
      <c r="W83" s="384"/>
      <c r="X83" s="384"/>
      <c r="Z83" s="385" t="str">
        <f>Z4</f>
        <v>All qualifications</v>
      </c>
      <c r="AA83" s="385"/>
      <c r="AB83" s="385"/>
      <c r="AC83" s="385"/>
      <c r="AD83" s="385"/>
      <c r="AE83" s="114"/>
      <c r="AF83" s="385" t="str">
        <f>AF4</f>
        <v>RQF8 Doctorate</v>
      </c>
      <c r="AG83" s="385"/>
      <c r="AH83" s="385"/>
      <c r="AI83" s="385"/>
      <c r="AJ83" s="385"/>
      <c r="AK83" s="114"/>
      <c r="AL83" s="384" t="str">
        <f>AL4</f>
        <v>RQF7 Other higher degree</v>
      </c>
      <c r="AM83" s="384"/>
      <c r="AN83" s="384"/>
      <c r="AO83" s="384"/>
      <c r="AP83" s="384"/>
      <c r="AQ83" s="111"/>
      <c r="AR83" s="384" t="str">
        <f>AR4</f>
        <v>RQF6 First degree</v>
      </c>
      <c r="AS83" s="384"/>
      <c r="AT83" s="384"/>
      <c r="AU83" s="384"/>
      <c r="AV83" s="384"/>
      <c r="AX83" s="385" t="str">
        <f>AX4</f>
        <v>All qualifications</v>
      </c>
      <c r="AY83" s="385"/>
      <c r="AZ83" s="385"/>
      <c r="BA83" s="385"/>
      <c r="BB83" s="385"/>
      <c r="BC83" s="114"/>
      <c r="BD83" s="385" t="str">
        <f>BD4</f>
        <v>RQF8 Doctorate</v>
      </c>
      <c r="BE83" s="385"/>
      <c r="BF83" s="385"/>
      <c r="BG83" s="385"/>
      <c r="BH83" s="385"/>
      <c r="BI83" s="114"/>
      <c r="BJ83" s="384" t="str">
        <f>BJ4</f>
        <v>RQF7 Other higher degree</v>
      </c>
      <c r="BK83" s="384"/>
      <c r="BL83" s="384"/>
      <c r="BM83" s="384"/>
      <c r="BN83" s="384"/>
      <c r="BO83" s="111"/>
      <c r="BP83" s="384" t="str">
        <f>BP4</f>
        <v>RQF6 First degree</v>
      </c>
      <c r="BQ83" s="384"/>
      <c r="BR83" s="384"/>
      <c r="BS83" s="384"/>
      <c r="BT83" s="384"/>
      <c r="BV83" s="385" t="str">
        <f>BV4</f>
        <v>All qualifications</v>
      </c>
      <c r="BW83" s="385"/>
      <c r="BX83" s="385"/>
      <c r="BY83" s="385"/>
      <c r="BZ83" s="385"/>
      <c r="CA83" s="114"/>
      <c r="CB83" s="385" t="str">
        <f>CB4</f>
        <v>RQF8 Doctorate</v>
      </c>
      <c r="CC83" s="385"/>
      <c r="CD83" s="385"/>
      <c r="CE83" s="385"/>
      <c r="CF83" s="385"/>
      <c r="CG83" s="114"/>
      <c r="CH83" s="384" t="str">
        <f>CH4</f>
        <v>RQF7 Other higher degree</v>
      </c>
      <c r="CI83" s="384"/>
      <c r="CJ83" s="384"/>
      <c r="CK83" s="384"/>
      <c r="CL83" s="384"/>
      <c r="CM83" s="111"/>
      <c r="CN83" s="384" t="str">
        <f>CN4</f>
        <v>RQF6 First degree</v>
      </c>
      <c r="CO83" s="384"/>
      <c r="CP83" s="384"/>
      <c r="CQ83" s="384"/>
      <c r="CR83" s="384"/>
      <c r="CT83" s="385" t="str">
        <f>CT4</f>
        <v>All qualifications</v>
      </c>
      <c r="CU83" s="385"/>
      <c r="CV83" s="385"/>
      <c r="CW83" s="385"/>
      <c r="CX83" s="385"/>
      <c r="CY83" s="114"/>
      <c r="CZ83" s="385" t="str">
        <f>CZ4</f>
        <v>RQF8 Doctorate</v>
      </c>
      <c r="DA83" s="385"/>
      <c r="DB83" s="385"/>
      <c r="DC83" s="385"/>
      <c r="DD83" s="385"/>
      <c r="DE83" s="114"/>
      <c r="DF83" s="384" t="str">
        <f>DF4</f>
        <v>RQF7 Other higher degree</v>
      </c>
      <c r="DG83" s="384"/>
      <c r="DH83" s="384"/>
      <c r="DI83" s="384"/>
      <c r="DJ83" s="384"/>
      <c r="DK83" s="111"/>
      <c r="DL83" s="384" t="str">
        <f>DL4</f>
        <v>RQF6 First degree</v>
      </c>
      <c r="DM83" s="384"/>
      <c r="DN83" s="384"/>
      <c r="DO83" s="384"/>
      <c r="DP83" s="384"/>
    </row>
    <row r="85" spans="1:120" ht="38.25" x14ac:dyDescent="0.2">
      <c r="A85" s="113"/>
      <c r="B85" s="110" t="str">
        <f>B6</f>
        <v>RD p.a%</v>
      </c>
      <c r="C85" s="110" t="str">
        <f>C6</f>
        <v>2015 Level</v>
      </c>
      <c r="D85" s="110" t="str">
        <f>D6</f>
        <v>Net Change</v>
      </c>
      <c r="E85" s="110" t="str">
        <f>E6</f>
        <v>Replace-ment Demand</v>
      </c>
      <c r="F85" s="110" t="str">
        <f>F6</f>
        <v>Total Require-ment</v>
      </c>
      <c r="G85" s="109"/>
      <c r="H85" s="105" t="str">
        <f>B85</f>
        <v>RD p.a%</v>
      </c>
      <c r="I85" s="105" t="str">
        <f>C85</f>
        <v>2015 Level</v>
      </c>
      <c r="J85" s="105" t="str">
        <f>D85</f>
        <v>Net Change</v>
      </c>
      <c r="K85" s="105" t="str">
        <f>E85</f>
        <v>Replace-ment Demand</v>
      </c>
      <c r="L85" s="105" t="str">
        <f>F85</f>
        <v>Total Require-ment</v>
      </c>
      <c r="M85" s="104"/>
      <c r="N85" s="106" t="str">
        <f>H85</f>
        <v>RD p.a%</v>
      </c>
      <c r="O85" s="106" t="str">
        <f>I85</f>
        <v>2015 Level</v>
      </c>
      <c r="P85" s="106" t="str">
        <f>J85</f>
        <v>Net Change</v>
      </c>
      <c r="Q85" s="106" t="str">
        <f>K85</f>
        <v>Replace-ment Demand</v>
      </c>
      <c r="R85" s="106" t="str">
        <f>L85</f>
        <v>Total Require-ment</v>
      </c>
      <c r="S85" s="104"/>
      <c r="T85" s="106" t="str">
        <f>N85</f>
        <v>RD p.a%</v>
      </c>
      <c r="U85" s="106" t="str">
        <f>O85</f>
        <v>2015 Level</v>
      </c>
      <c r="V85" s="106" t="str">
        <f>P85</f>
        <v>Net Change</v>
      </c>
      <c r="W85" s="106" t="str">
        <f>Q85</f>
        <v>Replace-ment Demand</v>
      </c>
      <c r="X85" s="106" t="str">
        <f>R85</f>
        <v>Total Require-ment</v>
      </c>
      <c r="Y85" s="113"/>
      <c r="Z85" s="110" t="str">
        <f>Z6</f>
        <v>RD p.a%</v>
      </c>
      <c r="AA85" s="110" t="str">
        <f>AA6</f>
        <v>2015 Level</v>
      </c>
      <c r="AB85" s="110" t="str">
        <f>AB6</f>
        <v>Net Change</v>
      </c>
      <c r="AC85" s="110" t="str">
        <f>AC6</f>
        <v>Replace-ment Demand</v>
      </c>
      <c r="AD85" s="110" t="str">
        <f>AD6</f>
        <v>Total Require-ment</v>
      </c>
      <c r="AE85" s="109"/>
      <c r="AF85" s="105" t="str">
        <f>Z85</f>
        <v>RD p.a%</v>
      </c>
      <c r="AG85" s="105" t="str">
        <f>AA85</f>
        <v>2015 Level</v>
      </c>
      <c r="AH85" s="105" t="str">
        <f>AB85</f>
        <v>Net Change</v>
      </c>
      <c r="AI85" s="105" t="str">
        <f>AC85</f>
        <v>Replace-ment Demand</v>
      </c>
      <c r="AJ85" s="105" t="str">
        <f>AD85</f>
        <v>Total Require-ment</v>
      </c>
      <c r="AK85" s="104"/>
      <c r="AL85" s="106" t="str">
        <f>AF85</f>
        <v>RD p.a%</v>
      </c>
      <c r="AM85" s="106" t="str">
        <f>AG85</f>
        <v>2015 Level</v>
      </c>
      <c r="AN85" s="106" t="str">
        <f>AH85</f>
        <v>Net Change</v>
      </c>
      <c r="AO85" s="106" t="str">
        <f>AI85</f>
        <v>Replace-ment Demand</v>
      </c>
      <c r="AP85" s="106" t="str">
        <f>AJ85</f>
        <v>Total Require-ment</v>
      </c>
      <c r="AQ85" s="104"/>
      <c r="AR85" s="106" t="str">
        <f>AL85</f>
        <v>RD p.a%</v>
      </c>
      <c r="AS85" s="106" t="str">
        <f>AM85</f>
        <v>2015 Level</v>
      </c>
      <c r="AT85" s="106" t="str">
        <f>AN85</f>
        <v>Net Change</v>
      </c>
      <c r="AU85" s="106" t="str">
        <f>AO85</f>
        <v>Replace-ment Demand</v>
      </c>
      <c r="AV85" s="106" t="str">
        <f>AP85</f>
        <v>Total Require-ment</v>
      </c>
      <c r="AW85" s="113"/>
      <c r="AX85" s="110" t="str">
        <f>AX6</f>
        <v>RD p.a%</v>
      </c>
      <c r="AY85" s="110" t="str">
        <f>AY6</f>
        <v>2015 Level</v>
      </c>
      <c r="AZ85" s="110" t="str">
        <f>AZ6</f>
        <v>Net Change</v>
      </c>
      <c r="BA85" s="110" t="str">
        <f>BA6</f>
        <v>Replace-ment Demand</v>
      </c>
      <c r="BB85" s="110" t="str">
        <f>BB6</f>
        <v>Total Require-ment</v>
      </c>
      <c r="BC85" s="109"/>
      <c r="BD85" s="105" t="str">
        <f>AX85</f>
        <v>RD p.a%</v>
      </c>
      <c r="BE85" s="105" t="str">
        <f>AY85</f>
        <v>2015 Level</v>
      </c>
      <c r="BF85" s="105" t="str">
        <f>AZ85</f>
        <v>Net Change</v>
      </c>
      <c r="BG85" s="105" t="str">
        <f>BA85</f>
        <v>Replace-ment Demand</v>
      </c>
      <c r="BH85" s="105" t="str">
        <f>BB85</f>
        <v>Total Require-ment</v>
      </c>
      <c r="BI85" s="104"/>
      <c r="BJ85" s="106" t="str">
        <f>BD85</f>
        <v>RD p.a%</v>
      </c>
      <c r="BK85" s="106" t="str">
        <f>BE85</f>
        <v>2015 Level</v>
      </c>
      <c r="BL85" s="106" t="str">
        <f>BF85</f>
        <v>Net Change</v>
      </c>
      <c r="BM85" s="106" t="str">
        <f>BG85</f>
        <v>Replace-ment Demand</v>
      </c>
      <c r="BN85" s="106" t="str">
        <f>BH85</f>
        <v>Total Require-ment</v>
      </c>
      <c r="BO85" s="104"/>
      <c r="BP85" s="106" t="str">
        <f>BJ85</f>
        <v>RD p.a%</v>
      </c>
      <c r="BQ85" s="106" t="str">
        <f>BK85</f>
        <v>2015 Level</v>
      </c>
      <c r="BR85" s="106" t="str">
        <f>BL85</f>
        <v>Net Change</v>
      </c>
      <c r="BS85" s="106" t="str">
        <f>BM85</f>
        <v>Replace-ment Demand</v>
      </c>
      <c r="BT85" s="106" t="str">
        <f>BN85</f>
        <v>Total Require-ment</v>
      </c>
      <c r="BU85" s="113"/>
      <c r="BV85" s="110" t="str">
        <f>BV6</f>
        <v>RD p.a%</v>
      </c>
      <c r="BW85" s="110" t="str">
        <f>BW6</f>
        <v>2015 Level</v>
      </c>
      <c r="BX85" s="110" t="str">
        <f>BX6</f>
        <v>Net Change</v>
      </c>
      <c r="BY85" s="110" t="str">
        <f>BY6</f>
        <v>Replace-ment Demand</v>
      </c>
      <c r="BZ85" s="110" t="str">
        <f>BZ6</f>
        <v>Total Require-ment</v>
      </c>
      <c r="CA85" s="109"/>
      <c r="CB85" s="105" t="str">
        <f>BV85</f>
        <v>RD p.a%</v>
      </c>
      <c r="CC85" s="105" t="str">
        <f>BW85</f>
        <v>2015 Level</v>
      </c>
      <c r="CD85" s="105" t="str">
        <f>BX85</f>
        <v>Net Change</v>
      </c>
      <c r="CE85" s="105" t="str">
        <f>BY85</f>
        <v>Replace-ment Demand</v>
      </c>
      <c r="CF85" s="105" t="str">
        <f>BZ85</f>
        <v>Total Require-ment</v>
      </c>
      <c r="CG85" s="104"/>
      <c r="CH85" s="106" t="str">
        <f>CB85</f>
        <v>RD p.a%</v>
      </c>
      <c r="CI85" s="106" t="str">
        <f>CC85</f>
        <v>2015 Level</v>
      </c>
      <c r="CJ85" s="106" t="str">
        <f>CD85</f>
        <v>Net Change</v>
      </c>
      <c r="CK85" s="106" t="str">
        <f>CE85</f>
        <v>Replace-ment Demand</v>
      </c>
      <c r="CL85" s="106" t="str">
        <f>CF85</f>
        <v>Total Require-ment</v>
      </c>
      <c r="CM85" s="104"/>
      <c r="CN85" s="106" t="str">
        <f>CH85</f>
        <v>RD p.a%</v>
      </c>
      <c r="CO85" s="106" t="str">
        <f>CI85</f>
        <v>2015 Level</v>
      </c>
      <c r="CP85" s="106" t="str">
        <f>CJ85</f>
        <v>Net Change</v>
      </c>
      <c r="CQ85" s="106" t="str">
        <f>CK85</f>
        <v>Replace-ment Demand</v>
      </c>
      <c r="CR85" s="106" t="str">
        <f>CL85</f>
        <v>Total Require-ment</v>
      </c>
      <c r="CS85" s="113"/>
      <c r="CT85" s="110" t="str">
        <f>CT6</f>
        <v>RD p.a%</v>
      </c>
      <c r="CU85" s="110" t="str">
        <f>CU6</f>
        <v>2015 Level</v>
      </c>
      <c r="CV85" s="110" t="str">
        <f>CV6</f>
        <v>Net Change</v>
      </c>
      <c r="CW85" s="110" t="str">
        <f>CW6</f>
        <v>Replace-ment Demand</v>
      </c>
      <c r="CX85" s="110" t="str">
        <f>CX6</f>
        <v>Total Require-ment</v>
      </c>
      <c r="CY85" s="109"/>
      <c r="CZ85" s="105" t="str">
        <f>CT85</f>
        <v>RD p.a%</v>
      </c>
      <c r="DA85" s="105" t="str">
        <f>CU85</f>
        <v>2015 Level</v>
      </c>
      <c r="DB85" s="105" t="str">
        <f>CV85</f>
        <v>Net Change</v>
      </c>
      <c r="DC85" s="105" t="str">
        <f>CW85</f>
        <v>Replace-ment Demand</v>
      </c>
      <c r="DD85" s="105" t="str">
        <f>CX85</f>
        <v>Total Require-ment</v>
      </c>
      <c r="DE85" s="104"/>
      <c r="DF85" s="106" t="str">
        <f>CZ85</f>
        <v>RD p.a%</v>
      </c>
      <c r="DG85" s="106" t="str">
        <f>DA85</f>
        <v>2015 Level</v>
      </c>
      <c r="DH85" s="106" t="str">
        <f>DB85</f>
        <v>Net Change</v>
      </c>
      <c r="DI85" s="106" t="str">
        <f>DC85</f>
        <v>Replace-ment Demand</v>
      </c>
      <c r="DJ85" s="106" t="str">
        <f>DD85</f>
        <v>Total Require-ment</v>
      </c>
      <c r="DK85" s="104"/>
      <c r="DL85" s="106" t="str">
        <f>DF85</f>
        <v>RD p.a%</v>
      </c>
      <c r="DM85" s="106" t="str">
        <f>DG85</f>
        <v>2015 Level</v>
      </c>
      <c r="DN85" s="106" t="str">
        <f>DH85</f>
        <v>Net Change</v>
      </c>
      <c r="DO85" s="106" t="str">
        <f>DI85</f>
        <v>Replace-ment Demand</v>
      </c>
      <c r="DP85" s="106" t="str">
        <f>DJ85</f>
        <v>Total Require-ment</v>
      </c>
    </row>
    <row r="87" spans="1:120" x14ac:dyDescent="0.2">
      <c r="A87" s="91" t="str">
        <f>name!C4</f>
        <v>Primary sector and utilities</v>
      </c>
      <c r="B87" s="40" t="e">
        <f t="shared" ref="B87:B94" si="68">IF(C87&gt;0,((1+(E87/C87))^(1/($A$101-$A$100))-1)*100,0)</f>
        <v>#REF!</v>
      </c>
      <c r="C87" s="94" t="e">
        <f t="array" ref="C87:C92">MMULT(aggregation!#REF!,BasicTable5!C8:C48)</f>
        <v>#REF!</v>
      </c>
      <c r="D87" s="94" t="e">
        <f t="array" ref="D87:D92">MMULT(aggregation!#REF!,BasicTable5!D8:D48)</f>
        <v>#REF!</v>
      </c>
      <c r="E87" s="94" t="e">
        <f t="array" ref="E87:E92">MMULT(aggregation!#REF!,BasicTable5!E8:E48)</f>
        <v>#REF!</v>
      </c>
      <c r="F87" s="94" t="e">
        <f t="array" ref="F87:F92">MMULT(aggregation!#REF!,BasicTable5!F8:F48)</f>
        <v>#REF!</v>
      </c>
      <c r="H87" s="40" t="e">
        <f t="shared" ref="H87:H94" si="69">IF(I87&gt;0,((1+(K87/I87))^(1/($A$101-$A$100))-1)*100,0)</f>
        <v>#REF!</v>
      </c>
      <c r="I87" s="94" t="e">
        <f t="array" ref="I87:I92">MMULT(aggregation!#REF!,BasicTable5!I8:I48)</f>
        <v>#REF!</v>
      </c>
      <c r="J87" s="94" t="e">
        <f t="array" ref="J87:J92">MMULT(aggregation!#REF!,BasicTable5!J8:J48)</f>
        <v>#REF!</v>
      </c>
      <c r="K87" s="94" t="e">
        <f t="array" ref="K87:K92">MMULT(aggregation!#REF!,BasicTable5!K8:K48)</f>
        <v>#REF!</v>
      </c>
      <c r="L87" s="94" t="e">
        <f t="array" ref="L87:L92">MMULT(aggregation!#REF!,BasicTable5!L8:L48)</f>
        <v>#REF!</v>
      </c>
      <c r="N87" s="40" t="e">
        <f t="shared" ref="N87:N94" si="70">IF(O87&gt;0,((1+(Q87/O87))^(1/($A$101-$A$100))-1)*100,0)</f>
        <v>#REF!</v>
      </c>
      <c r="O87" s="94" t="e">
        <f t="array" ref="O87:O92">MMULT(aggregation!#REF!,BasicTable5!O8:O48)</f>
        <v>#REF!</v>
      </c>
      <c r="P87" s="94" t="e">
        <f t="array" ref="P87:P92">MMULT(aggregation!#REF!,BasicTable5!P8:P48)</f>
        <v>#REF!</v>
      </c>
      <c r="Q87" s="94" t="e">
        <f t="array" ref="Q87:Q92">MMULT(aggregation!#REF!,BasicTable5!Q8:Q48)</f>
        <v>#REF!</v>
      </c>
      <c r="R87" s="94" t="e">
        <f t="array" ref="R87:R92">MMULT(aggregation!#REF!,BasicTable5!R8:R48)</f>
        <v>#REF!</v>
      </c>
      <c r="S87" s="94"/>
      <c r="T87" s="40" t="e">
        <f t="shared" ref="T87:T94" si="71">IF(U87&gt;0,((1+(W87/U87))^(1/($A$101-$A$100))-1)*100,0)</f>
        <v>#REF!</v>
      </c>
      <c r="U87" s="94" t="e">
        <f t="array" ref="U87:U92">MMULT(aggregation!#REF!,BasicTable5!U8:U48)</f>
        <v>#REF!</v>
      </c>
      <c r="V87" s="94" t="e">
        <f t="array" ref="V87:V92">MMULT(aggregation!#REF!,BasicTable5!V8:V48)</f>
        <v>#REF!</v>
      </c>
      <c r="W87" s="94" t="e">
        <f t="array" ref="W87:W92">MMULT(aggregation!#REF!,BasicTable5!W8:W48)</f>
        <v>#REF!</v>
      </c>
      <c r="X87" s="94" t="e">
        <f t="array" ref="X87:X92">MMULT(aggregation!#REF!,BasicTable5!X8:X48)</f>
        <v>#REF!</v>
      </c>
      <c r="Y87" s="91" t="str">
        <f t="shared" ref="Y87:Y92" si="72">A87</f>
        <v>Primary sector and utilities</v>
      </c>
      <c r="Z87" s="40" t="e">
        <f t="shared" ref="Z87:Z92" si="73">IF(AA87&gt;0,((1+(AC87/AA87))^(1/($A$101-$A$100))-1)*100,0)</f>
        <v>#REF!</v>
      </c>
      <c r="AA87" s="94" t="e">
        <f t="array" ref="AA87:AA92">MMULT(aggregation!#REF!,BasicTable5!AA8:AA48)</f>
        <v>#REF!</v>
      </c>
      <c r="AB87" s="94" t="e">
        <f t="array" ref="AB87:AB92">MMULT(aggregation!#REF!,BasicTable5!AB8:AB48)</f>
        <v>#REF!</v>
      </c>
      <c r="AC87" s="94" t="e">
        <f t="array" ref="AC87:AC92">MMULT(aggregation!#REF!,BasicTable5!AC8:AC48)</f>
        <v>#REF!</v>
      </c>
      <c r="AD87" s="94" t="e">
        <f t="array" ref="AD87:AD92">MMULT(aggregation!#REF!,BasicTable5!AD8:AD48)</f>
        <v>#REF!</v>
      </c>
      <c r="AF87" s="40" t="e">
        <f t="shared" ref="AF87:AF92" si="74">IF(AG87&gt;0,((1+(AI87/AG87))^(1/($A$101-$A$100))-1)*100,0)</f>
        <v>#REF!</v>
      </c>
      <c r="AG87" s="94" t="e">
        <f t="array" ref="AG87:AG92">MMULT(aggregation!#REF!,BasicTable5!AG8:AG48)</f>
        <v>#REF!</v>
      </c>
      <c r="AH87" s="94" t="e">
        <f t="array" ref="AH87:AH92">MMULT(aggregation!#REF!,BasicTable5!AH8:AH48)</f>
        <v>#REF!</v>
      </c>
      <c r="AI87" s="94" t="e">
        <f t="array" ref="AI87:AI92">MMULT(aggregation!#REF!,BasicTable5!AI8:AI48)</f>
        <v>#REF!</v>
      </c>
      <c r="AJ87" s="94" t="e">
        <f t="array" ref="AJ87:AJ92">MMULT(aggregation!#REF!,BasicTable5!AJ8:AJ48)</f>
        <v>#REF!</v>
      </c>
      <c r="AL87" s="40" t="e">
        <f t="shared" ref="AL87:AL92" si="75">IF(AM87&gt;0,((1+(AO87/AM87))^(1/($A$101-$A$100))-1)*100,0)</f>
        <v>#REF!</v>
      </c>
      <c r="AM87" s="94" t="e">
        <f t="array" ref="AM87:AM92">MMULT(aggregation!#REF!,BasicTable5!AM8:AM48)</f>
        <v>#REF!</v>
      </c>
      <c r="AN87" s="94" t="e">
        <f t="array" ref="AN87:AN92">MMULT(aggregation!#REF!,BasicTable5!AN8:AN48)</f>
        <v>#REF!</v>
      </c>
      <c r="AO87" s="94" t="e">
        <f t="array" ref="AO87:AO92">MMULT(aggregation!#REF!,BasicTable5!AO8:AO48)</f>
        <v>#REF!</v>
      </c>
      <c r="AP87" s="94" t="e">
        <f t="array" ref="AP87:AP92">MMULT(aggregation!#REF!,BasicTable5!AP8:AP48)</f>
        <v>#REF!</v>
      </c>
      <c r="AQ87" s="94"/>
      <c r="AR87" s="40" t="e">
        <f t="shared" ref="AR87:AR92" si="76">IF(AS87&gt;0,((1+(AU87/AS87))^(1/($A$101-$A$100))-1)*100,0)</f>
        <v>#REF!</v>
      </c>
      <c r="AS87" s="94" t="e">
        <f t="array" ref="AS87:AS92">MMULT(aggregation!#REF!,BasicTable5!AS8:AS48)</f>
        <v>#REF!</v>
      </c>
      <c r="AT87" s="94" t="e">
        <f t="array" ref="AT87:AT92">MMULT(aggregation!#REF!,BasicTable5!AT8:AT48)</f>
        <v>#REF!</v>
      </c>
      <c r="AU87" s="94" t="e">
        <f t="array" ref="AU87:AU92">MMULT(aggregation!#REF!,BasicTable5!AU8:AU48)</f>
        <v>#REF!</v>
      </c>
      <c r="AV87" s="94" t="e">
        <f t="array" ref="AV87:AV92">MMULT(aggregation!#REF!,BasicTable5!AV8:AV48)</f>
        <v>#REF!</v>
      </c>
      <c r="AW87" s="91" t="str">
        <f t="shared" ref="AW87:AW92" si="77">Y87</f>
        <v>Primary sector and utilities</v>
      </c>
      <c r="AX87" s="40" t="e">
        <f t="shared" ref="AX87:AX92" si="78">IF(AY87&gt;0,((1+(BA87/AY87))^(1/($A$101-$A$100))-1)*100,0)</f>
        <v>#REF!</v>
      </c>
      <c r="AY87" s="94" t="e">
        <f t="array" ref="AY87:AY92">MMULT(aggregation!#REF!,BasicTable5!AY8:AY48)</f>
        <v>#REF!</v>
      </c>
      <c r="AZ87" s="94" t="e">
        <f t="array" ref="AZ87:AZ92">MMULT(aggregation!#REF!,BasicTable5!AZ8:AZ48)</f>
        <v>#REF!</v>
      </c>
      <c r="BA87" s="94" t="e">
        <f t="array" ref="BA87:BA92">MMULT(aggregation!#REF!,BasicTable5!BA8:BA48)</f>
        <v>#REF!</v>
      </c>
      <c r="BB87" s="94" t="e">
        <f t="array" ref="BB87:BB92">MMULT(aggregation!#REF!,BasicTable5!BB8:BB48)</f>
        <v>#REF!</v>
      </c>
      <c r="BD87" s="40" t="e">
        <f t="shared" ref="BD87:BD92" si="79">IF(BE87&gt;0,((1+(BG87/BE87))^(1/($A$101-$A$100))-1)*100,0)</f>
        <v>#REF!</v>
      </c>
      <c r="BE87" s="94" t="e">
        <f t="array" ref="BE87:BE92">MMULT(aggregation!#REF!,BasicTable5!BE8:BE48)</f>
        <v>#REF!</v>
      </c>
      <c r="BF87" s="94" t="e">
        <f t="array" ref="BF87:BF92">MMULT(aggregation!#REF!,BasicTable5!BF8:BF48)</f>
        <v>#REF!</v>
      </c>
      <c r="BG87" s="94" t="e">
        <f t="array" ref="BG87:BG92">MMULT(aggregation!#REF!,BasicTable5!BG8:BG48)</f>
        <v>#REF!</v>
      </c>
      <c r="BH87" s="94" t="e">
        <f t="array" ref="BH87:BH92">MMULT(aggregation!#REF!,BasicTable5!BH8:BH48)</f>
        <v>#REF!</v>
      </c>
      <c r="BJ87" s="40" t="e">
        <f t="shared" ref="BJ87:BJ92" si="80">IF(BK87&gt;0,((1+(BM87/BK87))^(1/($A$101-$A$100))-1)*100,0)</f>
        <v>#REF!</v>
      </c>
      <c r="BK87" s="94" t="e">
        <f t="array" ref="BK87:BK92">MMULT(aggregation!#REF!,BasicTable5!BK8:BK48)</f>
        <v>#REF!</v>
      </c>
      <c r="BL87" s="94" t="e">
        <f t="array" ref="BL87:BL92">MMULT(aggregation!#REF!,BasicTable5!BL8:BL48)</f>
        <v>#REF!</v>
      </c>
      <c r="BM87" s="94" t="e">
        <f t="array" ref="BM87:BM92">MMULT(aggregation!#REF!,BasicTable5!BM8:BM48)</f>
        <v>#REF!</v>
      </c>
      <c r="BN87" s="94" t="e">
        <f t="array" ref="BN87:BN92">MMULT(aggregation!#REF!,BasicTable5!BN8:BN48)</f>
        <v>#REF!</v>
      </c>
      <c r="BO87" s="94"/>
      <c r="BP87" s="40" t="e">
        <f t="shared" ref="BP87:BP92" si="81">IF(BQ87&gt;0,((1+(BS87/BQ87))^(1/($A$101-$A$100))-1)*100,0)</f>
        <v>#REF!</v>
      </c>
      <c r="BQ87" s="94" t="e">
        <f t="array" ref="BQ87:BQ92">MMULT(aggregation!#REF!,BasicTable5!BQ8:BQ48)</f>
        <v>#REF!</v>
      </c>
      <c r="BR87" s="94" t="e">
        <f t="array" ref="BR87:BR92">MMULT(aggregation!#REF!,BasicTable5!BR8:BR48)</f>
        <v>#REF!</v>
      </c>
      <c r="BS87" s="94" t="e">
        <f t="array" ref="BS87:BS92">MMULT(aggregation!#REF!,BasicTable5!BS8:BS48)</f>
        <v>#REF!</v>
      </c>
      <c r="BT87" s="94" t="e">
        <f t="array" ref="BT87:BT92">MMULT(aggregation!#REF!,BasicTable5!BT8:BT48)</f>
        <v>#REF!</v>
      </c>
      <c r="BU87" s="91" t="str">
        <f t="shared" ref="BU87:BU92" si="82">AW87</f>
        <v>Primary sector and utilities</v>
      </c>
      <c r="BV87" s="40" t="e">
        <f t="shared" ref="BV87:BV92" si="83">IF(BW87&gt;0,((1+(BY87/BW87))^(1/($A$101-$A$100))-1)*100,0)</f>
        <v>#REF!</v>
      </c>
      <c r="BW87" s="94" t="e">
        <f t="array" ref="BW87:BW92">MMULT(aggregation!#REF!,BasicTable5!BW8:BW48)</f>
        <v>#REF!</v>
      </c>
      <c r="BX87" s="94" t="e">
        <f t="array" ref="BX87:BX92">MMULT(aggregation!#REF!,BasicTable5!BX8:BX48)</f>
        <v>#REF!</v>
      </c>
      <c r="BY87" s="94" t="e">
        <f t="array" ref="BY87:BY92">MMULT(aggregation!#REF!,BasicTable5!BY8:BY48)</f>
        <v>#REF!</v>
      </c>
      <c r="BZ87" s="94" t="e">
        <f t="array" ref="BZ87:BZ92">MMULT(aggregation!#REF!,BasicTable5!BZ8:BZ48)</f>
        <v>#REF!</v>
      </c>
      <c r="CB87" s="40" t="e">
        <f t="shared" ref="CB87:CB92" si="84">IF(CC87&gt;0,((1+(CE87/CC87))^(1/($A$101-$A$100))-1)*100,0)</f>
        <v>#REF!</v>
      </c>
      <c r="CC87" s="94" t="e">
        <f t="array" ref="CC87:CC92">MMULT(aggregation!#REF!,BasicTable5!CC8:CC48)</f>
        <v>#REF!</v>
      </c>
      <c r="CD87" s="94" t="e">
        <f t="array" ref="CD87:CD92">MMULT(aggregation!#REF!,BasicTable5!CD8:CD48)</f>
        <v>#REF!</v>
      </c>
      <c r="CE87" s="94" t="e">
        <f t="array" ref="CE87:CE92">MMULT(aggregation!#REF!,BasicTable5!CE8:CE48)</f>
        <v>#REF!</v>
      </c>
      <c r="CF87" s="94" t="e">
        <f t="array" ref="CF87:CF92">MMULT(aggregation!#REF!,BasicTable5!CF8:CF48)</f>
        <v>#REF!</v>
      </c>
      <c r="CH87" s="40" t="e">
        <f t="shared" ref="CH87:CH92" si="85">IF(CI87&gt;0,((1+(CK87/CI87))^(1/($A$101-$A$100))-1)*100,0)</f>
        <v>#REF!</v>
      </c>
      <c r="CI87" s="94" t="e">
        <f t="array" ref="CI87:CI92">MMULT(aggregation!#REF!,BasicTable5!CI8:CI48)</f>
        <v>#REF!</v>
      </c>
      <c r="CJ87" s="94" t="e">
        <f t="array" ref="CJ87:CJ92">MMULT(aggregation!#REF!,BasicTable5!CJ8:CJ48)</f>
        <v>#REF!</v>
      </c>
      <c r="CK87" s="94" t="e">
        <f t="array" ref="CK87:CK92">MMULT(aggregation!#REF!,BasicTable5!CK8:CK48)</f>
        <v>#REF!</v>
      </c>
      <c r="CL87" s="94" t="e">
        <f t="array" ref="CL87:CL92">MMULT(aggregation!#REF!,BasicTable5!CL8:CL48)</f>
        <v>#REF!</v>
      </c>
      <c r="CM87" s="94"/>
      <c r="CN87" s="40" t="e">
        <f t="shared" ref="CN87:CN92" si="86">IF(CO87&gt;0,((1+(CQ87/CO87))^(1/($A$101-$A$100))-1)*100,0)</f>
        <v>#REF!</v>
      </c>
      <c r="CO87" s="94" t="e">
        <f t="array" ref="CO87:CO92">MMULT(aggregation!#REF!,BasicTable5!CO8:CO48)</f>
        <v>#REF!</v>
      </c>
      <c r="CP87" s="94" t="e">
        <f t="array" ref="CP87:CP92">MMULT(aggregation!#REF!,BasicTable5!CP8:CP48)</f>
        <v>#REF!</v>
      </c>
      <c r="CQ87" s="94" t="e">
        <f t="array" ref="CQ87:CQ92">MMULT(aggregation!#REF!,BasicTable5!CQ8:CQ48)</f>
        <v>#REF!</v>
      </c>
      <c r="CR87" s="94" t="e">
        <f t="array" ref="CR87:CR92">MMULT(aggregation!#REF!,BasicTable5!CR8:CR48)</f>
        <v>#REF!</v>
      </c>
      <c r="CS87" s="91" t="str">
        <f t="shared" ref="CS87:CS92" si="87">BU87</f>
        <v>Primary sector and utilities</v>
      </c>
      <c r="CT87" s="40" t="e">
        <f t="shared" ref="CT87:CT92" si="88">IF(CU87&gt;0,((1+(CW87/CU87))^(1/($A$101-$A$100))-1)*100,0)</f>
        <v>#REF!</v>
      </c>
      <c r="CU87" s="94" t="e">
        <f t="array" ref="CU87:CU92">MMULT(aggregation!#REF!,BasicTable5!CU8:CU48)</f>
        <v>#REF!</v>
      </c>
      <c r="CV87" s="94" t="e">
        <f t="array" ref="CV87:CV92">MMULT(aggregation!#REF!,BasicTable5!CV8:CV48)</f>
        <v>#REF!</v>
      </c>
      <c r="CW87" s="94" t="e">
        <f t="array" ref="CW87:CW92">MMULT(aggregation!#REF!,BasicTable5!CW8:CW48)</f>
        <v>#REF!</v>
      </c>
      <c r="CX87" s="94" t="e">
        <f t="array" ref="CX87:CX92">MMULT(aggregation!#REF!,BasicTable5!CX8:CX48)</f>
        <v>#REF!</v>
      </c>
      <c r="CZ87" s="40" t="e">
        <f t="shared" ref="CZ87:CZ92" si="89">IF(DA87&gt;0,((1+(DC87/DA87))^(1/($A$101-$A$100))-1)*100,0)</f>
        <v>#REF!</v>
      </c>
      <c r="DA87" s="94" t="e">
        <f t="array" ref="DA87:DA92">MMULT(aggregation!#REF!,BasicTable5!DA8:DA48)</f>
        <v>#REF!</v>
      </c>
      <c r="DB87" s="94" t="e">
        <f t="array" ref="DB87:DB92">MMULT(aggregation!#REF!,BasicTable5!DB8:DB48)</f>
        <v>#REF!</v>
      </c>
      <c r="DC87" s="94" t="e">
        <f t="array" ref="DC87:DC92">MMULT(aggregation!#REF!,BasicTable5!DC8:DC48)</f>
        <v>#REF!</v>
      </c>
      <c r="DD87" s="94" t="e">
        <f t="array" ref="DD87:DD92">MMULT(aggregation!#REF!,BasicTable5!DD8:DD48)</f>
        <v>#REF!</v>
      </c>
      <c r="DF87" s="40" t="e">
        <f t="shared" ref="DF87:DF92" si="90">IF(DG87&gt;0,((1+(DI87/DG87))^(1/($A$101-$A$100))-1)*100,0)</f>
        <v>#REF!</v>
      </c>
      <c r="DG87" s="94" t="e">
        <f t="array" ref="DG87:DG92">MMULT(aggregation!#REF!,BasicTable5!DG8:DG48)</f>
        <v>#REF!</v>
      </c>
      <c r="DH87" s="94" t="e">
        <f t="array" ref="DH87:DH92">MMULT(aggregation!#REF!,BasicTable5!DH8:DH48)</f>
        <v>#REF!</v>
      </c>
      <c r="DI87" s="94" t="e">
        <f t="array" ref="DI87:DI92">MMULT(aggregation!#REF!,BasicTable5!DI8:DI48)</f>
        <v>#REF!</v>
      </c>
      <c r="DJ87" s="94" t="e">
        <f t="array" ref="DJ87:DJ92">MMULT(aggregation!#REF!,BasicTable5!DJ8:DJ48)</f>
        <v>#REF!</v>
      </c>
      <c r="DK87" s="94"/>
      <c r="DL87" s="40" t="e">
        <f t="shared" ref="DL87:DL92" si="91">IF(DM87&gt;0,((1+(DO87/DM87))^(1/($A$101-$A$100))-1)*100,0)</f>
        <v>#REF!</v>
      </c>
      <c r="DM87" s="94" t="e">
        <f t="array" ref="DM87:DM92">MMULT(aggregation!#REF!,BasicTable5!DM8:DM48)</f>
        <v>#REF!</v>
      </c>
      <c r="DN87" s="94" t="e">
        <f t="array" ref="DN87:DN92">MMULT(aggregation!#REF!,BasicTable5!DN8:DN48)</f>
        <v>#REF!</v>
      </c>
      <c r="DO87" s="94" t="e">
        <f t="array" ref="DO87:DO92">MMULT(aggregation!#REF!,BasicTable5!DO8:DO48)</f>
        <v>#REF!</v>
      </c>
      <c r="DP87" s="94" t="e">
        <f t="array" ref="DP87:DP92">MMULT(aggregation!#REF!,BasicTable5!DP8:DP48)</f>
        <v>#REF!</v>
      </c>
    </row>
    <row r="88" spans="1:120" x14ac:dyDescent="0.2">
      <c r="A88" s="91" t="str">
        <f>name!C5</f>
        <v>Manufacturing</v>
      </c>
      <c r="B88" s="40" t="e">
        <f t="shared" si="68"/>
        <v>#REF!</v>
      </c>
      <c r="C88" s="94" t="e">
        <v>#REF!</v>
      </c>
      <c r="D88" s="94" t="e">
        <v>#REF!</v>
      </c>
      <c r="E88" s="94" t="e">
        <v>#REF!</v>
      </c>
      <c r="F88" s="94" t="e">
        <v>#REF!</v>
      </c>
      <c r="H88" s="40" t="e">
        <f t="shared" si="69"/>
        <v>#REF!</v>
      </c>
      <c r="I88" s="94" t="e">
        <v>#REF!</v>
      </c>
      <c r="J88" s="94" t="e">
        <v>#REF!</v>
      </c>
      <c r="K88" s="94" t="e">
        <v>#REF!</v>
      </c>
      <c r="L88" s="94" t="e">
        <v>#REF!</v>
      </c>
      <c r="N88" s="40" t="e">
        <f t="shared" si="70"/>
        <v>#REF!</v>
      </c>
      <c r="O88" s="94" t="e">
        <v>#REF!</v>
      </c>
      <c r="P88" s="94" t="e">
        <v>#REF!</v>
      </c>
      <c r="Q88" s="94" t="e">
        <v>#REF!</v>
      </c>
      <c r="R88" s="94" t="e">
        <v>#REF!</v>
      </c>
      <c r="S88" s="94"/>
      <c r="T88" s="40" t="e">
        <f t="shared" si="71"/>
        <v>#REF!</v>
      </c>
      <c r="U88" s="94" t="e">
        <v>#REF!</v>
      </c>
      <c r="V88" s="94" t="e">
        <v>#REF!</v>
      </c>
      <c r="W88" s="94" t="e">
        <v>#REF!</v>
      </c>
      <c r="X88" s="94" t="e">
        <v>#REF!</v>
      </c>
      <c r="Y88" s="91" t="str">
        <f t="shared" si="72"/>
        <v>Manufacturing</v>
      </c>
      <c r="Z88" s="40" t="e">
        <f t="shared" si="73"/>
        <v>#REF!</v>
      </c>
      <c r="AA88" s="94" t="e">
        <v>#REF!</v>
      </c>
      <c r="AB88" s="94" t="e">
        <v>#REF!</v>
      </c>
      <c r="AC88" s="94" t="e">
        <v>#REF!</v>
      </c>
      <c r="AD88" s="94" t="e">
        <v>#REF!</v>
      </c>
      <c r="AF88" s="40" t="e">
        <f t="shared" si="74"/>
        <v>#REF!</v>
      </c>
      <c r="AG88" s="94" t="e">
        <v>#REF!</v>
      </c>
      <c r="AH88" s="94" t="e">
        <v>#REF!</v>
      </c>
      <c r="AI88" s="94" t="e">
        <v>#REF!</v>
      </c>
      <c r="AJ88" s="94" t="e">
        <v>#REF!</v>
      </c>
      <c r="AL88" s="40" t="e">
        <f t="shared" si="75"/>
        <v>#REF!</v>
      </c>
      <c r="AM88" s="94" t="e">
        <v>#REF!</v>
      </c>
      <c r="AN88" s="94" t="e">
        <v>#REF!</v>
      </c>
      <c r="AO88" s="94" t="e">
        <v>#REF!</v>
      </c>
      <c r="AP88" s="94" t="e">
        <v>#REF!</v>
      </c>
      <c r="AQ88" s="94"/>
      <c r="AR88" s="40" t="e">
        <f t="shared" si="76"/>
        <v>#REF!</v>
      </c>
      <c r="AS88" s="94" t="e">
        <v>#REF!</v>
      </c>
      <c r="AT88" s="94" t="e">
        <v>#REF!</v>
      </c>
      <c r="AU88" s="94" t="e">
        <v>#REF!</v>
      </c>
      <c r="AV88" s="94" t="e">
        <v>#REF!</v>
      </c>
      <c r="AW88" s="91" t="str">
        <f t="shared" si="77"/>
        <v>Manufacturing</v>
      </c>
      <c r="AX88" s="40" t="e">
        <f t="shared" si="78"/>
        <v>#REF!</v>
      </c>
      <c r="AY88" s="94" t="e">
        <v>#REF!</v>
      </c>
      <c r="AZ88" s="94" t="e">
        <v>#REF!</v>
      </c>
      <c r="BA88" s="94" t="e">
        <v>#REF!</v>
      </c>
      <c r="BB88" s="94" t="e">
        <v>#REF!</v>
      </c>
      <c r="BD88" s="40" t="e">
        <f t="shared" si="79"/>
        <v>#REF!</v>
      </c>
      <c r="BE88" s="94" t="e">
        <v>#REF!</v>
      </c>
      <c r="BF88" s="94" t="e">
        <v>#REF!</v>
      </c>
      <c r="BG88" s="94" t="e">
        <v>#REF!</v>
      </c>
      <c r="BH88" s="94" t="e">
        <v>#REF!</v>
      </c>
      <c r="BJ88" s="40" t="e">
        <f t="shared" si="80"/>
        <v>#REF!</v>
      </c>
      <c r="BK88" s="94" t="e">
        <v>#REF!</v>
      </c>
      <c r="BL88" s="94" t="e">
        <v>#REF!</v>
      </c>
      <c r="BM88" s="94" t="e">
        <v>#REF!</v>
      </c>
      <c r="BN88" s="94" t="e">
        <v>#REF!</v>
      </c>
      <c r="BO88" s="94"/>
      <c r="BP88" s="40" t="e">
        <f t="shared" si="81"/>
        <v>#REF!</v>
      </c>
      <c r="BQ88" s="94" t="e">
        <v>#REF!</v>
      </c>
      <c r="BR88" s="94" t="e">
        <v>#REF!</v>
      </c>
      <c r="BS88" s="94" t="e">
        <v>#REF!</v>
      </c>
      <c r="BT88" s="94" t="e">
        <v>#REF!</v>
      </c>
      <c r="BU88" s="91" t="str">
        <f t="shared" si="82"/>
        <v>Manufacturing</v>
      </c>
      <c r="BV88" s="40" t="e">
        <f t="shared" si="83"/>
        <v>#REF!</v>
      </c>
      <c r="BW88" s="94" t="e">
        <v>#REF!</v>
      </c>
      <c r="BX88" s="94" t="e">
        <v>#REF!</v>
      </c>
      <c r="BY88" s="94" t="e">
        <v>#REF!</v>
      </c>
      <c r="BZ88" s="94" t="e">
        <v>#REF!</v>
      </c>
      <c r="CB88" s="40" t="e">
        <f t="shared" si="84"/>
        <v>#REF!</v>
      </c>
      <c r="CC88" s="94" t="e">
        <v>#REF!</v>
      </c>
      <c r="CD88" s="94" t="e">
        <v>#REF!</v>
      </c>
      <c r="CE88" s="94" t="e">
        <v>#REF!</v>
      </c>
      <c r="CF88" s="94" t="e">
        <v>#REF!</v>
      </c>
      <c r="CH88" s="40" t="e">
        <f t="shared" si="85"/>
        <v>#REF!</v>
      </c>
      <c r="CI88" s="94" t="e">
        <v>#REF!</v>
      </c>
      <c r="CJ88" s="94" t="e">
        <v>#REF!</v>
      </c>
      <c r="CK88" s="94" t="e">
        <v>#REF!</v>
      </c>
      <c r="CL88" s="94" t="e">
        <v>#REF!</v>
      </c>
      <c r="CM88" s="94"/>
      <c r="CN88" s="40" t="e">
        <f t="shared" si="86"/>
        <v>#REF!</v>
      </c>
      <c r="CO88" s="94" t="e">
        <v>#REF!</v>
      </c>
      <c r="CP88" s="94" t="e">
        <v>#REF!</v>
      </c>
      <c r="CQ88" s="94" t="e">
        <v>#REF!</v>
      </c>
      <c r="CR88" s="94" t="e">
        <v>#REF!</v>
      </c>
      <c r="CS88" s="91" t="str">
        <f t="shared" si="87"/>
        <v>Manufacturing</v>
      </c>
      <c r="CT88" s="40" t="e">
        <f t="shared" si="88"/>
        <v>#REF!</v>
      </c>
      <c r="CU88" s="94" t="e">
        <v>#REF!</v>
      </c>
      <c r="CV88" s="94" t="e">
        <v>#REF!</v>
      </c>
      <c r="CW88" s="94" t="e">
        <v>#REF!</v>
      </c>
      <c r="CX88" s="94" t="e">
        <v>#REF!</v>
      </c>
      <c r="CZ88" s="40" t="e">
        <f t="shared" si="89"/>
        <v>#REF!</v>
      </c>
      <c r="DA88" s="94" t="e">
        <v>#REF!</v>
      </c>
      <c r="DB88" s="94" t="e">
        <v>#REF!</v>
      </c>
      <c r="DC88" s="94" t="e">
        <v>#REF!</v>
      </c>
      <c r="DD88" s="94" t="e">
        <v>#REF!</v>
      </c>
      <c r="DF88" s="40" t="e">
        <f t="shared" si="90"/>
        <v>#REF!</v>
      </c>
      <c r="DG88" s="94" t="e">
        <v>#REF!</v>
      </c>
      <c r="DH88" s="94" t="e">
        <v>#REF!</v>
      </c>
      <c r="DI88" s="94" t="e">
        <v>#REF!</v>
      </c>
      <c r="DJ88" s="94" t="e">
        <v>#REF!</v>
      </c>
      <c r="DK88" s="94"/>
      <c r="DL88" s="40" t="e">
        <f t="shared" si="91"/>
        <v>#REF!</v>
      </c>
      <c r="DM88" s="94" t="e">
        <v>#REF!</v>
      </c>
      <c r="DN88" s="94" t="e">
        <v>#REF!</v>
      </c>
      <c r="DO88" s="94" t="e">
        <v>#REF!</v>
      </c>
      <c r="DP88" s="94" t="e">
        <v>#REF!</v>
      </c>
    </row>
    <row r="89" spans="1:120" x14ac:dyDescent="0.2">
      <c r="A89" s="91" t="str">
        <f>name!C6</f>
        <v>Construction</v>
      </c>
      <c r="B89" s="40" t="e">
        <f t="shared" si="68"/>
        <v>#REF!</v>
      </c>
      <c r="C89" s="94" t="e">
        <v>#REF!</v>
      </c>
      <c r="D89" s="94" t="e">
        <v>#REF!</v>
      </c>
      <c r="E89" s="94" t="e">
        <v>#REF!</v>
      </c>
      <c r="F89" s="94" t="e">
        <v>#REF!</v>
      </c>
      <c r="H89" s="40" t="e">
        <f t="shared" si="69"/>
        <v>#REF!</v>
      </c>
      <c r="I89" s="94" t="e">
        <v>#REF!</v>
      </c>
      <c r="J89" s="94" t="e">
        <v>#REF!</v>
      </c>
      <c r="K89" s="94" t="e">
        <v>#REF!</v>
      </c>
      <c r="L89" s="94" t="e">
        <v>#REF!</v>
      </c>
      <c r="N89" s="40" t="e">
        <f t="shared" si="70"/>
        <v>#REF!</v>
      </c>
      <c r="O89" s="94" t="e">
        <v>#REF!</v>
      </c>
      <c r="P89" s="94" t="e">
        <v>#REF!</v>
      </c>
      <c r="Q89" s="94" t="e">
        <v>#REF!</v>
      </c>
      <c r="R89" s="94" t="e">
        <v>#REF!</v>
      </c>
      <c r="S89" s="94"/>
      <c r="T89" s="40" t="e">
        <f t="shared" si="71"/>
        <v>#REF!</v>
      </c>
      <c r="U89" s="94" t="e">
        <v>#REF!</v>
      </c>
      <c r="V89" s="94" t="e">
        <v>#REF!</v>
      </c>
      <c r="W89" s="94" t="e">
        <v>#REF!</v>
      </c>
      <c r="X89" s="94" t="e">
        <v>#REF!</v>
      </c>
      <c r="Y89" s="91" t="str">
        <f t="shared" si="72"/>
        <v>Construction</v>
      </c>
      <c r="Z89" s="40" t="e">
        <f t="shared" si="73"/>
        <v>#REF!</v>
      </c>
      <c r="AA89" s="94" t="e">
        <v>#REF!</v>
      </c>
      <c r="AB89" s="94" t="e">
        <v>#REF!</v>
      </c>
      <c r="AC89" s="94" t="e">
        <v>#REF!</v>
      </c>
      <c r="AD89" s="94" t="e">
        <v>#REF!</v>
      </c>
      <c r="AF89" s="40" t="e">
        <f t="shared" si="74"/>
        <v>#REF!</v>
      </c>
      <c r="AG89" s="94" t="e">
        <v>#REF!</v>
      </c>
      <c r="AH89" s="94" t="e">
        <v>#REF!</v>
      </c>
      <c r="AI89" s="94" t="e">
        <v>#REF!</v>
      </c>
      <c r="AJ89" s="94" t="e">
        <v>#REF!</v>
      </c>
      <c r="AL89" s="40" t="e">
        <f t="shared" si="75"/>
        <v>#REF!</v>
      </c>
      <c r="AM89" s="94" t="e">
        <v>#REF!</v>
      </c>
      <c r="AN89" s="94" t="e">
        <v>#REF!</v>
      </c>
      <c r="AO89" s="94" t="e">
        <v>#REF!</v>
      </c>
      <c r="AP89" s="94" t="e">
        <v>#REF!</v>
      </c>
      <c r="AQ89" s="94"/>
      <c r="AR89" s="40" t="e">
        <f t="shared" si="76"/>
        <v>#REF!</v>
      </c>
      <c r="AS89" s="94" t="e">
        <v>#REF!</v>
      </c>
      <c r="AT89" s="94" t="e">
        <v>#REF!</v>
      </c>
      <c r="AU89" s="94" t="e">
        <v>#REF!</v>
      </c>
      <c r="AV89" s="94" t="e">
        <v>#REF!</v>
      </c>
      <c r="AW89" s="91" t="str">
        <f t="shared" si="77"/>
        <v>Construction</v>
      </c>
      <c r="AX89" s="40" t="e">
        <f t="shared" si="78"/>
        <v>#REF!</v>
      </c>
      <c r="AY89" s="94" t="e">
        <v>#REF!</v>
      </c>
      <c r="AZ89" s="94" t="e">
        <v>#REF!</v>
      </c>
      <c r="BA89" s="94" t="e">
        <v>#REF!</v>
      </c>
      <c r="BB89" s="94" t="e">
        <v>#REF!</v>
      </c>
      <c r="BD89" s="40" t="e">
        <f t="shared" si="79"/>
        <v>#REF!</v>
      </c>
      <c r="BE89" s="94" t="e">
        <v>#REF!</v>
      </c>
      <c r="BF89" s="94" t="e">
        <v>#REF!</v>
      </c>
      <c r="BG89" s="94" t="e">
        <v>#REF!</v>
      </c>
      <c r="BH89" s="94" t="e">
        <v>#REF!</v>
      </c>
      <c r="BJ89" s="40" t="e">
        <f t="shared" si="80"/>
        <v>#REF!</v>
      </c>
      <c r="BK89" s="94" t="e">
        <v>#REF!</v>
      </c>
      <c r="BL89" s="94" t="e">
        <v>#REF!</v>
      </c>
      <c r="BM89" s="94" t="e">
        <v>#REF!</v>
      </c>
      <c r="BN89" s="94" t="e">
        <v>#REF!</v>
      </c>
      <c r="BO89" s="94"/>
      <c r="BP89" s="40" t="e">
        <f t="shared" si="81"/>
        <v>#REF!</v>
      </c>
      <c r="BQ89" s="94" t="e">
        <v>#REF!</v>
      </c>
      <c r="BR89" s="94" t="e">
        <v>#REF!</v>
      </c>
      <c r="BS89" s="94" t="e">
        <v>#REF!</v>
      </c>
      <c r="BT89" s="94" t="e">
        <v>#REF!</v>
      </c>
      <c r="BU89" s="91" t="str">
        <f t="shared" si="82"/>
        <v>Construction</v>
      </c>
      <c r="BV89" s="40" t="e">
        <f t="shared" si="83"/>
        <v>#REF!</v>
      </c>
      <c r="BW89" s="94" t="e">
        <v>#REF!</v>
      </c>
      <c r="BX89" s="94" t="e">
        <v>#REF!</v>
      </c>
      <c r="BY89" s="94" t="e">
        <v>#REF!</v>
      </c>
      <c r="BZ89" s="94" t="e">
        <v>#REF!</v>
      </c>
      <c r="CB89" s="40" t="e">
        <f t="shared" si="84"/>
        <v>#REF!</v>
      </c>
      <c r="CC89" s="94" t="e">
        <v>#REF!</v>
      </c>
      <c r="CD89" s="94" t="e">
        <v>#REF!</v>
      </c>
      <c r="CE89" s="94" t="e">
        <v>#REF!</v>
      </c>
      <c r="CF89" s="94" t="e">
        <v>#REF!</v>
      </c>
      <c r="CH89" s="40" t="e">
        <f t="shared" si="85"/>
        <v>#REF!</v>
      </c>
      <c r="CI89" s="94" t="e">
        <v>#REF!</v>
      </c>
      <c r="CJ89" s="94" t="e">
        <v>#REF!</v>
      </c>
      <c r="CK89" s="94" t="e">
        <v>#REF!</v>
      </c>
      <c r="CL89" s="94" t="e">
        <v>#REF!</v>
      </c>
      <c r="CM89" s="94"/>
      <c r="CN89" s="40" t="e">
        <f t="shared" si="86"/>
        <v>#REF!</v>
      </c>
      <c r="CO89" s="94" t="e">
        <v>#REF!</v>
      </c>
      <c r="CP89" s="94" t="e">
        <v>#REF!</v>
      </c>
      <c r="CQ89" s="94" t="e">
        <v>#REF!</v>
      </c>
      <c r="CR89" s="94" t="e">
        <v>#REF!</v>
      </c>
      <c r="CS89" s="91" t="str">
        <f t="shared" si="87"/>
        <v>Construction</v>
      </c>
      <c r="CT89" s="40" t="e">
        <f t="shared" si="88"/>
        <v>#REF!</v>
      </c>
      <c r="CU89" s="94" t="e">
        <v>#REF!</v>
      </c>
      <c r="CV89" s="94" t="e">
        <v>#REF!</v>
      </c>
      <c r="CW89" s="94" t="e">
        <v>#REF!</v>
      </c>
      <c r="CX89" s="94" t="e">
        <v>#REF!</v>
      </c>
      <c r="CZ89" s="40" t="e">
        <f t="shared" si="89"/>
        <v>#REF!</v>
      </c>
      <c r="DA89" s="94" t="e">
        <v>#REF!</v>
      </c>
      <c r="DB89" s="94" t="e">
        <v>#REF!</v>
      </c>
      <c r="DC89" s="94" t="e">
        <v>#REF!</v>
      </c>
      <c r="DD89" s="94" t="e">
        <v>#REF!</v>
      </c>
      <c r="DF89" s="40" t="e">
        <f t="shared" si="90"/>
        <v>#REF!</v>
      </c>
      <c r="DG89" s="94" t="e">
        <v>#REF!</v>
      </c>
      <c r="DH89" s="94" t="e">
        <v>#REF!</v>
      </c>
      <c r="DI89" s="94" t="e">
        <v>#REF!</v>
      </c>
      <c r="DJ89" s="94" t="e">
        <v>#REF!</v>
      </c>
      <c r="DK89" s="94"/>
      <c r="DL89" s="40" t="e">
        <f t="shared" si="91"/>
        <v>#REF!</v>
      </c>
      <c r="DM89" s="94" t="e">
        <v>#REF!</v>
      </c>
      <c r="DN89" s="94" t="e">
        <v>#REF!</v>
      </c>
      <c r="DO89" s="94" t="e">
        <v>#REF!</v>
      </c>
      <c r="DP89" s="94" t="e">
        <v>#REF!</v>
      </c>
    </row>
    <row r="90" spans="1:120" x14ac:dyDescent="0.2">
      <c r="A90" s="91" t="str">
        <f>name!C7</f>
        <v>Trade, accomod. and transport</v>
      </c>
      <c r="B90" s="40" t="e">
        <f t="shared" si="68"/>
        <v>#REF!</v>
      </c>
      <c r="C90" s="94" t="e">
        <v>#REF!</v>
      </c>
      <c r="D90" s="94" t="e">
        <v>#REF!</v>
      </c>
      <c r="E90" s="94" t="e">
        <v>#REF!</v>
      </c>
      <c r="F90" s="94" t="e">
        <v>#REF!</v>
      </c>
      <c r="H90" s="40" t="e">
        <f t="shared" si="69"/>
        <v>#REF!</v>
      </c>
      <c r="I90" s="94" t="e">
        <v>#REF!</v>
      </c>
      <c r="J90" s="94" t="e">
        <v>#REF!</v>
      </c>
      <c r="K90" s="94" t="e">
        <v>#REF!</v>
      </c>
      <c r="L90" s="94" t="e">
        <v>#REF!</v>
      </c>
      <c r="N90" s="40" t="e">
        <f t="shared" si="70"/>
        <v>#REF!</v>
      </c>
      <c r="O90" s="94" t="e">
        <v>#REF!</v>
      </c>
      <c r="P90" s="94" t="e">
        <v>#REF!</v>
      </c>
      <c r="Q90" s="94" t="e">
        <v>#REF!</v>
      </c>
      <c r="R90" s="94" t="e">
        <v>#REF!</v>
      </c>
      <c r="S90" s="94"/>
      <c r="T90" s="40" t="e">
        <f t="shared" si="71"/>
        <v>#REF!</v>
      </c>
      <c r="U90" s="94" t="e">
        <v>#REF!</v>
      </c>
      <c r="V90" s="94" t="e">
        <v>#REF!</v>
      </c>
      <c r="W90" s="94" t="e">
        <v>#REF!</v>
      </c>
      <c r="X90" s="94" t="e">
        <v>#REF!</v>
      </c>
      <c r="Y90" s="91" t="str">
        <f t="shared" si="72"/>
        <v>Trade, accomod. and transport</v>
      </c>
      <c r="Z90" s="40" t="e">
        <f t="shared" si="73"/>
        <v>#REF!</v>
      </c>
      <c r="AA90" s="94" t="e">
        <v>#REF!</v>
      </c>
      <c r="AB90" s="94" t="e">
        <v>#REF!</v>
      </c>
      <c r="AC90" s="94" t="e">
        <v>#REF!</v>
      </c>
      <c r="AD90" s="94" t="e">
        <v>#REF!</v>
      </c>
      <c r="AF90" s="40" t="e">
        <f t="shared" si="74"/>
        <v>#REF!</v>
      </c>
      <c r="AG90" s="94" t="e">
        <v>#REF!</v>
      </c>
      <c r="AH90" s="94" t="e">
        <v>#REF!</v>
      </c>
      <c r="AI90" s="94" t="e">
        <v>#REF!</v>
      </c>
      <c r="AJ90" s="94" t="e">
        <v>#REF!</v>
      </c>
      <c r="AL90" s="40" t="e">
        <f t="shared" si="75"/>
        <v>#REF!</v>
      </c>
      <c r="AM90" s="94" t="e">
        <v>#REF!</v>
      </c>
      <c r="AN90" s="94" t="e">
        <v>#REF!</v>
      </c>
      <c r="AO90" s="94" t="e">
        <v>#REF!</v>
      </c>
      <c r="AP90" s="94" t="e">
        <v>#REF!</v>
      </c>
      <c r="AQ90" s="94"/>
      <c r="AR90" s="40" t="e">
        <f t="shared" si="76"/>
        <v>#REF!</v>
      </c>
      <c r="AS90" s="94" t="e">
        <v>#REF!</v>
      </c>
      <c r="AT90" s="94" t="e">
        <v>#REF!</v>
      </c>
      <c r="AU90" s="94" t="e">
        <v>#REF!</v>
      </c>
      <c r="AV90" s="94" t="e">
        <v>#REF!</v>
      </c>
      <c r="AW90" s="91" t="str">
        <f t="shared" si="77"/>
        <v>Trade, accomod. and transport</v>
      </c>
      <c r="AX90" s="40" t="e">
        <f t="shared" si="78"/>
        <v>#REF!</v>
      </c>
      <c r="AY90" s="94" t="e">
        <v>#REF!</v>
      </c>
      <c r="AZ90" s="94" t="e">
        <v>#REF!</v>
      </c>
      <c r="BA90" s="94" t="e">
        <v>#REF!</v>
      </c>
      <c r="BB90" s="94" t="e">
        <v>#REF!</v>
      </c>
      <c r="BD90" s="40" t="e">
        <f t="shared" si="79"/>
        <v>#REF!</v>
      </c>
      <c r="BE90" s="94" t="e">
        <v>#REF!</v>
      </c>
      <c r="BF90" s="94" t="e">
        <v>#REF!</v>
      </c>
      <c r="BG90" s="94" t="e">
        <v>#REF!</v>
      </c>
      <c r="BH90" s="94" t="e">
        <v>#REF!</v>
      </c>
      <c r="BJ90" s="40" t="e">
        <f t="shared" si="80"/>
        <v>#REF!</v>
      </c>
      <c r="BK90" s="94" t="e">
        <v>#REF!</v>
      </c>
      <c r="BL90" s="94" t="e">
        <v>#REF!</v>
      </c>
      <c r="BM90" s="94" t="e">
        <v>#REF!</v>
      </c>
      <c r="BN90" s="94" t="e">
        <v>#REF!</v>
      </c>
      <c r="BO90" s="94"/>
      <c r="BP90" s="40" t="e">
        <f t="shared" si="81"/>
        <v>#REF!</v>
      </c>
      <c r="BQ90" s="94" t="e">
        <v>#REF!</v>
      </c>
      <c r="BR90" s="94" t="e">
        <v>#REF!</v>
      </c>
      <c r="BS90" s="94" t="e">
        <v>#REF!</v>
      </c>
      <c r="BT90" s="94" t="e">
        <v>#REF!</v>
      </c>
      <c r="BU90" s="91" t="str">
        <f t="shared" si="82"/>
        <v>Trade, accomod. and transport</v>
      </c>
      <c r="BV90" s="40" t="e">
        <f t="shared" si="83"/>
        <v>#REF!</v>
      </c>
      <c r="BW90" s="94" t="e">
        <v>#REF!</v>
      </c>
      <c r="BX90" s="94" t="e">
        <v>#REF!</v>
      </c>
      <c r="BY90" s="94" t="e">
        <v>#REF!</v>
      </c>
      <c r="BZ90" s="94" t="e">
        <v>#REF!</v>
      </c>
      <c r="CB90" s="40" t="e">
        <f t="shared" si="84"/>
        <v>#REF!</v>
      </c>
      <c r="CC90" s="94" t="e">
        <v>#REF!</v>
      </c>
      <c r="CD90" s="94" t="e">
        <v>#REF!</v>
      </c>
      <c r="CE90" s="94" t="e">
        <v>#REF!</v>
      </c>
      <c r="CF90" s="94" t="e">
        <v>#REF!</v>
      </c>
      <c r="CH90" s="40" t="e">
        <f t="shared" si="85"/>
        <v>#REF!</v>
      </c>
      <c r="CI90" s="94" t="e">
        <v>#REF!</v>
      </c>
      <c r="CJ90" s="94" t="e">
        <v>#REF!</v>
      </c>
      <c r="CK90" s="94" t="e">
        <v>#REF!</v>
      </c>
      <c r="CL90" s="94" t="e">
        <v>#REF!</v>
      </c>
      <c r="CM90" s="94"/>
      <c r="CN90" s="40" t="e">
        <f t="shared" si="86"/>
        <v>#REF!</v>
      </c>
      <c r="CO90" s="94" t="e">
        <v>#REF!</v>
      </c>
      <c r="CP90" s="94" t="e">
        <v>#REF!</v>
      </c>
      <c r="CQ90" s="94" t="e">
        <v>#REF!</v>
      </c>
      <c r="CR90" s="94" t="e">
        <v>#REF!</v>
      </c>
      <c r="CS90" s="91" t="str">
        <f t="shared" si="87"/>
        <v>Trade, accomod. and transport</v>
      </c>
      <c r="CT90" s="40" t="e">
        <f t="shared" si="88"/>
        <v>#REF!</v>
      </c>
      <c r="CU90" s="94" t="e">
        <v>#REF!</v>
      </c>
      <c r="CV90" s="94" t="e">
        <v>#REF!</v>
      </c>
      <c r="CW90" s="94" t="e">
        <v>#REF!</v>
      </c>
      <c r="CX90" s="94" t="e">
        <v>#REF!</v>
      </c>
      <c r="CZ90" s="40" t="e">
        <f t="shared" si="89"/>
        <v>#REF!</v>
      </c>
      <c r="DA90" s="94" t="e">
        <v>#REF!</v>
      </c>
      <c r="DB90" s="94" t="e">
        <v>#REF!</v>
      </c>
      <c r="DC90" s="94" t="e">
        <v>#REF!</v>
      </c>
      <c r="DD90" s="94" t="e">
        <v>#REF!</v>
      </c>
      <c r="DF90" s="40" t="e">
        <f t="shared" si="90"/>
        <v>#REF!</v>
      </c>
      <c r="DG90" s="94" t="e">
        <v>#REF!</v>
      </c>
      <c r="DH90" s="94" t="e">
        <v>#REF!</v>
      </c>
      <c r="DI90" s="94" t="e">
        <v>#REF!</v>
      </c>
      <c r="DJ90" s="94" t="e">
        <v>#REF!</v>
      </c>
      <c r="DK90" s="94"/>
      <c r="DL90" s="40" t="e">
        <f t="shared" si="91"/>
        <v>#REF!</v>
      </c>
      <c r="DM90" s="94" t="e">
        <v>#REF!</v>
      </c>
      <c r="DN90" s="94" t="e">
        <v>#REF!</v>
      </c>
      <c r="DO90" s="94" t="e">
        <v>#REF!</v>
      </c>
      <c r="DP90" s="94" t="e">
        <v>#REF!</v>
      </c>
    </row>
    <row r="91" spans="1:120" x14ac:dyDescent="0.2">
      <c r="A91" s="91" t="str">
        <f>name!C8</f>
        <v>Business and other services</v>
      </c>
      <c r="B91" s="40" t="e">
        <f t="shared" si="68"/>
        <v>#REF!</v>
      </c>
      <c r="C91" s="94" t="e">
        <v>#REF!</v>
      </c>
      <c r="D91" s="94" t="e">
        <v>#REF!</v>
      </c>
      <c r="E91" s="94" t="e">
        <v>#REF!</v>
      </c>
      <c r="F91" s="94" t="e">
        <v>#REF!</v>
      </c>
      <c r="H91" s="40" t="e">
        <f t="shared" si="69"/>
        <v>#REF!</v>
      </c>
      <c r="I91" s="94" t="e">
        <v>#REF!</v>
      </c>
      <c r="J91" s="94" t="e">
        <v>#REF!</v>
      </c>
      <c r="K91" s="94" t="e">
        <v>#REF!</v>
      </c>
      <c r="L91" s="94" t="e">
        <v>#REF!</v>
      </c>
      <c r="N91" s="40" t="e">
        <f t="shared" si="70"/>
        <v>#REF!</v>
      </c>
      <c r="O91" s="94" t="e">
        <v>#REF!</v>
      </c>
      <c r="P91" s="94" t="e">
        <v>#REF!</v>
      </c>
      <c r="Q91" s="94" t="e">
        <v>#REF!</v>
      </c>
      <c r="R91" s="94" t="e">
        <v>#REF!</v>
      </c>
      <c r="S91" s="94"/>
      <c r="T91" s="40" t="e">
        <f t="shared" si="71"/>
        <v>#REF!</v>
      </c>
      <c r="U91" s="94" t="e">
        <v>#REF!</v>
      </c>
      <c r="V91" s="94" t="e">
        <v>#REF!</v>
      </c>
      <c r="W91" s="94" t="e">
        <v>#REF!</v>
      </c>
      <c r="X91" s="94" t="e">
        <v>#REF!</v>
      </c>
      <c r="Y91" s="91" t="str">
        <f t="shared" si="72"/>
        <v>Business and other services</v>
      </c>
      <c r="Z91" s="40" t="e">
        <f t="shared" si="73"/>
        <v>#REF!</v>
      </c>
      <c r="AA91" s="94" t="e">
        <v>#REF!</v>
      </c>
      <c r="AB91" s="94" t="e">
        <v>#REF!</v>
      </c>
      <c r="AC91" s="94" t="e">
        <v>#REF!</v>
      </c>
      <c r="AD91" s="94" t="e">
        <v>#REF!</v>
      </c>
      <c r="AF91" s="40" t="e">
        <f t="shared" si="74"/>
        <v>#REF!</v>
      </c>
      <c r="AG91" s="94" t="e">
        <v>#REF!</v>
      </c>
      <c r="AH91" s="94" t="e">
        <v>#REF!</v>
      </c>
      <c r="AI91" s="94" t="e">
        <v>#REF!</v>
      </c>
      <c r="AJ91" s="94" t="e">
        <v>#REF!</v>
      </c>
      <c r="AL91" s="40" t="e">
        <f t="shared" si="75"/>
        <v>#REF!</v>
      </c>
      <c r="AM91" s="94" t="e">
        <v>#REF!</v>
      </c>
      <c r="AN91" s="94" t="e">
        <v>#REF!</v>
      </c>
      <c r="AO91" s="94" t="e">
        <v>#REF!</v>
      </c>
      <c r="AP91" s="94" t="e">
        <v>#REF!</v>
      </c>
      <c r="AQ91" s="94"/>
      <c r="AR91" s="40" t="e">
        <f t="shared" si="76"/>
        <v>#REF!</v>
      </c>
      <c r="AS91" s="94" t="e">
        <v>#REF!</v>
      </c>
      <c r="AT91" s="94" t="e">
        <v>#REF!</v>
      </c>
      <c r="AU91" s="94" t="e">
        <v>#REF!</v>
      </c>
      <c r="AV91" s="94" t="e">
        <v>#REF!</v>
      </c>
      <c r="AW91" s="91" t="str">
        <f t="shared" si="77"/>
        <v>Business and other services</v>
      </c>
      <c r="AX91" s="40" t="e">
        <f t="shared" si="78"/>
        <v>#REF!</v>
      </c>
      <c r="AY91" s="94" t="e">
        <v>#REF!</v>
      </c>
      <c r="AZ91" s="94" t="e">
        <v>#REF!</v>
      </c>
      <c r="BA91" s="94" t="e">
        <v>#REF!</v>
      </c>
      <c r="BB91" s="94" t="e">
        <v>#REF!</v>
      </c>
      <c r="BD91" s="40" t="e">
        <f t="shared" si="79"/>
        <v>#REF!</v>
      </c>
      <c r="BE91" s="94" t="e">
        <v>#REF!</v>
      </c>
      <c r="BF91" s="94" t="e">
        <v>#REF!</v>
      </c>
      <c r="BG91" s="94" t="e">
        <v>#REF!</v>
      </c>
      <c r="BH91" s="94" t="e">
        <v>#REF!</v>
      </c>
      <c r="BJ91" s="40" t="e">
        <f t="shared" si="80"/>
        <v>#REF!</v>
      </c>
      <c r="BK91" s="94" t="e">
        <v>#REF!</v>
      </c>
      <c r="BL91" s="94" t="e">
        <v>#REF!</v>
      </c>
      <c r="BM91" s="94" t="e">
        <v>#REF!</v>
      </c>
      <c r="BN91" s="94" t="e">
        <v>#REF!</v>
      </c>
      <c r="BO91" s="94"/>
      <c r="BP91" s="40" t="e">
        <f t="shared" si="81"/>
        <v>#REF!</v>
      </c>
      <c r="BQ91" s="94" t="e">
        <v>#REF!</v>
      </c>
      <c r="BR91" s="94" t="e">
        <v>#REF!</v>
      </c>
      <c r="BS91" s="94" t="e">
        <v>#REF!</v>
      </c>
      <c r="BT91" s="94" t="e">
        <v>#REF!</v>
      </c>
      <c r="BU91" s="91" t="str">
        <f t="shared" si="82"/>
        <v>Business and other services</v>
      </c>
      <c r="BV91" s="40" t="e">
        <f t="shared" si="83"/>
        <v>#REF!</v>
      </c>
      <c r="BW91" s="94" t="e">
        <v>#REF!</v>
      </c>
      <c r="BX91" s="94" t="e">
        <v>#REF!</v>
      </c>
      <c r="BY91" s="94" t="e">
        <v>#REF!</v>
      </c>
      <c r="BZ91" s="94" t="e">
        <v>#REF!</v>
      </c>
      <c r="CB91" s="40" t="e">
        <f t="shared" si="84"/>
        <v>#REF!</v>
      </c>
      <c r="CC91" s="94" t="e">
        <v>#REF!</v>
      </c>
      <c r="CD91" s="94" t="e">
        <v>#REF!</v>
      </c>
      <c r="CE91" s="94" t="e">
        <v>#REF!</v>
      </c>
      <c r="CF91" s="94" t="e">
        <v>#REF!</v>
      </c>
      <c r="CH91" s="40" t="e">
        <f t="shared" si="85"/>
        <v>#REF!</v>
      </c>
      <c r="CI91" s="94" t="e">
        <v>#REF!</v>
      </c>
      <c r="CJ91" s="94" t="e">
        <v>#REF!</v>
      </c>
      <c r="CK91" s="94" t="e">
        <v>#REF!</v>
      </c>
      <c r="CL91" s="94" t="e">
        <v>#REF!</v>
      </c>
      <c r="CM91" s="94"/>
      <c r="CN91" s="40" t="e">
        <f t="shared" si="86"/>
        <v>#REF!</v>
      </c>
      <c r="CO91" s="94" t="e">
        <v>#REF!</v>
      </c>
      <c r="CP91" s="94" t="e">
        <v>#REF!</v>
      </c>
      <c r="CQ91" s="94" t="e">
        <v>#REF!</v>
      </c>
      <c r="CR91" s="94" t="e">
        <v>#REF!</v>
      </c>
      <c r="CS91" s="91" t="str">
        <f t="shared" si="87"/>
        <v>Business and other services</v>
      </c>
      <c r="CT91" s="40" t="e">
        <f t="shared" si="88"/>
        <v>#REF!</v>
      </c>
      <c r="CU91" s="94" t="e">
        <v>#REF!</v>
      </c>
      <c r="CV91" s="94" t="e">
        <v>#REF!</v>
      </c>
      <c r="CW91" s="94" t="e">
        <v>#REF!</v>
      </c>
      <c r="CX91" s="94" t="e">
        <v>#REF!</v>
      </c>
      <c r="CZ91" s="40" t="e">
        <f t="shared" si="89"/>
        <v>#REF!</v>
      </c>
      <c r="DA91" s="94" t="e">
        <v>#REF!</v>
      </c>
      <c r="DB91" s="94" t="e">
        <v>#REF!</v>
      </c>
      <c r="DC91" s="94" t="e">
        <v>#REF!</v>
      </c>
      <c r="DD91" s="94" t="e">
        <v>#REF!</v>
      </c>
      <c r="DF91" s="40" t="e">
        <f t="shared" si="90"/>
        <v>#REF!</v>
      </c>
      <c r="DG91" s="94" t="e">
        <v>#REF!</v>
      </c>
      <c r="DH91" s="94" t="e">
        <v>#REF!</v>
      </c>
      <c r="DI91" s="94" t="e">
        <v>#REF!</v>
      </c>
      <c r="DJ91" s="94" t="e">
        <v>#REF!</v>
      </c>
      <c r="DK91" s="94"/>
      <c r="DL91" s="40" t="e">
        <f t="shared" si="91"/>
        <v>#REF!</v>
      </c>
      <c r="DM91" s="94" t="e">
        <v>#REF!</v>
      </c>
      <c r="DN91" s="94" t="e">
        <v>#REF!</v>
      </c>
      <c r="DO91" s="94" t="e">
        <v>#REF!</v>
      </c>
      <c r="DP91" s="94" t="e">
        <v>#REF!</v>
      </c>
    </row>
    <row r="92" spans="1:120" x14ac:dyDescent="0.2">
      <c r="A92" s="91" t="str">
        <f>name!C9</f>
        <v>Non-marketed services</v>
      </c>
      <c r="B92" s="40" t="e">
        <f t="shared" si="68"/>
        <v>#REF!</v>
      </c>
      <c r="C92" s="94" t="e">
        <v>#REF!</v>
      </c>
      <c r="D92" s="94" t="e">
        <v>#REF!</v>
      </c>
      <c r="E92" s="94" t="e">
        <v>#REF!</v>
      </c>
      <c r="F92" s="94" t="e">
        <v>#REF!</v>
      </c>
      <c r="H92" s="40" t="e">
        <f t="shared" si="69"/>
        <v>#REF!</v>
      </c>
      <c r="I92" s="94" t="e">
        <v>#REF!</v>
      </c>
      <c r="J92" s="94" t="e">
        <v>#REF!</v>
      </c>
      <c r="K92" s="94" t="e">
        <v>#REF!</v>
      </c>
      <c r="L92" s="94" t="e">
        <v>#REF!</v>
      </c>
      <c r="N92" s="40" t="e">
        <f t="shared" si="70"/>
        <v>#REF!</v>
      </c>
      <c r="O92" s="94" t="e">
        <v>#REF!</v>
      </c>
      <c r="P92" s="94" t="e">
        <v>#REF!</v>
      </c>
      <c r="Q92" s="94" t="e">
        <v>#REF!</v>
      </c>
      <c r="R92" s="94" t="e">
        <v>#REF!</v>
      </c>
      <c r="S92" s="94"/>
      <c r="T92" s="40" t="e">
        <f t="shared" si="71"/>
        <v>#REF!</v>
      </c>
      <c r="U92" s="94" t="e">
        <v>#REF!</v>
      </c>
      <c r="V92" s="94" t="e">
        <v>#REF!</v>
      </c>
      <c r="W92" s="94" t="e">
        <v>#REF!</v>
      </c>
      <c r="X92" s="94" t="e">
        <v>#REF!</v>
      </c>
      <c r="Y92" s="91" t="str">
        <f t="shared" si="72"/>
        <v>Non-marketed services</v>
      </c>
      <c r="Z92" s="40" t="e">
        <f t="shared" si="73"/>
        <v>#REF!</v>
      </c>
      <c r="AA92" s="94" t="e">
        <v>#REF!</v>
      </c>
      <c r="AB92" s="94" t="e">
        <v>#REF!</v>
      </c>
      <c r="AC92" s="94" t="e">
        <v>#REF!</v>
      </c>
      <c r="AD92" s="94" t="e">
        <v>#REF!</v>
      </c>
      <c r="AF92" s="40" t="e">
        <f t="shared" si="74"/>
        <v>#REF!</v>
      </c>
      <c r="AG92" s="94" t="e">
        <v>#REF!</v>
      </c>
      <c r="AH92" s="94" t="e">
        <v>#REF!</v>
      </c>
      <c r="AI92" s="94" t="e">
        <v>#REF!</v>
      </c>
      <c r="AJ92" s="94" t="e">
        <v>#REF!</v>
      </c>
      <c r="AL92" s="40" t="e">
        <f t="shared" si="75"/>
        <v>#REF!</v>
      </c>
      <c r="AM92" s="94" t="e">
        <v>#REF!</v>
      </c>
      <c r="AN92" s="94" t="e">
        <v>#REF!</v>
      </c>
      <c r="AO92" s="94" t="e">
        <v>#REF!</v>
      </c>
      <c r="AP92" s="94" t="e">
        <v>#REF!</v>
      </c>
      <c r="AQ92" s="94"/>
      <c r="AR92" s="40" t="e">
        <f t="shared" si="76"/>
        <v>#REF!</v>
      </c>
      <c r="AS92" s="94" t="e">
        <v>#REF!</v>
      </c>
      <c r="AT92" s="94" t="e">
        <v>#REF!</v>
      </c>
      <c r="AU92" s="94" t="e">
        <v>#REF!</v>
      </c>
      <c r="AV92" s="94" t="e">
        <v>#REF!</v>
      </c>
      <c r="AW92" s="91" t="str">
        <f t="shared" si="77"/>
        <v>Non-marketed services</v>
      </c>
      <c r="AX92" s="40" t="e">
        <f t="shared" si="78"/>
        <v>#REF!</v>
      </c>
      <c r="AY92" s="94" t="e">
        <v>#REF!</v>
      </c>
      <c r="AZ92" s="94" t="e">
        <v>#REF!</v>
      </c>
      <c r="BA92" s="94" t="e">
        <v>#REF!</v>
      </c>
      <c r="BB92" s="94" t="e">
        <v>#REF!</v>
      </c>
      <c r="BD92" s="40" t="e">
        <f t="shared" si="79"/>
        <v>#REF!</v>
      </c>
      <c r="BE92" s="94" t="e">
        <v>#REF!</v>
      </c>
      <c r="BF92" s="94" t="e">
        <v>#REF!</v>
      </c>
      <c r="BG92" s="94" t="e">
        <v>#REF!</v>
      </c>
      <c r="BH92" s="94" t="e">
        <v>#REF!</v>
      </c>
      <c r="BJ92" s="40" t="e">
        <f t="shared" si="80"/>
        <v>#REF!</v>
      </c>
      <c r="BK92" s="94" t="e">
        <v>#REF!</v>
      </c>
      <c r="BL92" s="94" t="e">
        <v>#REF!</v>
      </c>
      <c r="BM92" s="94" t="e">
        <v>#REF!</v>
      </c>
      <c r="BN92" s="94" t="e">
        <v>#REF!</v>
      </c>
      <c r="BO92" s="94"/>
      <c r="BP92" s="40" t="e">
        <f t="shared" si="81"/>
        <v>#REF!</v>
      </c>
      <c r="BQ92" s="94" t="e">
        <v>#REF!</v>
      </c>
      <c r="BR92" s="94" t="e">
        <v>#REF!</v>
      </c>
      <c r="BS92" s="94" t="e">
        <v>#REF!</v>
      </c>
      <c r="BT92" s="94" t="e">
        <v>#REF!</v>
      </c>
      <c r="BU92" s="91" t="str">
        <f t="shared" si="82"/>
        <v>Non-marketed services</v>
      </c>
      <c r="BV92" s="40" t="e">
        <f t="shared" si="83"/>
        <v>#REF!</v>
      </c>
      <c r="BW92" s="94" t="e">
        <v>#REF!</v>
      </c>
      <c r="BX92" s="94" t="e">
        <v>#REF!</v>
      </c>
      <c r="BY92" s="94" t="e">
        <v>#REF!</v>
      </c>
      <c r="BZ92" s="94" t="e">
        <v>#REF!</v>
      </c>
      <c r="CB92" s="40" t="e">
        <f t="shared" si="84"/>
        <v>#REF!</v>
      </c>
      <c r="CC92" s="94" t="e">
        <v>#REF!</v>
      </c>
      <c r="CD92" s="94" t="e">
        <v>#REF!</v>
      </c>
      <c r="CE92" s="94" t="e">
        <v>#REF!</v>
      </c>
      <c r="CF92" s="94" t="e">
        <v>#REF!</v>
      </c>
      <c r="CH92" s="40" t="e">
        <f t="shared" si="85"/>
        <v>#REF!</v>
      </c>
      <c r="CI92" s="94" t="e">
        <v>#REF!</v>
      </c>
      <c r="CJ92" s="94" t="e">
        <v>#REF!</v>
      </c>
      <c r="CK92" s="94" t="e">
        <v>#REF!</v>
      </c>
      <c r="CL92" s="94" t="e">
        <v>#REF!</v>
      </c>
      <c r="CM92" s="94"/>
      <c r="CN92" s="40" t="e">
        <f t="shared" si="86"/>
        <v>#REF!</v>
      </c>
      <c r="CO92" s="94" t="e">
        <v>#REF!</v>
      </c>
      <c r="CP92" s="94" t="e">
        <v>#REF!</v>
      </c>
      <c r="CQ92" s="94" t="e">
        <v>#REF!</v>
      </c>
      <c r="CR92" s="94" t="e">
        <v>#REF!</v>
      </c>
      <c r="CS92" s="91" t="str">
        <f t="shared" si="87"/>
        <v>Non-marketed services</v>
      </c>
      <c r="CT92" s="40" t="e">
        <f t="shared" si="88"/>
        <v>#REF!</v>
      </c>
      <c r="CU92" s="94" t="e">
        <v>#REF!</v>
      </c>
      <c r="CV92" s="94" t="e">
        <v>#REF!</v>
      </c>
      <c r="CW92" s="94" t="e">
        <v>#REF!</v>
      </c>
      <c r="CX92" s="94" t="e">
        <v>#REF!</v>
      </c>
      <c r="CZ92" s="40" t="e">
        <f t="shared" si="89"/>
        <v>#REF!</v>
      </c>
      <c r="DA92" s="94" t="e">
        <v>#REF!</v>
      </c>
      <c r="DB92" s="94" t="e">
        <v>#REF!</v>
      </c>
      <c r="DC92" s="94" t="e">
        <v>#REF!</v>
      </c>
      <c r="DD92" s="94" t="e">
        <v>#REF!</v>
      </c>
      <c r="DF92" s="40" t="e">
        <f t="shared" si="90"/>
        <v>#REF!</v>
      </c>
      <c r="DG92" s="94" t="e">
        <v>#REF!</v>
      </c>
      <c r="DH92" s="94" t="e">
        <v>#REF!</v>
      </c>
      <c r="DI92" s="94" t="e">
        <v>#REF!</v>
      </c>
      <c r="DJ92" s="94" t="e">
        <v>#REF!</v>
      </c>
      <c r="DK92" s="94"/>
      <c r="DL92" s="40" t="e">
        <f t="shared" si="91"/>
        <v>#REF!</v>
      </c>
      <c r="DM92" s="94" t="e">
        <v>#REF!</v>
      </c>
      <c r="DN92" s="94" t="e">
        <v>#REF!</v>
      </c>
      <c r="DO92" s="94" t="e">
        <v>#REF!</v>
      </c>
      <c r="DP92" s="94" t="e">
        <v>#REF!</v>
      </c>
    </row>
    <row r="93" spans="1:120" x14ac:dyDescent="0.2">
      <c r="B93" s="40"/>
      <c r="C93" s="94"/>
      <c r="D93" s="94"/>
      <c r="E93" s="94"/>
      <c r="F93" s="94"/>
      <c r="H93" s="40"/>
      <c r="I93" s="94"/>
      <c r="J93" s="94"/>
      <c r="K93" s="94"/>
      <c r="L93" s="94"/>
      <c r="N93" s="40"/>
      <c r="O93" s="94"/>
      <c r="P93" s="94"/>
      <c r="Q93" s="94"/>
      <c r="R93" s="94"/>
      <c r="S93" s="94"/>
      <c r="T93" s="40"/>
      <c r="U93" s="94"/>
      <c r="V93" s="94"/>
      <c r="W93" s="94"/>
      <c r="X93" s="94"/>
      <c r="Z93" s="40"/>
      <c r="AA93" s="94"/>
      <c r="AB93" s="94"/>
      <c r="AC93" s="94"/>
      <c r="AD93" s="94"/>
      <c r="AF93" s="40"/>
      <c r="AG93" s="94"/>
      <c r="AH93" s="94"/>
      <c r="AI93" s="94"/>
      <c r="AJ93" s="94"/>
      <c r="AL93" s="40"/>
      <c r="AM93" s="94"/>
      <c r="AN93" s="94"/>
      <c r="AO93" s="94"/>
      <c r="AP93" s="94"/>
      <c r="AQ93" s="94"/>
      <c r="AR93" s="40"/>
      <c r="AS93" s="94"/>
      <c r="AT93" s="94"/>
      <c r="AU93" s="94"/>
      <c r="AV93" s="94"/>
      <c r="AX93" s="40"/>
      <c r="AY93" s="94"/>
      <c r="AZ93" s="94"/>
      <c r="BA93" s="94"/>
      <c r="BB93" s="94"/>
      <c r="BD93" s="40"/>
      <c r="BE93" s="94"/>
      <c r="BF93" s="94"/>
      <c r="BG93" s="94"/>
      <c r="BH93" s="94"/>
      <c r="BJ93" s="40"/>
      <c r="BK93" s="94"/>
      <c r="BL93" s="94"/>
      <c r="BM93" s="94"/>
      <c r="BN93" s="94"/>
      <c r="BO93" s="94"/>
      <c r="BP93" s="40"/>
      <c r="BQ93" s="94"/>
      <c r="BR93" s="94"/>
      <c r="BS93" s="94"/>
      <c r="BT93" s="94"/>
      <c r="BV93" s="40"/>
      <c r="BW93" s="94"/>
      <c r="BX93" s="94"/>
      <c r="BY93" s="94"/>
      <c r="BZ93" s="94"/>
      <c r="CB93" s="40"/>
      <c r="CC93" s="94"/>
      <c r="CD93" s="94"/>
      <c r="CE93" s="94"/>
      <c r="CF93" s="94"/>
      <c r="CH93" s="40"/>
      <c r="CI93" s="94"/>
      <c r="CJ93" s="94"/>
      <c r="CK93" s="94"/>
      <c r="CL93" s="94"/>
      <c r="CM93" s="94"/>
      <c r="CN93" s="40"/>
      <c r="CO93" s="94"/>
      <c r="CP93" s="94"/>
      <c r="CQ93" s="94"/>
      <c r="CR93" s="94"/>
      <c r="CT93" s="40"/>
      <c r="CU93" s="94"/>
      <c r="CV93" s="94"/>
      <c r="CW93" s="94"/>
      <c r="CX93" s="94"/>
      <c r="CZ93" s="40"/>
      <c r="DA93" s="94"/>
      <c r="DB93" s="94"/>
      <c r="DC93" s="94"/>
      <c r="DD93" s="94"/>
      <c r="DF93" s="40"/>
      <c r="DG93" s="94"/>
      <c r="DH93" s="94"/>
      <c r="DI93" s="94"/>
      <c r="DJ93" s="94"/>
      <c r="DK93" s="94"/>
      <c r="DL93" s="40"/>
      <c r="DM93" s="94"/>
      <c r="DN93" s="94"/>
      <c r="DO93" s="94"/>
      <c r="DP93" s="94"/>
    </row>
    <row r="94" spans="1:120" x14ac:dyDescent="0.2">
      <c r="A94" s="91" t="str">
        <f>name!C3</f>
        <v>All industries</v>
      </c>
      <c r="B94" s="40">
        <f t="shared" si="68"/>
        <v>2.7912372459239387</v>
      </c>
      <c r="C94" s="94">
        <f>C50</f>
        <v>4561.2992279926211</v>
      </c>
      <c r="D94" s="94">
        <f>D50</f>
        <v>431.97496524334053</v>
      </c>
      <c r="E94" s="94">
        <f>E50</f>
        <v>1445.5882710202891</v>
      </c>
      <c r="F94" s="94">
        <f>F50</f>
        <v>1877.5632362636297</v>
      </c>
      <c r="H94" s="40">
        <f t="shared" si="69"/>
        <v>2.6517730789267446</v>
      </c>
      <c r="I94" s="94">
        <f>I50</f>
        <v>774.77767553257945</v>
      </c>
      <c r="J94" s="94">
        <f>J50</f>
        <v>-90.9176985646708</v>
      </c>
      <c r="K94" s="94">
        <f>K50</f>
        <v>231.78692033646578</v>
      </c>
      <c r="L94" s="94">
        <f>L50</f>
        <v>140.86922177179497</v>
      </c>
      <c r="N94" s="40">
        <f t="shared" si="70"/>
        <v>2.6893242464146816</v>
      </c>
      <c r="O94" s="94">
        <f>O50</f>
        <v>1810.6123702397726</v>
      </c>
      <c r="P94" s="94">
        <f>P50</f>
        <v>208.84741372398935</v>
      </c>
      <c r="Q94" s="94">
        <f>Q50</f>
        <v>550.29225403969679</v>
      </c>
      <c r="R94" s="94">
        <f>R50</f>
        <v>759.13966776368613</v>
      </c>
      <c r="S94" s="94"/>
      <c r="T94" s="40">
        <f t="shared" si="71"/>
        <v>2.9376202991175049</v>
      </c>
      <c r="U94" s="94">
        <f>U50</f>
        <v>1975.9091822202711</v>
      </c>
      <c r="V94" s="94">
        <f>V50</f>
        <v>314.04525008402186</v>
      </c>
      <c r="W94" s="94">
        <f>W50</f>
        <v>663.50909664412427</v>
      </c>
      <c r="X94" s="94">
        <f>X50</f>
        <v>977.55434672814613</v>
      </c>
      <c r="Y94" s="92" t="str">
        <f>A94</f>
        <v>All industries</v>
      </c>
      <c r="Z94" s="40">
        <f>IF(AA94&gt;0,((1+(AC94/AA94))^(1/($A$101-$A$100))-1)*100,0)</f>
        <v>2.9771972098236787</v>
      </c>
      <c r="AA94" s="94">
        <f>AA50</f>
        <v>2141.7348734083043</v>
      </c>
      <c r="AB94" s="94">
        <f>AB50</f>
        <v>328.18012130131888</v>
      </c>
      <c r="AC94" s="94">
        <f>AC50</f>
        <v>730.21185757939747</v>
      </c>
      <c r="AD94" s="94">
        <f>AD50</f>
        <v>1058.3919788807164</v>
      </c>
      <c r="AF94" s="40">
        <f>IF(AG94&gt;0,((1+(AI94/AG94))^(1/($A$101-$A$100))-1)*100,0)</f>
        <v>3.0280155732974823</v>
      </c>
      <c r="AG94" s="94">
        <f>AG50</f>
        <v>114.36183531349347</v>
      </c>
      <c r="AH94" s="94">
        <f>AH50</f>
        <v>10.806009020856356</v>
      </c>
      <c r="AI94" s="94">
        <f>AI50</f>
        <v>39.749458273691218</v>
      </c>
      <c r="AJ94" s="94">
        <f>AJ50</f>
        <v>50.555467294547576</v>
      </c>
      <c r="AL94" s="40">
        <f>IF(AM94&gt;0,((1+(AO94/AM94))^(1/($A$101-$A$100))-1)*100,0)</f>
        <v>2.9663353480916088</v>
      </c>
      <c r="AM94" s="94">
        <f>AM50</f>
        <v>484.03376220781502</v>
      </c>
      <c r="AN94" s="94">
        <f>AN50</f>
        <v>80.752171418150368</v>
      </c>
      <c r="AO94" s="94">
        <f>AO50</f>
        <v>164.34415782441963</v>
      </c>
      <c r="AP94" s="94">
        <f>AP50</f>
        <v>245.09632924256999</v>
      </c>
      <c r="AQ94" s="94"/>
      <c r="AR94" s="40">
        <f>IF(AS94&gt;0,((1+(AU94/AS94))^(1/($A$101-$A$100))-1)*100,0)</f>
        <v>2.9768281396108875</v>
      </c>
      <c r="AS94" s="94">
        <f>AS50</f>
        <v>1543.3392758869961</v>
      </c>
      <c r="AT94" s="94">
        <f>AT50</f>
        <v>236.62194086231219</v>
      </c>
      <c r="AU94" s="94">
        <f>AU50</f>
        <v>526.11824148128676</v>
      </c>
      <c r="AV94" s="94">
        <f>AV50</f>
        <v>762.74018234359892</v>
      </c>
      <c r="AW94" s="92" t="str">
        <f>Y94</f>
        <v>All industries</v>
      </c>
      <c r="AX94" s="40">
        <f>IF(AY94&gt;0,((1+(BA94/AY94))^(1/($A$101-$A$100))-1)*100,0)</f>
        <v>2.5960689907792656</v>
      </c>
      <c r="AY94" s="94">
        <f>AY50</f>
        <v>1169.4910110900296</v>
      </c>
      <c r="AZ94" s="94">
        <f>AZ50</f>
        <v>61.012733866251224</v>
      </c>
      <c r="BA94" s="94">
        <f>BA50</f>
        <v>341.64688672572964</v>
      </c>
      <c r="BB94" s="94">
        <f>BB50</f>
        <v>402.65962059198085</v>
      </c>
      <c r="BD94" s="40">
        <f>IF(BE94&gt;0,((1+(BG94/BE94))^(1/($A$101-$A$100))-1)*100,0)</f>
        <v>2.5108134589674425</v>
      </c>
      <c r="BE94" s="94">
        <f>BE50</f>
        <v>196.77997170605971</v>
      </c>
      <c r="BF94" s="94">
        <f>BF50</f>
        <v>-19.19988351079143</v>
      </c>
      <c r="BG94" s="94">
        <f>BG50</f>
        <v>55.380896948664599</v>
      </c>
      <c r="BH94" s="94">
        <f>BH50</f>
        <v>36.181013437873169</v>
      </c>
      <c r="BJ94" s="40">
        <f>IF(BK94&gt;0,((1+(BM94/BK94))^(1/($A$101-$A$100))-1)*100,0)</f>
        <v>2.5531077119064882</v>
      </c>
      <c r="BK94" s="94">
        <f>BK50</f>
        <v>650.12175377402275</v>
      </c>
      <c r="BL94" s="94">
        <f>BL50</f>
        <v>42.192712487148434</v>
      </c>
      <c r="BM94" s="94">
        <f>BM50</f>
        <v>186.41100647521165</v>
      </c>
      <c r="BN94" s="94">
        <f>BN50</f>
        <v>228.60371896236009</v>
      </c>
      <c r="BO94" s="94"/>
      <c r="BP94" s="40">
        <f>IF(BQ94&gt;0,((1+(BS94/BQ94))^(1/($A$101-$A$100))-1)*100,0)</f>
        <v>2.7334678665663192</v>
      </c>
      <c r="BQ94" s="94">
        <f>BQ50</f>
        <v>322.58928560994713</v>
      </c>
      <c r="BR94" s="94">
        <f>BR50</f>
        <v>38.019904889894228</v>
      </c>
      <c r="BS94" s="94">
        <f>BS50</f>
        <v>99.854983301853494</v>
      </c>
      <c r="BT94" s="94">
        <f>BT50</f>
        <v>137.87488819174771</v>
      </c>
      <c r="BU94" s="92" t="str">
        <f>AW94</f>
        <v>All industries</v>
      </c>
      <c r="BV94" s="40">
        <f>IF(BW94&gt;0,((1+(BY94/BW94))^(1/($A$101-$A$100))-1)*100,0)</f>
        <v>2.5889208699682698</v>
      </c>
      <c r="BW94" s="94">
        <f>BW50</f>
        <v>786.26148565798121</v>
      </c>
      <c r="BX94" s="94">
        <f>BX50</f>
        <v>-16.768227409449015</v>
      </c>
      <c r="BY94" s="94">
        <f>BY50</f>
        <v>228.98528730973825</v>
      </c>
      <c r="BZ94" s="94">
        <f>BZ50</f>
        <v>212.21705990028923</v>
      </c>
      <c r="CB94" s="40">
        <f>IF(CC94&gt;0,((1+(CE94/CC94))^(1/($A$101-$A$100))-1)*100,0)</f>
        <v>2.5278948366694864</v>
      </c>
      <c r="CC94" s="94">
        <f>CC50</f>
        <v>257.91842111045776</v>
      </c>
      <c r="CD94" s="94">
        <f>CD50</f>
        <v>-52.179148361626908</v>
      </c>
      <c r="CE94" s="94">
        <f>CE50</f>
        <v>73.138570554183204</v>
      </c>
      <c r="CF94" s="94">
        <f>CF50</f>
        <v>20.959422192556296</v>
      </c>
      <c r="CH94" s="40">
        <f>IF(CI94&gt;0,((1+(CK94/CI94))^(1/($A$101-$A$100))-1)*100,0)</f>
        <v>2.5655949055339189</v>
      </c>
      <c r="CI94" s="94">
        <f>CI50</f>
        <v>462.50112579230256</v>
      </c>
      <c r="CJ94" s="94">
        <f>CJ50</f>
        <v>18.263082416840735</v>
      </c>
      <c r="CK94" s="94">
        <f>CK50</f>
        <v>133.33911166207648</v>
      </c>
      <c r="CL94" s="94">
        <f>CL50</f>
        <v>151.60219407891722</v>
      </c>
      <c r="CM94" s="94"/>
      <c r="CN94" s="40">
        <f>IF(CO94&gt;0,((1+(CQ94/CO94))^(1/($A$101-$A$100))-1)*100,0)</f>
        <v>2.9840981402702971</v>
      </c>
      <c r="CO94" s="94">
        <f>CO50</f>
        <v>65.841938755220539</v>
      </c>
      <c r="CP94" s="94">
        <f>CP50</f>
        <v>17.147838535337179</v>
      </c>
      <c r="CQ94" s="94">
        <f>CQ50</f>
        <v>22.507605093478684</v>
      </c>
      <c r="CR94" s="94">
        <f>CR50</f>
        <v>39.65544362881586</v>
      </c>
      <c r="CS94" s="92" t="str">
        <f>BU94</f>
        <v>All industries</v>
      </c>
      <c r="CT94" s="40">
        <f>IF(CU94&gt;0,((1+(CW94/CU94))^(1/($A$101-$A$100))-1)*100,0)</f>
        <v>2.7533233225370157</v>
      </c>
      <c r="CU94" s="94">
        <f>CU50</f>
        <v>463.81185783630696</v>
      </c>
      <c r="CV94" s="94">
        <f>CV50</f>
        <v>59.550337485219423</v>
      </c>
      <c r="CW94" s="94">
        <f>CW50</f>
        <v>144.74423940542175</v>
      </c>
      <c r="CX94" s="94">
        <f>CX50</f>
        <v>204.29457689064117</v>
      </c>
      <c r="CZ94" s="40">
        <f>IF(DA94&gt;0,((1+(DC94/DA94))^(1/($A$101-$A$100))-1)*100,0)</f>
        <v>2.7273559755584653</v>
      </c>
      <c r="DA94" s="94">
        <f>DA50</f>
        <v>205.71744740256855</v>
      </c>
      <c r="DB94" s="94">
        <f>DB50</f>
        <v>-30.344675713108767</v>
      </c>
      <c r="DC94" s="94">
        <f>DC50</f>
        <v>63.517994559926827</v>
      </c>
      <c r="DD94" s="94">
        <f>DD50</f>
        <v>33.173318846818063</v>
      </c>
      <c r="DF94" s="40">
        <f>IF(DG94&gt;0,((1+(DI94/DG94))^(1/($A$101-$A$100))-1)*100,0)</f>
        <v>2.7323553670193235</v>
      </c>
      <c r="DG94" s="94">
        <f>DG50</f>
        <v>213.95572846563186</v>
      </c>
      <c r="DH94" s="94">
        <f>DH50</f>
        <v>67.639447401849822</v>
      </c>
      <c r="DI94" s="94">
        <f>DI50</f>
        <v>66.197978077989319</v>
      </c>
      <c r="DJ94" s="94">
        <f>DJ50</f>
        <v>133.83742547983914</v>
      </c>
      <c r="DK94" s="94"/>
      <c r="DL94" s="40">
        <f>IF(DM94&gt;0,((1+(DO94/DM94))^(1/($A$101-$A$100))-1)*100,0)</f>
        <v>2.9736201868302725</v>
      </c>
      <c r="DM94" s="94">
        <f>DM50</f>
        <v>44.13868196810671</v>
      </c>
      <c r="DN94" s="94">
        <f>DN50</f>
        <v>22.25556579647839</v>
      </c>
      <c r="DO94" s="94">
        <f>DO50</f>
        <v>15.028266767505601</v>
      </c>
      <c r="DP94" s="94">
        <f>DP50</f>
        <v>37.283832563983992</v>
      </c>
    </row>
    <row r="95" spans="1:120" x14ac:dyDescent="0.2">
      <c r="A95" s="96"/>
      <c r="B95" s="112"/>
      <c r="C95" s="112"/>
      <c r="D95" s="112"/>
      <c r="E95" s="112"/>
      <c r="F95" s="112"/>
      <c r="G95" s="96"/>
      <c r="H95" s="112"/>
      <c r="I95" s="112"/>
      <c r="J95" s="112"/>
      <c r="K95" s="112"/>
      <c r="L95" s="112"/>
      <c r="M95" s="96"/>
      <c r="N95" s="96"/>
      <c r="O95" s="112"/>
      <c r="P95" s="112"/>
      <c r="Q95" s="112"/>
      <c r="R95" s="112"/>
      <c r="S95" s="112"/>
      <c r="T95" s="96"/>
      <c r="U95" s="112"/>
      <c r="V95" s="112"/>
      <c r="W95" s="112"/>
      <c r="X95" s="112"/>
      <c r="Y95" s="96"/>
      <c r="Z95" s="112"/>
      <c r="AA95" s="112"/>
      <c r="AB95" s="112"/>
      <c r="AC95" s="112"/>
      <c r="AD95" s="112"/>
      <c r="AE95" s="96"/>
      <c r="AF95" s="112"/>
      <c r="AG95" s="112"/>
      <c r="AH95" s="112"/>
      <c r="AI95" s="112"/>
      <c r="AJ95" s="112"/>
      <c r="AK95" s="96"/>
      <c r="AL95" s="96"/>
      <c r="AM95" s="112"/>
      <c r="AN95" s="112"/>
      <c r="AO95" s="112"/>
      <c r="AP95" s="112"/>
      <c r="AQ95" s="112"/>
      <c r="AR95" s="96"/>
      <c r="AS95" s="112"/>
      <c r="AT95" s="112"/>
      <c r="AU95" s="112"/>
      <c r="AV95" s="112"/>
      <c r="AW95" s="96"/>
      <c r="AX95" s="112"/>
      <c r="AY95" s="112"/>
      <c r="AZ95" s="112"/>
      <c r="BA95" s="112"/>
      <c r="BB95" s="112"/>
      <c r="BC95" s="96"/>
      <c r="BD95" s="112"/>
      <c r="BE95" s="112"/>
      <c r="BF95" s="112"/>
      <c r="BG95" s="112"/>
      <c r="BH95" s="112"/>
      <c r="BI95" s="96"/>
      <c r="BJ95" s="96"/>
      <c r="BK95" s="112"/>
      <c r="BL95" s="112"/>
      <c r="BM95" s="112"/>
      <c r="BN95" s="112"/>
      <c r="BO95" s="112"/>
      <c r="BP95" s="96"/>
      <c r="BQ95" s="112"/>
      <c r="BR95" s="112"/>
      <c r="BS95" s="112"/>
      <c r="BT95" s="112"/>
      <c r="BU95" s="96"/>
      <c r="BV95" s="112"/>
      <c r="BW95" s="112"/>
      <c r="BX95" s="112"/>
      <c r="BY95" s="112"/>
      <c r="BZ95" s="112"/>
      <c r="CA95" s="96"/>
      <c r="CB95" s="112"/>
      <c r="CC95" s="112"/>
      <c r="CD95" s="112"/>
      <c r="CE95" s="112"/>
      <c r="CF95" s="112"/>
      <c r="CG95" s="96"/>
      <c r="CH95" s="96"/>
      <c r="CI95" s="112"/>
      <c r="CJ95" s="112"/>
      <c r="CK95" s="112"/>
      <c r="CL95" s="112"/>
      <c r="CM95" s="112"/>
      <c r="CN95" s="96"/>
      <c r="CO95" s="112"/>
      <c r="CP95" s="112"/>
      <c r="CQ95" s="112"/>
      <c r="CR95" s="112"/>
      <c r="CS95" s="96"/>
      <c r="CT95" s="112"/>
      <c r="CU95" s="112"/>
      <c r="CV95" s="112"/>
      <c r="CW95" s="112"/>
      <c r="CX95" s="112"/>
      <c r="CY95" s="96"/>
      <c r="CZ95" s="112"/>
      <c r="DA95" s="112"/>
      <c r="DB95" s="112"/>
      <c r="DC95" s="112"/>
      <c r="DD95" s="112"/>
      <c r="DE95" s="96"/>
      <c r="DF95" s="96"/>
      <c r="DG95" s="112"/>
      <c r="DH95" s="112"/>
      <c r="DI95" s="112"/>
      <c r="DJ95" s="112"/>
      <c r="DK95" s="112"/>
      <c r="DL95" s="96"/>
      <c r="DM95" s="112"/>
      <c r="DN95" s="112"/>
      <c r="DO95" s="112"/>
      <c r="DP95" s="112"/>
    </row>
    <row r="96" spans="1:120" x14ac:dyDescent="0.2">
      <c r="A96" s="91" t="str">
        <f ca="1">CELL("filename")</f>
        <v>M:\IE\Projects\Nuffield via NFER AI and automation\Data\Results\Workbooks\LSIPs\LI_LSIP\[LI_LSIP_MainTables.Main.xlsm]Manager</v>
      </c>
      <c r="Y96" s="91" t="str">
        <f ca="1">CELL("filename")</f>
        <v>M:\IE\Projects\Nuffield via NFER AI and automation\Data\Results\Workbooks\LSIPs\LI_LSIP\[LI_LSIP_MainTables.Main.xlsm]Manager</v>
      </c>
      <c r="AW96" s="91" t="str">
        <f ca="1">CELL("filename")</f>
        <v>M:\IE\Projects\Nuffield via NFER AI and automation\Data\Results\Workbooks\LSIPs\LI_LSIP\[LI_LSIP_MainTables.Main.xlsm]Manager</v>
      </c>
      <c r="BU96" s="91" t="str">
        <f ca="1">CELL("filename")</f>
        <v>M:\IE\Projects\Nuffield via NFER AI and automation\Data\Results\Workbooks\LSIPs\LI_LSIP\[LI_LSIP_MainTables.Main.xlsm]Manager</v>
      </c>
      <c r="CS96" s="91" t="str">
        <f ca="1">CELL("filename")</f>
        <v>M:\IE\Projects\Nuffield via NFER AI and automation\Data\Results\Workbooks\LSIPs\LI_LSIP\[LI_LSIP_MainTables.Main.xlsm]Manager</v>
      </c>
    </row>
    <row r="99" spans="1:1" x14ac:dyDescent="0.2">
      <c r="A99" s="91" t="s">
        <v>51</v>
      </c>
    </row>
    <row r="100" spans="1:1" x14ac:dyDescent="0.2">
      <c r="A100" s="91">
        <v>2015</v>
      </c>
    </row>
    <row r="101" spans="1:1" x14ac:dyDescent="0.2">
      <c r="A101" s="91">
        <v>2025</v>
      </c>
    </row>
  </sheetData>
  <mergeCells count="60">
    <mergeCell ref="BV56:BZ56"/>
    <mergeCell ref="B83:F83"/>
    <mergeCell ref="H83:L83"/>
    <mergeCell ref="B4:F4"/>
    <mergeCell ref="H4:L4"/>
    <mergeCell ref="B56:F56"/>
    <mergeCell ref="H56:L56"/>
    <mergeCell ref="AF4:AJ4"/>
    <mergeCell ref="Z56:AD56"/>
    <mergeCell ref="AF56:AJ56"/>
    <mergeCell ref="Z83:AD83"/>
    <mergeCell ref="AF83:AJ83"/>
    <mergeCell ref="DF4:DJ4"/>
    <mergeCell ref="DL4:DP4"/>
    <mergeCell ref="AX83:BB83"/>
    <mergeCell ref="BD83:BH83"/>
    <mergeCell ref="CH4:CL4"/>
    <mergeCell ref="CN4:CR4"/>
    <mergeCell ref="CB56:CF56"/>
    <mergeCell ref="BV83:BZ83"/>
    <mergeCell ref="CB83:CF83"/>
    <mergeCell ref="AX4:BB4"/>
    <mergeCell ref="BD4:BH4"/>
    <mergeCell ref="AX56:BB56"/>
    <mergeCell ref="BD56:BH56"/>
    <mergeCell ref="BJ56:BN56"/>
    <mergeCell ref="BV4:BZ4"/>
    <mergeCell ref="CB4:CF4"/>
    <mergeCell ref="CZ83:DD83"/>
    <mergeCell ref="N4:R4"/>
    <mergeCell ref="T4:X4"/>
    <mergeCell ref="AL4:AP4"/>
    <mergeCell ref="AR4:AV4"/>
    <mergeCell ref="BJ4:BN4"/>
    <mergeCell ref="BP4:BT4"/>
    <mergeCell ref="CT4:CX4"/>
    <mergeCell ref="CZ4:DD4"/>
    <mergeCell ref="CT56:CX56"/>
    <mergeCell ref="CZ56:DD56"/>
    <mergeCell ref="AL56:AP56"/>
    <mergeCell ref="AR56:AV56"/>
    <mergeCell ref="AL83:AP83"/>
    <mergeCell ref="AR83:AV83"/>
    <mergeCell ref="Z4:AD4"/>
    <mergeCell ref="DL83:DP83"/>
    <mergeCell ref="N83:R83"/>
    <mergeCell ref="T83:X83"/>
    <mergeCell ref="N56:R56"/>
    <mergeCell ref="T56:X56"/>
    <mergeCell ref="BP56:BT56"/>
    <mergeCell ref="CH56:CL56"/>
    <mergeCell ref="CN56:CR56"/>
    <mergeCell ref="DF56:DJ56"/>
    <mergeCell ref="DL56:DP56"/>
    <mergeCell ref="BJ83:BN83"/>
    <mergeCell ref="BP83:BT83"/>
    <mergeCell ref="CH83:CL83"/>
    <mergeCell ref="CN83:CR83"/>
    <mergeCell ref="DF83:DJ83"/>
    <mergeCell ref="CT83:CX83"/>
  </mergeCells>
  <pageMargins left="0.31496062992125984" right="0.31496062992125984" top="0.74803149606299213" bottom="0.74803149606299213" header="0.31496062992125984" footer="0.31496062992125984"/>
  <pageSetup paperSize="9" scale="65" pageOrder="overThenDown" orientation="landscape" r:id="rId1"/>
  <rowBreaks count="2" manualBreakCount="2">
    <brk id="52" max="16383" man="1"/>
    <brk id="96" max="16383" man="1"/>
  </rowBreaks>
  <colBreaks count="4" manualBreakCount="4">
    <brk id="24" max="1048575" man="1"/>
    <brk id="48" max="1048575" man="1"/>
    <brk id="96" max="1048575" man="1"/>
    <brk id="120" max="1048575" man="1"/>
  </colBreaks>
  <ignoredErrors>
    <ignoredError sqref="F8:F48 L8 L9:L50 F50 R8:R50 X8:X50 AD8:AD50 AJ8:AJ50 AP8:AP50 AV8:AV50 BB8:BB50 BH8:BH50 BN8:BN50 BT8:BT50 BZ8:BZ50 CF8:CF50 CL8:CM50 CR8:CR50 CX8:CX50 DD8:DD50 DJ8:DJ50 DP8:DP50" formulaRange="1"/>
  </ignoredErrors>
</worksheet>
</file>

<file path=xl/worksheets/sheet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200-000000000000}">
  <sheetPr codeName="Sheet56">
    <pageSetUpPr fitToPage="1"/>
  </sheetPr>
  <dimension ref="A1:AF81"/>
  <sheetViews>
    <sheetView zoomScale="85" zoomScaleNormal="85" zoomScaleSheetLayoutView="85" workbookViewId="0">
      <selection activeCell="E45" sqref="E45"/>
    </sheetView>
  </sheetViews>
  <sheetFormatPr defaultColWidth="9.140625" defaultRowHeight="12.75" x14ac:dyDescent="0.2"/>
  <cols>
    <col min="1" max="1" width="50.7109375" style="130" customWidth="1"/>
    <col min="2" max="2" width="13" style="130" customWidth="1"/>
    <col min="3" max="3" width="9.7109375" style="130" customWidth="1"/>
    <col min="4" max="4" width="10.140625" style="130" customWidth="1"/>
    <col min="5" max="5" width="13" style="130" customWidth="1"/>
    <col min="6" max="6" width="9.7109375" style="130" customWidth="1"/>
    <col min="7" max="7" width="3.7109375" style="130" customWidth="1"/>
    <col min="8" max="9" width="10.140625" style="130" customWidth="1"/>
    <col min="10" max="10" width="3.7109375" style="130" customWidth="1"/>
    <col min="11" max="12" width="10.140625" style="130" customWidth="1"/>
    <col min="13" max="13" width="3.7109375" style="130" customWidth="1"/>
    <col min="14" max="14" width="11.42578125" style="130" customWidth="1"/>
    <col min="15" max="15" width="10.140625" style="130" customWidth="1"/>
    <col min="16" max="16" width="3.7109375" style="130" customWidth="1"/>
    <col min="17" max="18" width="10.140625" style="130" customWidth="1"/>
    <col min="19" max="19" width="2.42578125" style="130" customWidth="1"/>
    <col min="20" max="22" width="13" style="130" customWidth="1"/>
    <col min="23" max="23" width="23.28515625" style="130" customWidth="1"/>
    <col min="24" max="24" width="9.140625" style="130"/>
    <col min="25" max="25" width="12.28515625" style="130" customWidth="1"/>
    <col min="26" max="26" width="10.85546875" style="130" customWidth="1"/>
    <col min="27" max="27" width="8.140625" style="130" customWidth="1"/>
    <col min="28" max="28" width="8" style="130" customWidth="1"/>
    <col min="29" max="16384" width="9.140625" style="130"/>
  </cols>
  <sheetData>
    <row r="1" spans="1:32" ht="12.75" customHeight="1" x14ac:dyDescent="0.2">
      <c r="A1" s="128" t="e">
        <f>CONCATENATE("Table 4.6  Shift-share by industry, ",I3)</f>
        <v>#REF!</v>
      </c>
      <c r="B1" s="129"/>
      <c r="C1" s="129"/>
      <c r="D1" s="129"/>
      <c r="E1" s="129"/>
      <c r="F1" s="129"/>
      <c r="G1" s="129"/>
      <c r="H1" s="129"/>
      <c r="I1" s="129"/>
      <c r="J1" s="129"/>
      <c r="K1" s="129"/>
      <c r="L1" s="129"/>
      <c r="M1" s="129"/>
      <c r="N1" s="129"/>
      <c r="O1" s="129"/>
      <c r="P1" s="129"/>
      <c r="Q1" s="129"/>
      <c r="R1" s="129"/>
      <c r="S1" s="129"/>
      <c r="T1" s="129"/>
      <c r="U1" s="129"/>
    </row>
    <row r="2" spans="1:32" ht="12.75" customHeight="1" x14ac:dyDescent="0.2">
      <c r="A2" s="128"/>
      <c r="B2" s="128"/>
      <c r="C2" s="128"/>
      <c r="D2" s="128"/>
      <c r="E2" s="128"/>
      <c r="F2" s="128"/>
      <c r="G2" s="128"/>
      <c r="H2" s="128"/>
      <c r="I2" s="128"/>
      <c r="J2" s="128"/>
      <c r="K2" s="386" t="s">
        <v>59</v>
      </c>
      <c r="L2" s="386"/>
      <c r="M2" s="386"/>
      <c r="N2" s="386"/>
      <c r="O2" s="386"/>
      <c r="P2" s="386"/>
      <c r="Q2" s="386"/>
      <c r="R2" s="386"/>
      <c r="S2" s="192"/>
      <c r="T2" s="192"/>
      <c r="U2" s="129"/>
    </row>
    <row r="3" spans="1:32" ht="12.75" customHeight="1" x14ac:dyDescent="0.2">
      <c r="A3" s="129"/>
      <c r="B3" s="131" t="s">
        <v>60</v>
      </c>
      <c r="C3" s="132" t="e">
        <f>#REF!</f>
        <v>#REF!</v>
      </c>
      <c r="D3" s="128"/>
      <c r="E3" s="131" t="s">
        <v>61</v>
      </c>
      <c r="F3" s="132" t="e">
        <f>#REF!</f>
        <v>#REF!</v>
      </c>
      <c r="G3" s="128"/>
      <c r="H3" s="131" t="s">
        <v>19</v>
      </c>
      <c r="I3" s="131" t="e">
        <f>CONCATENATE(C3,"-",F3)</f>
        <v>#REF!</v>
      </c>
      <c r="J3" s="128"/>
      <c r="K3" s="387" t="s">
        <v>62</v>
      </c>
      <c r="L3" s="387"/>
      <c r="M3" s="128"/>
      <c r="N3" s="388" t="s">
        <v>75</v>
      </c>
      <c r="O3" s="388"/>
      <c r="P3" s="128"/>
      <c r="Q3" s="388" t="s">
        <v>74</v>
      </c>
      <c r="R3" s="388"/>
      <c r="S3" s="192"/>
      <c r="T3" s="193" t="s">
        <v>78</v>
      </c>
      <c r="U3" s="153" t="s">
        <v>77</v>
      </c>
      <c r="V3" s="160"/>
      <c r="AA3" s="160"/>
      <c r="AD3" s="160"/>
    </row>
    <row r="4" spans="1:32" ht="12.75" customHeight="1" x14ac:dyDescent="0.2">
      <c r="A4" s="133" t="s">
        <v>65</v>
      </c>
      <c r="B4" s="134" t="s">
        <v>66</v>
      </c>
      <c r="C4" s="134" t="s">
        <v>67</v>
      </c>
      <c r="D4" s="128"/>
      <c r="E4" s="134" t="str">
        <f>B4</f>
        <v>000s</v>
      </c>
      <c r="F4" s="134" t="str">
        <f>C4</f>
        <v>% share</v>
      </c>
      <c r="G4" s="128"/>
      <c r="H4" s="134" t="str">
        <f>E4</f>
        <v>000s</v>
      </c>
      <c r="I4" s="134" t="s">
        <v>68</v>
      </c>
      <c r="J4" s="128"/>
      <c r="K4" s="134" t="str">
        <f>H4</f>
        <v>000s</v>
      </c>
      <c r="L4" s="134" t="str">
        <f>I4</f>
        <v xml:space="preserve">%   </v>
      </c>
      <c r="M4" s="128"/>
      <c r="N4" s="134" t="str">
        <f>K4</f>
        <v>000s</v>
      </c>
      <c r="O4" s="134" t="str">
        <f>L4</f>
        <v xml:space="preserve">%   </v>
      </c>
      <c r="P4" s="128"/>
      <c r="Q4" s="134" t="str">
        <f>N4</f>
        <v>000s</v>
      </c>
      <c r="R4" s="134" t="str">
        <f>O4</f>
        <v xml:space="preserve">%   </v>
      </c>
      <c r="S4" s="154"/>
      <c r="T4" s="134"/>
      <c r="U4" s="166"/>
      <c r="V4" s="160"/>
      <c r="W4" s="168"/>
      <c r="Y4" s="161"/>
      <c r="Z4" s="161"/>
      <c r="AA4" s="160"/>
      <c r="AB4" s="161"/>
      <c r="AC4" s="160"/>
    </row>
    <row r="5" spans="1:32" ht="12.75" customHeight="1" x14ac:dyDescent="0.2">
      <c r="A5" s="133"/>
      <c r="B5" s="131"/>
      <c r="C5" s="159"/>
      <c r="D5" s="128" t="s">
        <v>76</v>
      </c>
      <c r="E5" s="131"/>
      <c r="F5" s="159"/>
      <c r="G5" s="128"/>
      <c r="H5" s="131"/>
      <c r="I5" s="131"/>
      <c r="J5" s="128"/>
      <c r="K5" s="131"/>
      <c r="L5" s="131"/>
      <c r="M5" s="128"/>
      <c r="N5" s="131"/>
      <c r="O5" s="131"/>
      <c r="P5" s="128"/>
      <c r="Q5" s="159"/>
      <c r="R5" s="159"/>
      <c r="S5" s="134"/>
      <c r="T5" s="134"/>
      <c r="U5" s="155"/>
      <c r="V5" s="160"/>
      <c r="W5" s="136"/>
    </row>
    <row r="6" spans="1:32" x14ac:dyDescent="0.2">
      <c r="A6" s="36" t="str">
        <f>name!A4</f>
        <v>Agriculture, etc</v>
      </c>
      <c r="B6" s="150">
        <v>290.31999999994002</v>
      </c>
      <c r="C6" s="141">
        <v>0.93859557238401636</v>
      </c>
      <c r="D6" s="164">
        <v>100</v>
      </c>
      <c r="E6" s="150">
        <v>302.0150000000844</v>
      </c>
      <c r="F6" s="141">
        <v>0.90967729595909619</v>
      </c>
      <c r="G6" s="146"/>
      <c r="H6" s="150">
        <v>11.695000000144354</v>
      </c>
      <c r="I6" s="142">
        <v>4.0283135850601992</v>
      </c>
      <c r="J6" s="146"/>
      <c r="K6" s="150">
        <v>21.295935731168065</v>
      </c>
      <c r="L6" s="142">
        <v>7.3353319547990026</v>
      </c>
      <c r="M6" s="146"/>
      <c r="N6" s="150">
        <v>-0.65613111154677028</v>
      </c>
      <c r="O6" s="142">
        <v>-0.22600272511260189</v>
      </c>
      <c r="P6" s="146"/>
      <c r="Q6" s="151">
        <v>-8.9448046194769404</v>
      </c>
      <c r="R6" s="141">
        <v>-3.0810156446262016</v>
      </c>
      <c r="S6" s="141"/>
      <c r="T6" s="162">
        <v>290.31999999994002</v>
      </c>
      <c r="U6" s="163">
        <v>302.0150000000844</v>
      </c>
      <c r="V6" s="169"/>
      <c r="Y6" s="135"/>
      <c r="Z6" s="151"/>
      <c r="AA6" s="151"/>
      <c r="AB6" s="135"/>
      <c r="AC6" s="151"/>
      <c r="AE6" s="135"/>
      <c r="AF6" s="151"/>
    </row>
    <row r="7" spans="1:32" x14ac:dyDescent="0.2">
      <c r="A7" t="str">
        <f>name!A5</f>
        <v>Coal, oil &amp; gas; Mining &amp; related</v>
      </c>
      <c r="B7" s="151">
        <v>12.074999999997509</v>
      </c>
      <c r="C7" s="141">
        <v>3.9038101186749101E-2</v>
      </c>
      <c r="D7" s="165">
        <v>100</v>
      </c>
      <c r="E7" s="151">
        <v>12.334000000003453</v>
      </c>
      <c r="F7" s="141">
        <v>3.715033944790655E-2</v>
      </c>
      <c r="H7" s="151">
        <v>0.25900000000594448</v>
      </c>
      <c r="I7" s="141">
        <v>2.1449275362815561</v>
      </c>
      <c r="K7" s="151">
        <v>0.88574133354179663</v>
      </c>
      <c r="L7" s="141">
        <v>7.3353319547990017</v>
      </c>
      <c r="N7" s="151">
        <v>-4.283170925688029E-2</v>
      </c>
      <c r="O7" s="141">
        <v>-0.35471394829721842</v>
      </c>
      <c r="Q7" s="151">
        <v>-0.58390962427897186</v>
      </c>
      <c r="R7" s="141">
        <v>-4.8356904702202259</v>
      </c>
      <c r="S7" s="141"/>
      <c r="T7" s="162">
        <v>12.074999999997509</v>
      </c>
      <c r="U7" s="163">
        <v>12.334000000003453</v>
      </c>
      <c r="V7" s="169"/>
      <c r="W7" s="136"/>
      <c r="Y7" s="135"/>
      <c r="Z7" s="151"/>
      <c r="AA7" s="151"/>
      <c r="AB7" s="135"/>
      <c r="AC7" s="151"/>
      <c r="AE7" s="135"/>
      <c r="AF7" s="151"/>
    </row>
    <row r="8" spans="1:32" x14ac:dyDescent="0.2">
      <c r="A8" t="str">
        <f>name!A6</f>
        <v>Food products</v>
      </c>
      <c r="B8" s="151">
        <v>10.050999999997924</v>
      </c>
      <c r="C8" s="141">
        <v>3.2494571844970191E-2</v>
      </c>
      <c r="D8" s="165">
        <v>100</v>
      </c>
      <c r="E8" s="151">
        <v>9.1810000000025642</v>
      </c>
      <c r="F8" s="141">
        <v>2.7653418718277107E-2</v>
      </c>
      <c r="H8" s="151">
        <v>-0.86999999999535793</v>
      </c>
      <c r="I8" s="141">
        <v>-8.6558551387477642</v>
      </c>
      <c r="K8" s="151">
        <v>0.7372742147766953</v>
      </c>
      <c r="L8" s="141">
        <v>7.3353319547990017</v>
      </c>
      <c r="N8" s="151">
        <v>-0.1098416494645672</v>
      </c>
      <c r="O8" s="141">
        <v>-1.0928429953695145</v>
      </c>
      <c r="Q8" s="151">
        <v>-1.497432565307486</v>
      </c>
      <c r="R8" s="141">
        <v>-14.898344098177249</v>
      </c>
      <c r="S8" s="141"/>
      <c r="T8" s="162">
        <v>10.050999999997924</v>
      </c>
      <c r="U8" s="163">
        <v>9.1810000000025642</v>
      </c>
      <c r="V8" s="169"/>
      <c r="Y8" s="135"/>
      <c r="Z8" s="151"/>
      <c r="AA8" s="151"/>
      <c r="AB8" s="135"/>
      <c r="AC8" s="151"/>
      <c r="AE8" s="135"/>
      <c r="AF8" s="151"/>
    </row>
    <row r="9" spans="1:32" x14ac:dyDescent="0.2">
      <c r="A9" t="str">
        <f>name!A7</f>
        <v>Beverages and tobacco</v>
      </c>
      <c r="B9" s="151">
        <v>2.1699999999991144</v>
      </c>
      <c r="C9" s="141">
        <v>7.0155428219650902E-3</v>
      </c>
      <c r="D9" s="165">
        <v>100</v>
      </c>
      <c r="E9" s="151">
        <v>1.1269999999995304</v>
      </c>
      <c r="F9" s="141">
        <v>3.3945542855327972E-3</v>
      </c>
      <c r="H9" s="151">
        <v>-1.042999999999584</v>
      </c>
      <c r="I9" s="141">
        <v>-48.064516129032704</v>
      </c>
      <c r="K9" s="151">
        <v>0.15917670341907339</v>
      </c>
      <c r="L9" s="141">
        <v>7.3353319547990026</v>
      </c>
      <c r="N9" s="151">
        <v>-8.2157152051436144E-2</v>
      </c>
      <c r="O9" s="141">
        <v>-3.786043873339616</v>
      </c>
      <c r="Q9" s="151">
        <v>-1.1200195513672213</v>
      </c>
      <c r="R9" s="141">
        <v>-51.613804210492084</v>
      </c>
      <c r="S9" s="141"/>
      <c r="T9" s="162">
        <v>2.1699999999991144</v>
      </c>
      <c r="U9" s="163">
        <v>1.1269999999995304</v>
      </c>
      <c r="V9" s="169"/>
      <c r="W9" s="136"/>
      <c r="Y9" s="135"/>
      <c r="Z9" s="151"/>
      <c r="AA9" s="151"/>
      <c r="AB9" s="135"/>
      <c r="AC9" s="151"/>
      <c r="AE9" s="135"/>
      <c r="AF9" s="151"/>
    </row>
    <row r="10" spans="1:32" x14ac:dyDescent="0.2">
      <c r="A10" t="str">
        <f>name!A8</f>
        <v>Textiles</v>
      </c>
      <c r="B10" s="151">
        <v>11.083999999995481</v>
      </c>
      <c r="C10" s="141">
        <v>3.5834228865742432E-2</v>
      </c>
      <c r="D10" s="165">
        <v>100</v>
      </c>
      <c r="E10" s="151">
        <v>7.2319999999969857</v>
      </c>
      <c r="F10" s="141">
        <v>2.1782978343365737E-2</v>
      </c>
      <c r="H10" s="151">
        <v>-3.851999999998494</v>
      </c>
      <c r="I10" s="141">
        <v>-34.75279682425176</v>
      </c>
      <c r="K10" s="151">
        <v>0.81304819386958971</v>
      </c>
      <c r="L10" s="141">
        <v>7.3353319547989999</v>
      </c>
      <c r="N10" s="151">
        <v>-0.31881093078995182</v>
      </c>
      <c r="O10" s="141">
        <v>-2.8763165895893343</v>
      </c>
      <c r="Q10" s="151">
        <v>-4.3462372630781321</v>
      </c>
      <c r="R10" s="141">
        <v>-39.211812189461426</v>
      </c>
      <c r="S10" s="141"/>
      <c r="T10" s="162">
        <v>11.083999999995481</v>
      </c>
      <c r="U10" s="163">
        <v>7.2319999999969857</v>
      </c>
      <c r="V10" s="169"/>
      <c r="Y10" s="135"/>
      <c r="Z10" s="151"/>
      <c r="AA10" s="151"/>
      <c r="AB10" s="135"/>
      <c r="AC10" s="151"/>
      <c r="AE10" s="135"/>
      <c r="AF10" s="151"/>
    </row>
    <row r="11" spans="1:32" x14ac:dyDescent="0.2">
      <c r="A11" t="str">
        <f>name!A9</f>
        <v>Wearing apparel; Leather, etc</v>
      </c>
      <c r="B11" s="151">
        <v>37.589999999984677</v>
      </c>
      <c r="C11" s="141">
        <v>0.12152730630307274</v>
      </c>
      <c r="D11" s="165">
        <v>100</v>
      </c>
      <c r="E11" s="151">
        <v>29.919999999987525</v>
      </c>
      <c r="F11" s="141">
        <v>9.0119844031181243E-2</v>
      </c>
      <c r="H11" s="151">
        <v>-7.6699999999971515</v>
      </c>
      <c r="I11" s="141">
        <v>-20.404362862464161</v>
      </c>
      <c r="K11" s="151">
        <v>2.7573512818078205</v>
      </c>
      <c r="L11" s="141">
        <v>7.3353319547990017</v>
      </c>
      <c r="N11" s="151">
        <v>-0.7126086226066608</v>
      </c>
      <c r="O11" s="141">
        <v>-1.8957398845622542</v>
      </c>
      <c r="Q11" s="151">
        <v>-9.7147426591983113</v>
      </c>
      <c r="R11" s="141">
        <v>-25.843954932700907</v>
      </c>
      <c r="S11" s="141"/>
      <c r="T11" s="162">
        <v>37.589999999984677</v>
      </c>
      <c r="U11" s="163">
        <v>29.919999999987525</v>
      </c>
      <c r="V11" s="169"/>
      <c r="W11" s="136"/>
      <c r="Y11" s="135"/>
      <c r="Z11" s="151"/>
      <c r="AA11" s="151"/>
      <c r="AB11" s="135"/>
      <c r="AC11" s="151"/>
      <c r="AE11" s="135"/>
      <c r="AF11" s="151"/>
    </row>
    <row r="12" spans="1:32" x14ac:dyDescent="0.2">
      <c r="A12" t="str">
        <f>name!A10</f>
        <v xml:space="preserve">Wood and cork </v>
      </c>
      <c r="B12" s="151">
        <v>395.97300000001809</v>
      </c>
      <c r="C12" s="141">
        <v>1.2801684506190061</v>
      </c>
      <c r="D12" s="165">
        <v>100</v>
      </c>
      <c r="E12" s="151">
        <v>368.47099999980418</v>
      </c>
      <c r="F12" s="141">
        <v>1.1098445538104806</v>
      </c>
      <c r="H12" s="151">
        <v>-27.502000000213915</v>
      </c>
      <c r="I12" s="141">
        <v>-6.945423046574553</v>
      </c>
      <c r="K12" s="151">
        <v>29.045934001377578</v>
      </c>
      <c r="L12" s="141">
        <v>7.3353319547990017</v>
      </c>
      <c r="N12" s="151">
        <v>-3.864504443275159</v>
      </c>
      <c r="O12" s="141">
        <v>-0.97595150257087782</v>
      </c>
      <c r="Q12" s="151">
        <v>-52.683429558316334</v>
      </c>
      <c r="R12" s="141">
        <v>-13.304803498802679</v>
      </c>
      <c r="S12" s="141"/>
      <c r="T12" s="162">
        <v>395.97300000001809</v>
      </c>
      <c r="U12" s="163">
        <v>368.47099999980418</v>
      </c>
      <c r="V12" s="169"/>
      <c r="Y12" s="135"/>
      <c r="Z12" s="151"/>
      <c r="AA12" s="151"/>
      <c r="AB12" s="135"/>
      <c r="AC12" s="151"/>
      <c r="AE12" s="135"/>
      <c r="AF12" s="151"/>
    </row>
    <row r="13" spans="1:32" x14ac:dyDescent="0.2">
      <c r="A13" t="str">
        <f>name!A11</f>
        <v>Paper, etc</v>
      </c>
      <c r="B13" s="151">
        <v>75.845999999976854</v>
      </c>
      <c r="C13" s="141">
        <v>0.24520776998839583</v>
      </c>
      <c r="D13" s="165">
        <v>100</v>
      </c>
      <c r="E13" s="151">
        <v>49.305999999976621</v>
      </c>
      <c r="F13" s="141">
        <v>0.14851099698533315</v>
      </c>
      <c r="H13" s="151">
        <v>-26.540000000000227</v>
      </c>
      <c r="I13" s="141">
        <v>-34.991957387348478</v>
      </c>
      <c r="K13" s="151">
        <v>5.5635558744351528</v>
      </c>
      <c r="L13" s="141">
        <v>7.3353319547990017</v>
      </c>
      <c r="N13" s="151">
        <v>-2.1939675871835931</v>
      </c>
      <c r="O13" s="141">
        <v>-2.8926609012792532</v>
      </c>
      <c r="Q13" s="151">
        <v>-29.909588287251786</v>
      </c>
      <c r="R13" s="141">
        <v>-39.434628440868224</v>
      </c>
      <c r="S13" s="141"/>
      <c r="T13" s="162">
        <v>75.845999999976854</v>
      </c>
      <c r="U13" s="163">
        <v>49.305999999976621</v>
      </c>
      <c r="V13" s="169"/>
      <c r="Y13" s="135"/>
      <c r="Z13" s="151"/>
      <c r="AA13" s="151"/>
      <c r="AB13" s="135"/>
      <c r="AC13" s="151"/>
      <c r="AE13" s="135"/>
      <c r="AF13" s="151"/>
    </row>
    <row r="14" spans="1:32" x14ac:dyDescent="0.2">
      <c r="A14" t="str">
        <f>name!A12</f>
        <v>Printing and recording</v>
      </c>
      <c r="B14" s="151">
        <v>73.1450000000373</v>
      </c>
      <c r="C14" s="141">
        <v>0.2364755206051187</v>
      </c>
      <c r="D14" s="165">
        <v>100</v>
      </c>
      <c r="E14" s="151">
        <v>122.94699999997626</v>
      </c>
      <c r="F14" s="141">
        <v>0.37031966791791843</v>
      </c>
      <c r="H14" s="151">
        <v>49.801999999938957</v>
      </c>
      <c r="I14" s="141">
        <v>68.086677148012257</v>
      </c>
      <c r="K14" s="151">
        <v>5.3654285583404651</v>
      </c>
      <c r="L14" s="141">
        <v>7.3353319547989999</v>
      </c>
      <c r="N14" s="151">
        <v>3.0368099350038165</v>
      </c>
      <c r="O14" s="141">
        <v>4.1517669492135729</v>
      </c>
      <c r="Q14" s="151">
        <v>41.399761506594672</v>
      </c>
      <c r="R14" s="141">
        <v>56.599578243999673</v>
      </c>
      <c r="S14" s="141"/>
      <c r="T14" s="162">
        <v>73.1450000000373</v>
      </c>
      <c r="U14" s="163">
        <v>122.94699999997626</v>
      </c>
      <c r="V14" s="169"/>
      <c r="Y14" s="135"/>
      <c r="Z14" s="151"/>
      <c r="AA14" s="151"/>
      <c r="AB14" s="135"/>
      <c r="AC14" s="151"/>
      <c r="AE14" s="135"/>
      <c r="AF14" s="151"/>
    </row>
    <row r="15" spans="1:32" x14ac:dyDescent="0.2">
      <c r="A15" t="str">
        <f>name!A13</f>
        <v>Coke and petroleum; Chemicals, etc</v>
      </c>
      <c r="B15" s="151">
        <v>80.073000000040807</v>
      </c>
      <c r="C15" s="141">
        <v>0.25887353013074937</v>
      </c>
      <c r="D15" s="165">
        <v>100</v>
      </c>
      <c r="E15" s="151">
        <v>72.98899999998595</v>
      </c>
      <c r="F15" s="141">
        <v>0.2198448294115429</v>
      </c>
      <c r="H15" s="151">
        <v>-7.0840000000548606</v>
      </c>
      <c r="I15" s="141">
        <v>-8.846927179013214</v>
      </c>
      <c r="K15" s="151">
        <v>5.873620356169198</v>
      </c>
      <c r="L15" s="141">
        <v>7.3353319547990017</v>
      </c>
      <c r="N15" s="151">
        <v>-0.88552804492364956</v>
      </c>
      <c r="O15" s="141">
        <v>-1.1059009215630717</v>
      </c>
      <c r="Q15" s="151">
        <v>-12.072092311300409</v>
      </c>
      <c r="R15" s="141">
        <v>-15.076358212249144</v>
      </c>
      <c r="S15" s="141"/>
      <c r="T15" s="162">
        <v>80.073000000040807</v>
      </c>
      <c r="U15" s="163">
        <v>72.98899999998595</v>
      </c>
      <c r="V15" s="169"/>
      <c r="Y15" s="135"/>
      <c r="Z15" s="151"/>
      <c r="AA15" s="151"/>
      <c r="AB15" s="135"/>
      <c r="AC15" s="151"/>
      <c r="AE15" s="135"/>
      <c r="AF15" s="151"/>
    </row>
    <row r="16" spans="1:32" x14ac:dyDescent="0.2">
      <c r="A16" t="str">
        <f>name!A14</f>
        <v>Pharmaceuticals</v>
      </c>
      <c r="B16" s="151">
        <v>104.71500000005337</v>
      </c>
      <c r="C16" s="141">
        <v>0.33854035327315601</v>
      </c>
      <c r="D16" s="165">
        <v>100</v>
      </c>
      <c r="E16" s="151">
        <v>86.702999999983263</v>
      </c>
      <c r="F16" s="141">
        <v>0.26115176594375861</v>
      </c>
      <c r="H16" s="151">
        <v>-18.012000000070095</v>
      </c>
      <c r="I16" s="141">
        <v>-17.200974072540628</v>
      </c>
      <c r="K16" s="151">
        <v>7.6811928564716885</v>
      </c>
      <c r="L16" s="141">
        <v>7.3353319547990017</v>
      </c>
      <c r="N16" s="151">
        <v>-1.7558812662057193</v>
      </c>
      <c r="O16" s="141">
        <v>-1.6768192390821033</v>
      </c>
      <c r="Q16" s="151">
        <v>-23.937311590336066</v>
      </c>
      <c r="R16" s="141">
        <v>-22.859486788257524</v>
      </c>
      <c r="S16" s="141"/>
      <c r="T16" s="162">
        <v>104.71500000005337</v>
      </c>
      <c r="U16" s="163">
        <v>86.702999999983263</v>
      </c>
      <c r="V16" s="169"/>
      <c r="Y16" s="135"/>
      <c r="Z16" s="151"/>
      <c r="AA16" s="151"/>
      <c r="AB16" s="135"/>
      <c r="AC16" s="151"/>
      <c r="AE16" s="135"/>
      <c r="AF16" s="151"/>
    </row>
    <row r="17" spans="1:32" x14ac:dyDescent="0.2">
      <c r="A17" t="str">
        <f>name!A15</f>
        <v>Rubber and plastic</v>
      </c>
      <c r="B17" s="151">
        <v>11.055999999985691</v>
      </c>
      <c r="C17" s="141">
        <v>3.5743705732524098E-2</v>
      </c>
      <c r="D17" s="165">
        <v>100</v>
      </c>
      <c r="E17" s="151">
        <v>18.25699999999954</v>
      </c>
      <c r="F17" s="141">
        <v>5.4990574614903753E-2</v>
      </c>
      <c r="H17" s="151">
        <v>7.2010000000138481</v>
      </c>
      <c r="I17" s="141">
        <v>65.132054992973664</v>
      </c>
      <c r="K17" s="151">
        <v>0.81099430092152791</v>
      </c>
      <c r="L17" s="141">
        <v>7.3353319547990017</v>
      </c>
      <c r="N17" s="151">
        <v>0.43669509510288052</v>
      </c>
      <c r="O17" s="141">
        <v>3.9498470975347839</v>
      </c>
      <c r="Q17" s="151">
        <v>5.9533106039894399</v>
      </c>
      <c r="R17" s="141">
        <v>53.846875940639883</v>
      </c>
      <c r="S17" s="141"/>
      <c r="T17" s="162">
        <v>11.055999999985691</v>
      </c>
      <c r="U17" s="163">
        <v>18.25699999999954</v>
      </c>
      <c r="V17" s="169"/>
      <c r="Y17" s="135"/>
      <c r="Z17" s="151"/>
      <c r="AA17" s="151"/>
      <c r="AB17" s="135"/>
      <c r="AC17" s="151"/>
      <c r="AE17" s="135"/>
      <c r="AF17" s="151"/>
    </row>
    <row r="18" spans="1:32" x14ac:dyDescent="0.2">
      <c r="A18" t="str">
        <f>name!A16</f>
        <v>Other non-metallic</v>
      </c>
      <c r="B18" s="151">
        <v>93.389000000008025</v>
      </c>
      <c r="C18" s="141">
        <v>0.30192374589899607</v>
      </c>
      <c r="D18" s="165">
        <v>100</v>
      </c>
      <c r="E18" s="151">
        <v>88.958999999932729</v>
      </c>
      <c r="F18" s="141">
        <v>0.26794689856842019</v>
      </c>
      <c r="H18" s="151">
        <v>-4.4300000000752915</v>
      </c>
      <c r="I18" s="141">
        <v>-4.7435993533231011</v>
      </c>
      <c r="K18" s="151">
        <v>6.8503931592678278</v>
      </c>
      <c r="L18" s="141">
        <v>7.3353319547990017</v>
      </c>
      <c r="N18" s="151">
        <v>-0.77090578561093448</v>
      </c>
      <c r="O18" s="141">
        <v>-0.82547814583180912</v>
      </c>
      <c r="Q18" s="151">
        <v>-10.509487373732185</v>
      </c>
      <c r="R18" s="141">
        <v>-11.253453162290294</v>
      </c>
      <c r="S18" s="141"/>
      <c r="T18" s="162">
        <v>93.389000000008025</v>
      </c>
      <c r="U18" s="163">
        <v>88.958999999932729</v>
      </c>
      <c r="V18" s="169"/>
      <c r="Y18" s="135"/>
      <c r="Z18" s="151"/>
      <c r="AA18" s="151"/>
      <c r="AB18" s="135"/>
      <c r="AC18" s="151"/>
      <c r="AE18" s="135"/>
      <c r="AF18" s="151"/>
    </row>
    <row r="19" spans="1:32" x14ac:dyDescent="0.2">
      <c r="A19" t="str">
        <f>name!A17</f>
        <v>Basic metals</v>
      </c>
      <c r="B19" s="151">
        <v>27.854999999989587</v>
      </c>
      <c r="C19" s="141">
        <v>9.0054352675504282E-2</v>
      </c>
      <c r="D19" s="165">
        <v>100</v>
      </c>
      <c r="E19" s="151">
        <v>33.922000000006818</v>
      </c>
      <c r="F19" s="141">
        <v>0.1021739755757894</v>
      </c>
      <c r="H19" s="151">
        <v>6.0670000000172291</v>
      </c>
      <c r="I19" s="141">
        <v>21.78064979364386</v>
      </c>
      <c r="K19" s="151">
        <v>2.0432567160084982</v>
      </c>
      <c r="L19" s="141">
        <v>7.3353319547990017</v>
      </c>
      <c r="N19" s="151">
        <v>0.27498394192814857</v>
      </c>
      <c r="O19" s="141">
        <v>0.98719778111021839</v>
      </c>
      <c r="Q19" s="151">
        <v>3.7487593420805823</v>
      </c>
      <c r="R19" s="141">
        <v>13.458120057734638</v>
      </c>
      <c r="S19" s="141"/>
      <c r="T19" s="162">
        <v>27.854999999989587</v>
      </c>
      <c r="U19" s="163">
        <v>33.922000000006818</v>
      </c>
      <c r="V19" s="169"/>
      <c r="Y19" s="135"/>
      <c r="Z19" s="151"/>
      <c r="AA19" s="151"/>
      <c r="AB19" s="135"/>
      <c r="AC19" s="151"/>
      <c r="AE19" s="135"/>
      <c r="AF19" s="151"/>
    </row>
    <row r="20" spans="1:32" x14ac:dyDescent="0.2">
      <c r="A20" t="str">
        <f>name!A18</f>
        <v>Metal products</v>
      </c>
      <c r="B20" s="151">
        <v>171.25499999999897</v>
      </c>
      <c r="C20" s="141">
        <v>0.55366211335304816</v>
      </c>
      <c r="D20" s="165">
        <v>100</v>
      </c>
      <c r="E20" s="151">
        <v>174.72100000005108</v>
      </c>
      <c r="F20" s="141">
        <v>0.52626434722537385</v>
      </c>
      <c r="H20" s="151">
        <v>3.4660000000520959</v>
      </c>
      <c r="I20" s="141">
        <v>2.0238825144095745</v>
      </c>
      <c r="K20" s="151">
        <v>12.562122739190956</v>
      </c>
      <c r="L20" s="141">
        <v>7.3353319547990026</v>
      </c>
      <c r="N20" s="151">
        <v>-0.62163202533603767</v>
      </c>
      <c r="O20" s="141">
        <v>-0.36298620497856493</v>
      </c>
      <c r="Q20" s="151">
        <v>-8.4744907138028225</v>
      </c>
      <c r="R20" s="141">
        <v>-4.9484632354108635</v>
      </c>
      <c r="S20" s="141"/>
      <c r="T20" s="162">
        <v>171.25499999999897</v>
      </c>
      <c r="U20" s="163">
        <v>174.72100000005108</v>
      </c>
      <c r="V20" s="169"/>
      <c r="Y20" s="135"/>
      <c r="Z20" s="151"/>
      <c r="AA20" s="151"/>
      <c r="AB20" s="135"/>
      <c r="AC20" s="151"/>
      <c r="AE20" s="135"/>
      <c r="AF20" s="151"/>
    </row>
    <row r="21" spans="1:32" x14ac:dyDescent="0.2">
      <c r="A21" t="str">
        <f>name!A19</f>
        <v>Computer, etc</v>
      </c>
      <c r="B21" s="151">
        <v>80.063999999999524</v>
      </c>
      <c r="C21" s="141">
        <v>0.25884443340923446</v>
      </c>
      <c r="D21" s="165">
        <v>100</v>
      </c>
      <c r="E21" s="151">
        <v>93.491000000027313</v>
      </c>
      <c r="F21" s="141">
        <v>0.28159740435578678</v>
      </c>
      <c r="H21" s="151">
        <v>13.427000000027794</v>
      </c>
      <c r="I21" s="141">
        <v>16.770333733048403</v>
      </c>
      <c r="K21" s="151">
        <v>5.8729601762902375</v>
      </c>
      <c r="L21" s="141">
        <v>7.3353319547990017</v>
      </c>
      <c r="N21" s="151">
        <v>0.51624557075223443</v>
      </c>
      <c r="O21" s="141">
        <v>0.64479113053586812</v>
      </c>
      <c r="Q21" s="151">
        <v>7.0377942529853215</v>
      </c>
      <c r="R21" s="141">
        <v>8.7902106477135344</v>
      </c>
      <c r="S21" s="141"/>
      <c r="T21" s="162">
        <v>80.063999999999524</v>
      </c>
      <c r="U21" s="163">
        <v>93.491000000027313</v>
      </c>
      <c r="V21" s="169"/>
      <c r="Y21" s="135"/>
      <c r="Z21" s="151"/>
      <c r="AA21" s="151"/>
      <c r="AB21" s="135"/>
      <c r="AC21" s="151"/>
      <c r="AE21" s="135"/>
      <c r="AF21" s="151"/>
    </row>
    <row r="22" spans="1:32" x14ac:dyDescent="0.2">
      <c r="A22" t="str">
        <f>name!A20</f>
        <v>Electrical equipment</v>
      </c>
      <c r="B22" s="151">
        <v>66.058000000045865</v>
      </c>
      <c r="C22" s="141">
        <v>0.21356346900178841</v>
      </c>
      <c r="D22" s="165">
        <v>100</v>
      </c>
      <c r="E22" s="151">
        <v>69.29699999994429</v>
      </c>
      <c r="F22" s="141">
        <v>0.20872442619740475</v>
      </c>
      <c r="H22" s="151">
        <v>3.2389999998984278</v>
      </c>
      <c r="I22" s="141">
        <v>4.9032668259653311</v>
      </c>
      <c r="K22" s="151">
        <v>4.845573582704489</v>
      </c>
      <c r="L22" s="141">
        <v>7.3353319547990017</v>
      </c>
      <c r="N22" s="151">
        <v>-0.10979376804513397</v>
      </c>
      <c r="O22" s="141">
        <v>-0.16620813231562828</v>
      </c>
      <c r="Q22" s="151">
        <v>-1.4967798147609273</v>
      </c>
      <c r="R22" s="141">
        <v>-2.2658569965180417</v>
      </c>
      <c r="S22" s="141"/>
      <c r="T22" s="162">
        <v>66.058000000045865</v>
      </c>
      <c r="U22" s="163">
        <v>69.29699999994429</v>
      </c>
      <c r="V22" s="169"/>
      <c r="Y22" s="135"/>
      <c r="Z22" s="151"/>
      <c r="AA22" s="151"/>
      <c r="AB22" s="135"/>
      <c r="AC22" s="151"/>
      <c r="AE22" s="135"/>
      <c r="AF22" s="151"/>
    </row>
    <row r="23" spans="1:32" x14ac:dyDescent="0.2">
      <c r="A23" t="str">
        <f>name!A21</f>
        <v>Machinery n.e.c.</v>
      </c>
      <c r="B23" s="151">
        <v>320.67900000022286</v>
      </c>
      <c r="C23" s="141">
        <v>1.036745279542592</v>
      </c>
      <c r="D23" s="165">
        <v>100</v>
      </c>
      <c r="E23" s="151">
        <v>294.9469999997628</v>
      </c>
      <c r="F23" s="141">
        <v>0.88838829002187569</v>
      </c>
      <c r="H23" s="151">
        <v>-25.732000000460072</v>
      </c>
      <c r="I23" s="141">
        <v>-8.0242236006854792</v>
      </c>
      <c r="K23" s="151">
        <v>23.522869159346239</v>
      </c>
      <c r="L23" s="141">
        <v>7.3353319547990017</v>
      </c>
      <c r="N23" s="151">
        <v>-3.366093988785714</v>
      </c>
      <c r="O23" s="141">
        <v>-1.0496770879238662</v>
      </c>
      <c r="Q23" s="151">
        <v>-45.888775171020598</v>
      </c>
      <c r="R23" s="141">
        <v>-14.309878467560615</v>
      </c>
      <c r="S23" s="141"/>
      <c r="T23" s="162">
        <v>320.67900000022286</v>
      </c>
      <c r="U23" s="163">
        <v>294.9469999997628</v>
      </c>
      <c r="V23" s="169"/>
      <c r="Y23" s="135"/>
      <c r="Z23" s="151"/>
      <c r="AA23" s="151"/>
      <c r="AB23" s="135"/>
      <c r="AC23" s="151"/>
      <c r="AE23" s="135"/>
      <c r="AF23" s="151"/>
    </row>
    <row r="24" spans="1:32" x14ac:dyDescent="0.2">
      <c r="A24" t="str">
        <f>name!A22</f>
        <v>Motor vehicles, etc</v>
      </c>
      <c r="B24" s="151">
        <v>140.47299999999331</v>
      </c>
      <c r="C24" s="141">
        <v>0.45414486029044115</v>
      </c>
      <c r="D24" s="165">
        <v>100</v>
      </c>
      <c r="E24" s="151">
        <v>162.91900000005276</v>
      </c>
      <c r="F24" s="141">
        <v>0.49071640607375983</v>
      </c>
      <c r="H24" s="151">
        <v>22.44600000005946</v>
      </c>
      <c r="I24" s="141">
        <v>15.97887138457962</v>
      </c>
      <c r="K24" s="151">
        <v>10.304160856864311</v>
      </c>
      <c r="L24" s="141">
        <v>7.3353319547990017</v>
      </c>
      <c r="N24" s="151">
        <v>0.82977728801001405</v>
      </c>
      <c r="O24" s="141">
        <v>0.59070233283980089</v>
      </c>
      <c r="Q24" s="151">
        <v>11.312061855185135</v>
      </c>
      <c r="R24" s="141">
        <v>8.0528370969408165</v>
      </c>
      <c r="S24" s="141"/>
      <c r="T24" s="162">
        <v>140.47299999999331</v>
      </c>
      <c r="U24" s="163">
        <v>162.91900000005276</v>
      </c>
      <c r="V24" s="169"/>
      <c r="Y24" s="135"/>
      <c r="Z24" s="151"/>
      <c r="AA24" s="151"/>
      <c r="AB24" s="135"/>
      <c r="AC24" s="151"/>
      <c r="AE24" s="135"/>
      <c r="AF24" s="151"/>
    </row>
    <row r="25" spans="1:32" x14ac:dyDescent="0.2">
      <c r="A25" t="str">
        <f>name!A23</f>
        <v>Other transport equipment</v>
      </c>
      <c r="B25" s="151">
        <v>67.744000000034035</v>
      </c>
      <c r="C25" s="141">
        <v>0.21901425480720543</v>
      </c>
      <c r="D25" s="165">
        <v>100</v>
      </c>
      <c r="E25" s="151">
        <v>77.434000000005142</v>
      </c>
      <c r="F25" s="141">
        <v>0.23323328886075737</v>
      </c>
      <c r="H25" s="151">
        <v>9.6899999999711</v>
      </c>
      <c r="I25" s="141">
        <v>14.303849787385202</v>
      </c>
      <c r="K25" s="151">
        <v>4.9692472794615323</v>
      </c>
      <c r="L25" s="141">
        <v>7.3353319547990017</v>
      </c>
      <c r="N25" s="151">
        <v>0.32261779649633304</v>
      </c>
      <c r="O25" s="141">
        <v>0.4762308049364829</v>
      </c>
      <c r="Q25" s="151">
        <v>4.3981349240132346</v>
      </c>
      <c r="R25" s="141">
        <v>6.4922870276497182</v>
      </c>
      <c r="S25" s="141"/>
      <c r="T25" s="162">
        <v>67.744000000034035</v>
      </c>
      <c r="U25" s="163">
        <v>77.434000000005142</v>
      </c>
      <c r="V25" s="169"/>
      <c r="Y25" s="135"/>
      <c r="Z25" s="151"/>
      <c r="AA25" s="151"/>
      <c r="AB25" s="135"/>
      <c r="AC25" s="151"/>
      <c r="AE25" s="135"/>
      <c r="AF25" s="151"/>
    </row>
    <row r="26" spans="1:32" x14ac:dyDescent="0.2">
      <c r="A26" t="str">
        <f>name!A24</f>
        <v>Furniture</v>
      </c>
      <c r="B26" s="151">
        <v>182.40299999999939</v>
      </c>
      <c r="C26" s="141">
        <v>0.58970325223751896</v>
      </c>
      <c r="D26" s="165">
        <v>100</v>
      </c>
      <c r="E26" s="151">
        <v>185.13999999993501</v>
      </c>
      <c r="F26" s="141">
        <v>0.55764665521169765</v>
      </c>
      <c r="H26" s="151">
        <v>2.7369999999356223</v>
      </c>
      <c r="I26" s="141">
        <v>1.5005235659148322</v>
      </c>
      <c r="K26" s="151">
        <v>13.379865545511977</v>
      </c>
      <c r="L26" s="141">
        <v>7.3353319547990017</v>
      </c>
      <c r="N26" s="151">
        <v>-0.727336938408782</v>
      </c>
      <c r="O26" s="141">
        <v>-0.39875272797529882</v>
      </c>
      <c r="Q26" s="151">
        <v>-9.9155286071675732</v>
      </c>
      <c r="R26" s="141">
        <v>-5.4360556609088704</v>
      </c>
      <c r="S26" s="141"/>
      <c r="T26" s="162">
        <v>182.40299999999939</v>
      </c>
      <c r="U26" s="163">
        <v>185.13999999993501</v>
      </c>
      <c r="V26" s="169"/>
      <c r="Y26" s="135"/>
      <c r="Z26" s="151"/>
      <c r="AA26" s="151"/>
      <c r="AB26" s="135"/>
      <c r="AC26" s="151"/>
      <c r="AE26" s="135"/>
      <c r="AF26" s="151"/>
    </row>
    <row r="27" spans="1:32" x14ac:dyDescent="0.2">
      <c r="A27" t="str">
        <f>name!A25</f>
        <v>Other manufacturing</v>
      </c>
      <c r="B27" s="151">
        <v>90.135000000064551</v>
      </c>
      <c r="C27" s="141">
        <v>0.29140366463526929</v>
      </c>
      <c r="D27" s="165">
        <v>100</v>
      </c>
      <c r="E27" s="151">
        <v>65.68600000003066</v>
      </c>
      <c r="F27" s="141">
        <v>0.19784799716034099</v>
      </c>
      <c r="H27" s="151">
        <v>-24.449000000033891</v>
      </c>
      <c r="I27" s="141">
        <v>-27.124868253193966</v>
      </c>
      <c r="K27" s="151">
        <v>6.6117014574628152</v>
      </c>
      <c r="L27" s="141">
        <v>7.3353319547990017</v>
      </c>
      <c r="N27" s="151">
        <v>-2.1226985726898846</v>
      </c>
      <c r="O27" s="141">
        <v>-2.3550214374974918</v>
      </c>
      <c r="Q27" s="151">
        <v>-28.938002884806821</v>
      </c>
      <c r="R27" s="141">
        <v>-32.105178770495471</v>
      </c>
      <c r="S27" s="141"/>
      <c r="T27" s="162">
        <v>90.135000000064551</v>
      </c>
      <c r="U27" s="163">
        <v>65.68600000003066</v>
      </c>
      <c r="V27" s="169"/>
      <c r="Y27" s="135"/>
      <c r="Z27" s="151"/>
      <c r="AA27" s="151"/>
      <c r="AB27" s="135"/>
      <c r="AC27" s="151"/>
      <c r="AE27" s="135"/>
      <c r="AF27" s="151"/>
    </row>
    <row r="28" spans="1:32" x14ac:dyDescent="0.2">
      <c r="A28" t="str">
        <f>name!A26</f>
        <v>Repair and installation</v>
      </c>
      <c r="B28" s="151">
        <v>65.316000000028879</v>
      </c>
      <c r="C28" s="141">
        <v>0.2111646059722864</v>
      </c>
      <c r="D28" s="165">
        <v>100</v>
      </c>
      <c r="E28" s="151">
        <v>58.65599999997378</v>
      </c>
      <c r="F28" s="141">
        <v>0.17667344824508047</v>
      </c>
      <c r="H28" s="151">
        <v>-6.6600000000551081</v>
      </c>
      <c r="I28" s="141">
        <v>-10.196582766936375</v>
      </c>
      <c r="K28" s="151">
        <v>4.7911454195986343</v>
      </c>
      <c r="L28" s="141">
        <v>7.3353319547990017</v>
      </c>
      <c r="N28" s="151">
        <v>-0.78257505134664118</v>
      </c>
      <c r="O28" s="141">
        <v>-1.1981368291786012</v>
      </c>
      <c r="Q28" s="151">
        <v>-10.668570368307101</v>
      </c>
      <c r="R28" s="141">
        <v>-16.333777892556778</v>
      </c>
      <c r="S28" s="141"/>
      <c r="T28" s="162">
        <v>65.316000000028879</v>
      </c>
      <c r="U28" s="163">
        <v>58.65599999997378</v>
      </c>
      <c r="V28" s="169"/>
      <c r="Y28" s="135"/>
      <c r="Z28" s="151"/>
      <c r="AA28" s="151"/>
      <c r="AB28" s="135"/>
      <c r="AC28" s="151"/>
      <c r="AE28" s="135"/>
      <c r="AF28" s="151"/>
    </row>
    <row r="29" spans="1:32" x14ac:dyDescent="0.2">
      <c r="A29" t="str">
        <f>name!A27</f>
        <v>Electricity, gas, etc</v>
      </c>
      <c r="B29" s="151">
        <v>217.60999999992853</v>
      </c>
      <c r="C29" s="141">
        <v>0.70352639331241695</v>
      </c>
      <c r="D29" s="165">
        <v>100</v>
      </c>
      <c r="E29" s="151">
        <v>203.759000000095</v>
      </c>
      <c r="F29" s="141">
        <v>0.61372758355500256</v>
      </c>
      <c r="H29" s="151">
        <v>-13.850999999833526</v>
      </c>
      <c r="I29" s="141">
        <v>-6.3650567528321655</v>
      </c>
      <c r="K29" s="151">
        <v>15.962415866832863</v>
      </c>
      <c r="L29" s="141">
        <v>7.3353319547990017</v>
      </c>
      <c r="N29" s="151">
        <v>-2.03745866440849</v>
      </c>
      <c r="O29" s="141">
        <v>-0.93628907881492551</v>
      </c>
      <c r="Q29" s="151">
        <v>-27.775957202257899</v>
      </c>
      <c r="R29" s="141">
        <v>-12.764099628816242</v>
      </c>
      <c r="S29" s="141"/>
      <c r="T29" s="162">
        <v>217.60999999992853</v>
      </c>
      <c r="U29" s="163">
        <v>203.759000000095</v>
      </c>
      <c r="V29" s="169"/>
      <c r="W29" s="140"/>
      <c r="Y29" s="135"/>
      <c r="Z29" s="151"/>
      <c r="AA29" s="151"/>
      <c r="AB29" s="135"/>
      <c r="AC29" s="151"/>
      <c r="AE29" s="135"/>
      <c r="AF29" s="151"/>
    </row>
    <row r="30" spans="1:32" x14ac:dyDescent="0.2">
      <c r="A30" t="str">
        <f>name!A28</f>
        <v>Water</v>
      </c>
      <c r="B30" s="151">
        <v>76.56499999997483</v>
      </c>
      <c r="C30" s="141">
        <v>0.24753227472986161</v>
      </c>
      <c r="D30" s="165">
        <v>100</v>
      </c>
      <c r="E30" s="151">
        <v>91.782000000042814</v>
      </c>
      <c r="F30" s="141">
        <v>0.27644985043038717</v>
      </c>
      <c r="H30" s="151">
        <v>15.217000000067987</v>
      </c>
      <c r="I30" s="141">
        <v>19.874616339153647</v>
      </c>
      <c r="K30" s="151">
        <v>5.616296911190009</v>
      </c>
      <c r="L30" s="141">
        <v>7.3353319547990017</v>
      </c>
      <c r="N30" s="151">
        <v>0.65611521270592732</v>
      </c>
      <c r="O30" s="141">
        <v>0.85693882675653765</v>
      </c>
      <c r="Q30" s="151">
        <v>8.9445878761720508</v>
      </c>
      <c r="R30" s="141">
        <v>11.682345557598108</v>
      </c>
      <c r="S30" s="141"/>
      <c r="T30" s="162">
        <v>76.56499999997483</v>
      </c>
      <c r="U30" s="163">
        <v>91.782000000042814</v>
      </c>
      <c r="V30" s="169"/>
      <c r="Y30" s="135"/>
      <c r="Z30" s="151"/>
      <c r="AA30" s="151"/>
      <c r="AB30" s="135"/>
      <c r="AC30" s="151"/>
      <c r="AE30" s="135"/>
      <c r="AF30" s="151"/>
    </row>
    <row r="31" spans="1:32" x14ac:dyDescent="0.2">
      <c r="A31" t="str">
        <f>name!A29</f>
        <v>Sewerage</v>
      </c>
      <c r="B31" s="151">
        <v>82.465999999925302</v>
      </c>
      <c r="C31" s="141">
        <v>0.266610025048795</v>
      </c>
      <c r="D31" s="165">
        <v>100</v>
      </c>
      <c r="E31" s="151">
        <v>87.377999999966974</v>
      </c>
      <c r="F31" s="141">
        <v>0.26318488408278279</v>
      </c>
      <c r="H31" s="151">
        <v>4.9120000000416617</v>
      </c>
      <c r="I31" s="141">
        <v>5.9563941503724092</v>
      </c>
      <c r="K31" s="151">
        <v>6.0491548498390655</v>
      </c>
      <c r="L31" s="141">
        <v>7.3353319547990017</v>
      </c>
      <c r="N31" s="151">
        <v>-7.7713537149029399E-2</v>
      </c>
      <c r="O31" s="141">
        <v>-9.4237063940411564E-2</v>
      </c>
      <c r="Q31" s="151">
        <v>-1.0594413126483744</v>
      </c>
      <c r="R31" s="141">
        <v>-1.284700740486181</v>
      </c>
      <c r="S31" s="141"/>
      <c r="T31" s="162">
        <v>82.465999999925302</v>
      </c>
      <c r="U31" s="163">
        <v>87.377999999966974</v>
      </c>
      <c r="V31" s="169"/>
      <c r="Y31" s="135"/>
      <c r="Z31" s="151"/>
      <c r="AA31" s="151"/>
      <c r="AB31" s="135"/>
      <c r="AC31" s="151"/>
      <c r="AE31" s="135"/>
      <c r="AF31" s="151"/>
    </row>
    <row r="32" spans="1:32" x14ac:dyDescent="0.2">
      <c r="A32" t="str">
        <f>name!A30</f>
        <v>Waste management</v>
      </c>
      <c r="B32" s="151">
        <v>32.932999999964288</v>
      </c>
      <c r="C32" s="141">
        <v>0.10647136947263597</v>
      </c>
      <c r="D32" s="165">
        <v>100</v>
      </c>
      <c r="E32" s="151">
        <v>34.895000000015962</v>
      </c>
      <c r="F32" s="141">
        <v>0.10510467772295519</v>
      </c>
      <c r="H32" s="151">
        <v>1.9620000000516737</v>
      </c>
      <c r="I32" s="141">
        <v>5.957550177796743</v>
      </c>
      <c r="K32" s="151">
        <v>2.4157448726713358</v>
      </c>
      <c r="L32" s="141">
        <v>7.3353319547990017</v>
      </c>
      <c r="N32" s="151">
        <v>-3.1009074112286816E-2</v>
      </c>
      <c r="O32" s="141">
        <v>-9.4158060645311514E-2</v>
      </c>
      <c r="Q32" s="151">
        <v>-0.42273579850737519</v>
      </c>
      <c r="R32" s="141">
        <v>-1.2836237163569477</v>
      </c>
      <c r="S32" s="141"/>
      <c r="T32" s="162">
        <v>32.932999999964288</v>
      </c>
      <c r="U32" s="163">
        <v>34.895000000015962</v>
      </c>
      <c r="V32" s="169"/>
      <c r="Y32" s="135"/>
      <c r="Z32" s="151"/>
      <c r="AA32" s="151"/>
      <c r="AB32" s="135"/>
      <c r="AC32" s="151"/>
      <c r="AE32" s="135"/>
      <c r="AF32" s="151"/>
    </row>
    <row r="33" spans="1:32" x14ac:dyDescent="0.2">
      <c r="A33" t="str">
        <f>name!A31</f>
        <v>Construction</v>
      </c>
      <c r="B33" s="151">
        <v>35.430000000000284</v>
      </c>
      <c r="C33" s="141">
        <v>0.11454409317157906</v>
      </c>
      <c r="D33" s="165">
        <v>100</v>
      </c>
      <c r="E33" s="151">
        <v>35.217999999995349</v>
      </c>
      <c r="F33" s="141">
        <v>0.10607756240277558</v>
      </c>
      <c r="H33" s="151">
        <v>-0.2120000000049331</v>
      </c>
      <c r="I33" s="141">
        <v>-0.59836296924903021</v>
      </c>
      <c r="K33" s="151">
        <v>2.598908111585307</v>
      </c>
      <c r="L33" s="141">
        <v>7.3353319547990017</v>
      </c>
      <c r="N33" s="151">
        <v>-0.19209838659309805</v>
      </c>
      <c r="O33" s="141">
        <v>-0.54219132541094139</v>
      </c>
      <c r="Q33" s="151">
        <v>-2.618809724997142</v>
      </c>
      <c r="R33" s="141">
        <v>-7.3915035986370903</v>
      </c>
      <c r="S33" s="141"/>
      <c r="T33" s="162">
        <v>35.430000000000284</v>
      </c>
      <c r="U33" s="163">
        <v>35.217999999995349</v>
      </c>
      <c r="V33" s="169"/>
      <c r="Y33" s="135"/>
      <c r="Z33" s="151"/>
      <c r="AA33" s="151"/>
      <c r="AB33" s="135"/>
      <c r="AC33" s="151"/>
      <c r="AE33" s="135"/>
      <c r="AF33" s="151"/>
    </row>
    <row r="34" spans="1:32" x14ac:dyDescent="0.2">
      <c r="A34" t="str">
        <f>name!A32</f>
        <v>Civil engineering</v>
      </c>
      <c r="B34" s="151">
        <v>145.50300000000124</v>
      </c>
      <c r="C34" s="141">
        <v>0.47040669457364592</v>
      </c>
      <c r="D34" s="165">
        <v>100</v>
      </c>
      <c r="E34" s="151">
        <v>144.62799999998086</v>
      </c>
      <c r="F34" s="141">
        <v>0.43562342254496622</v>
      </c>
      <c r="H34" s="151">
        <v>-0.8750000000203727</v>
      </c>
      <c r="I34" s="141">
        <v>-0.60136217124070657</v>
      </c>
      <c r="K34" s="151">
        <v>10.673128054191281</v>
      </c>
      <c r="L34" s="141">
        <v>7.3353319547990017</v>
      </c>
      <c r="N34" s="151">
        <v>-0.78920287654993049</v>
      </c>
      <c r="O34" s="141">
        <v>-0.54239629186334559</v>
      </c>
      <c r="Q34" s="151">
        <v>-10.758925177661723</v>
      </c>
      <c r="R34" s="141">
        <v>-7.3942978341763625</v>
      </c>
      <c r="S34" s="141"/>
      <c r="T34" s="162">
        <v>145.50300000000124</v>
      </c>
      <c r="U34" s="163">
        <v>144.62799999998086</v>
      </c>
      <c r="V34" s="169"/>
      <c r="Y34" s="135"/>
      <c r="Z34" s="151"/>
      <c r="AA34" s="151"/>
      <c r="AB34" s="135"/>
      <c r="AC34" s="151"/>
      <c r="AE34" s="135"/>
      <c r="AF34" s="151"/>
    </row>
    <row r="35" spans="1:32" x14ac:dyDescent="0.2">
      <c r="A35" t="str">
        <f>name!A33</f>
        <v>Specialised construction</v>
      </c>
      <c r="B35" s="151">
        <v>1697.6410000011963</v>
      </c>
      <c r="C35" s="141">
        <v>5.4884207980815161</v>
      </c>
      <c r="D35" s="165">
        <v>100</v>
      </c>
      <c r="E35" s="151">
        <v>1865.8430000002486</v>
      </c>
      <c r="F35" s="141">
        <v>5.619969256242106</v>
      </c>
      <c r="H35" s="151">
        <v>168.20199999905239</v>
      </c>
      <c r="I35" s="141">
        <v>9.9079840790210572</v>
      </c>
      <c r="K35" s="151">
        <v>124.52760275085707</v>
      </c>
      <c r="L35" s="141">
        <v>7.3353319547990017</v>
      </c>
      <c r="N35" s="151">
        <v>2.9847226994760661</v>
      </c>
      <c r="O35" s="141">
        <v>0.17581589390654223</v>
      </c>
      <c r="Q35" s="151">
        <v>40.689674548719267</v>
      </c>
      <c r="R35" s="141">
        <v>2.3968362303155142</v>
      </c>
      <c r="S35" s="141"/>
      <c r="T35" s="162">
        <v>1697.6410000011963</v>
      </c>
      <c r="U35" s="163">
        <v>1865.8430000002486</v>
      </c>
      <c r="V35" s="169"/>
      <c r="Y35" s="135"/>
      <c r="Z35" s="151"/>
      <c r="AA35" s="151"/>
      <c r="AB35" s="135"/>
      <c r="AC35" s="151"/>
      <c r="AE35" s="135"/>
      <c r="AF35" s="151"/>
    </row>
    <row r="36" spans="1:32" x14ac:dyDescent="0.2">
      <c r="A36" t="str">
        <f>name!A34</f>
        <v>Motor vehicle trade</v>
      </c>
      <c r="B36" s="151">
        <v>569.9599999994731</v>
      </c>
      <c r="C36" s="141">
        <v>1.842663035394082</v>
      </c>
      <c r="D36" s="165">
        <v>100</v>
      </c>
      <c r="E36" s="151">
        <v>641.79699999991612</v>
      </c>
      <c r="F36" s="141">
        <v>1.9331098108187363</v>
      </c>
      <c r="H36" s="151">
        <v>71.837000000443084</v>
      </c>
      <c r="I36" s="141">
        <v>12.603866938120129</v>
      </c>
      <c r="K36" s="151">
        <v>41.808458009533737</v>
      </c>
      <c r="L36" s="141">
        <v>7.3353319547990017</v>
      </c>
      <c r="N36" s="151">
        <v>2.0521604546274403</v>
      </c>
      <c r="O36" s="141">
        <v>0.36005341684141651</v>
      </c>
      <c r="Q36" s="151">
        <v>27.976381536281906</v>
      </c>
      <c r="R36" s="141">
        <v>4.9084815664797121</v>
      </c>
      <c r="S36" s="141"/>
      <c r="T36" s="162">
        <v>569.9599999994731</v>
      </c>
      <c r="U36" s="163">
        <v>641.79699999991612</v>
      </c>
      <c r="V36" s="169"/>
      <c r="Y36" s="135"/>
      <c r="Z36" s="151"/>
      <c r="AA36" s="151"/>
      <c r="AB36" s="135"/>
      <c r="AC36" s="151"/>
      <c r="AE36" s="135"/>
      <c r="AF36" s="151"/>
    </row>
    <row r="37" spans="1:32" x14ac:dyDescent="0.2">
      <c r="A37" t="str">
        <f>name!A35</f>
        <v>Wholesale trade</v>
      </c>
      <c r="B37" s="151">
        <v>1164.0059999989242</v>
      </c>
      <c r="C37" s="141">
        <v>3.7631953631428945</v>
      </c>
      <c r="D37" s="165">
        <v>100</v>
      </c>
      <c r="E37" s="151">
        <v>1232.8599999998389</v>
      </c>
      <c r="F37" s="141">
        <v>3.7134074502778711</v>
      </c>
      <c r="H37" s="151">
        <v>68.854000000914795</v>
      </c>
      <c r="I37" s="141">
        <v>5.9152616052647868</v>
      </c>
      <c r="K37" s="151">
        <v>85.383704073698738</v>
      </c>
      <c r="L37" s="141">
        <v>7.3353319547989999</v>
      </c>
      <c r="N37" s="151">
        <v>-1.1296454231819553</v>
      </c>
      <c r="O37" s="141">
        <v>-9.7048075627015618E-2</v>
      </c>
      <c r="Q37" s="151">
        <v>-15.400058649601988</v>
      </c>
      <c r="R37" s="141">
        <v>-1.3230222739071982</v>
      </c>
      <c r="S37" s="141"/>
      <c r="T37" s="162">
        <v>1164.0059999989242</v>
      </c>
      <c r="U37" s="163">
        <v>1232.8599999998389</v>
      </c>
      <c r="V37" s="169"/>
      <c r="Y37" s="135"/>
      <c r="Z37" s="151"/>
      <c r="AA37" s="151"/>
      <c r="AB37" s="135"/>
      <c r="AC37" s="151"/>
      <c r="AE37" s="135"/>
      <c r="AF37" s="151"/>
    </row>
    <row r="38" spans="1:32" x14ac:dyDescent="0.2">
      <c r="A38" t="str">
        <f>name!A36</f>
        <v>Retail trade</v>
      </c>
      <c r="B38" s="151">
        <v>3028.8189999972019</v>
      </c>
      <c r="C38" s="141">
        <v>9.7920780619679828</v>
      </c>
      <c r="D38" s="165">
        <v>100</v>
      </c>
      <c r="E38" s="151">
        <v>3261.3079999995739</v>
      </c>
      <c r="F38" s="141">
        <v>9.8231473361540029</v>
      </c>
      <c r="H38" s="151">
        <v>232.48900000237208</v>
      </c>
      <c r="I38" s="141">
        <v>7.675896116690593</v>
      </c>
      <c r="K38" s="151">
        <v>222.17392795981831</v>
      </c>
      <c r="L38" s="141">
        <v>7.3353319547990017</v>
      </c>
      <c r="N38" s="151">
        <v>0.70493542239819362</v>
      </c>
      <c r="O38" s="141">
        <v>2.3274267045962298E-2</v>
      </c>
      <c r="Q38" s="151">
        <v>9.610136620155572</v>
      </c>
      <c r="R38" s="141">
        <v>0.31728989484562958</v>
      </c>
      <c r="S38" s="141"/>
      <c r="T38" s="162">
        <v>3028.8189999972019</v>
      </c>
      <c r="U38" s="163">
        <v>3261.3079999995739</v>
      </c>
      <c r="V38" s="169"/>
      <c r="Y38" s="135"/>
      <c r="Z38" s="151"/>
      <c r="AA38" s="151"/>
      <c r="AB38" s="135"/>
      <c r="AC38" s="151"/>
      <c r="AE38" s="135"/>
      <c r="AF38" s="151"/>
    </row>
    <row r="39" spans="1:32" x14ac:dyDescent="0.2">
      <c r="A39" t="str">
        <f>name!A37</f>
        <v>Land transport, etc</v>
      </c>
      <c r="B39" s="151">
        <v>716.96500000073365</v>
      </c>
      <c r="C39" s="141">
        <v>2.3179256494734561</v>
      </c>
      <c r="D39" s="165">
        <v>100</v>
      </c>
      <c r="E39" s="151">
        <v>704.04699999997217</v>
      </c>
      <c r="F39" s="141">
        <v>2.1206084836445522</v>
      </c>
      <c r="H39" s="151">
        <v>-12.918000000761472</v>
      </c>
      <c r="I39" s="141">
        <v>-1.8017615923717691</v>
      </c>
      <c r="K39" s="151">
        <v>52.591762749778475</v>
      </c>
      <c r="L39" s="141">
        <v>7.3353319547990017</v>
      </c>
      <c r="N39" s="151">
        <v>-4.476958773069212</v>
      </c>
      <c r="O39" s="141">
        <v>-0.62443198385759846</v>
      </c>
      <c r="Q39" s="151">
        <v>-61.032803977470735</v>
      </c>
      <c r="R39" s="141">
        <v>-8.5126615633131717</v>
      </c>
      <c r="S39" s="141"/>
      <c r="T39" s="162">
        <v>716.96500000073365</v>
      </c>
      <c r="U39" s="163">
        <v>704.04699999997217</v>
      </c>
      <c r="V39" s="169"/>
      <c r="Y39" s="135"/>
      <c r="Z39" s="151"/>
      <c r="AA39" s="151"/>
      <c r="AB39" s="135"/>
      <c r="AC39" s="151"/>
      <c r="AE39" s="135"/>
      <c r="AF39" s="151"/>
    </row>
    <row r="40" spans="1:32" x14ac:dyDescent="0.2">
      <c r="A40" t="str">
        <f>name!A38</f>
        <v>Water transport</v>
      </c>
      <c r="B40" s="151">
        <v>18.247000000011084</v>
      </c>
      <c r="C40" s="141">
        <v>5.8991986116371888E-2</v>
      </c>
      <c r="D40" s="165">
        <v>100</v>
      </c>
      <c r="E40" s="151">
        <v>17.84799999999214</v>
      </c>
      <c r="F40" s="141">
        <v>5.3758655623946702E-2</v>
      </c>
      <c r="H40" s="151">
        <v>-0.39900000001894298</v>
      </c>
      <c r="I40" s="141">
        <v>-2.1866608210593554</v>
      </c>
      <c r="K40" s="151">
        <v>1.338478021792987</v>
      </c>
      <c r="L40" s="141">
        <v>7.3353319547990026</v>
      </c>
      <c r="N40" s="151">
        <v>-0.11873982054226906</v>
      </c>
      <c r="O40" s="141">
        <v>-0.65073612397762337</v>
      </c>
      <c r="Q40" s="151">
        <v>-1.6187382012696609</v>
      </c>
      <c r="R40" s="141">
        <v>-8.871256651880735</v>
      </c>
      <c r="S40" s="141"/>
      <c r="T40" s="162">
        <v>18.247000000011084</v>
      </c>
      <c r="U40" s="163">
        <v>17.84799999999214</v>
      </c>
      <c r="V40" s="169"/>
      <c r="Y40" s="135"/>
      <c r="Z40" s="151"/>
      <c r="AA40" s="151"/>
      <c r="AB40" s="135"/>
      <c r="AC40" s="151"/>
      <c r="AE40" s="135"/>
      <c r="AF40" s="151"/>
    </row>
    <row r="41" spans="1:32" x14ac:dyDescent="0.2">
      <c r="A41" t="str">
        <f>name!A39</f>
        <v>Air transport</v>
      </c>
      <c r="B41" s="151">
        <v>83.957000000060233</v>
      </c>
      <c r="C41" s="141">
        <v>0.2714303818914221</v>
      </c>
      <c r="D41" s="165">
        <v>100</v>
      </c>
      <c r="E41" s="151">
        <v>115.2650000001187</v>
      </c>
      <c r="F41" s="141">
        <v>0.34718127748225713</v>
      </c>
      <c r="H41" s="151">
        <v>31.30800000005847</v>
      </c>
      <c r="I41" s="141">
        <v>37.290517765089284</v>
      </c>
      <c r="K41" s="151">
        <v>6.1585246492950159</v>
      </c>
      <c r="L41" s="141">
        <v>7.3353319547990017</v>
      </c>
      <c r="N41" s="151">
        <v>1.7187234326956968</v>
      </c>
      <c r="O41" s="141">
        <v>2.0471472690716244</v>
      </c>
      <c r="Q41" s="151">
        <v>23.430751918067756</v>
      </c>
      <c r="R41" s="141">
        <v>27.908038541218655</v>
      </c>
      <c r="S41" s="141"/>
      <c r="T41" s="162">
        <v>83.957000000060233</v>
      </c>
      <c r="U41" s="163">
        <v>115.2650000001187</v>
      </c>
      <c r="V41" s="169"/>
      <c r="Y41" s="135"/>
      <c r="Z41" s="151"/>
      <c r="AA41" s="151"/>
      <c r="AB41" s="135"/>
      <c r="AC41" s="151"/>
      <c r="AE41" s="135"/>
      <c r="AF41" s="151"/>
    </row>
    <row r="42" spans="1:32" x14ac:dyDescent="0.2">
      <c r="A42" t="str">
        <f>name!A40</f>
        <v>Warehousing, etc</v>
      </c>
      <c r="B42" s="151">
        <v>340.75900000006266</v>
      </c>
      <c r="C42" s="141">
        <v>1.1016632979130954</v>
      </c>
      <c r="D42" s="165">
        <v>100</v>
      </c>
      <c r="E42" s="151">
        <v>336.28300000019055</v>
      </c>
      <c r="F42" s="141">
        <v>1.0128934328331394</v>
      </c>
      <c r="H42" s="151">
        <v>-4.4759999998720597</v>
      </c>
      <c r="I42" s="141">
        <v>-1.3135383070942328</v>
      </c>
      <c r="K42" s="151">
        <v>24.995803815858125</v>
      </c>
      <c r="L42" s="141">
        <v>7.3353319547990017</v>
      </c>
      <c r="N42" s="151">
        <v>-2.01411278427996</v>
      </c>
      <c r="O42" s="141">
        <v>-0.59106664366299633</v>
      </c>
      <c r="Q42" s="151">
        <v>-27.457691031450224</v>
      </c>
      <c r="R42" s="141">
        <v>-8.0578036182302366</v>
      </c>
      <c r="S42" s="141"/>
      <c r="T42" s="162">
        <v>340.75900000006266</v>
      </c>
      <c r="U42" s="163">
        <v>336.28300000019055</v>
      </c>
      <c r="V42" s="169"/>
      <c r="Y42" s="135"/>
      <c r="Z42" s="151"/>
      <c r="AA42" s="151"/>
      <c r="AB42" s="135"/>
      <c r="AC42" s="151"/>
      <c r="AE42" s="135"/>
      <c r="AF42" s="151"/>
    </row>
    <row r="43" spans="1:32" x14ac:dyDescent="0.2">
      <c r="A43" t="str">
        <f>name!A41</f>
        <v>Postal and courier</v>
      </c>
      <c r="B43" s="151">
        <v>325.27900000005985</v>
      </c>
      <c r="C43" s="141">
        <v>1.0516169371370201</v>
      </c>
      <c r="D43" s="165">
        <v>100</v>
      </c>
      <c r="E43" s="151">
        <v>535.52800000030322</v>
      </c>
      <c r="F43" s="141">
        <v>1.6130247270848221</v>
      </c>
      <c r="H43" s="151">
        <v>210.24900000024343</v>
      </c>
      <c r="I43" s="141">
        <v>64.63651204049593</v>
      </c>
      <c r="K43" s="151">
        <v>23.860294429255035</v>
      </c>
      <c r="L43" s="141">
        <v>7.3353319547990017</v>
      </c>
      <c r="N43" s="151">
        <v>12.737865557301006</v>
      </c>
      <c r="O43" s="141">
        <v>3.9159815288717268</v>
      </c>
      <c r="Q43" s="151">
        <v>173.6508400136874</v>
      </c>
      <c r="R43" s="141">
        <v>53.385198556825195</v>
      </c>
      <c r="S43" s="141"/>
      <c r="T43" s="162">
        <v>325.27900000005985</v>
      </c>
      <c r="U43" s="163">
        <v>535.52800000030322</v>
      </c>
      <c r="V43" s="169"/>
      <c r="Y43" s="135"/>
      <c r="Z43" s="151"/>
      <c r="AA43" s="151"/>
      <c r="AB43" s="135"/>
      <c r="AC43" s="151"/>
      <c r="AE43" s="135"/>
      <c r="AF43" s="151"/>
    </row>
    <row r="44" spans="1:32" x14ac:dyDescent="0.2">
      <c r="A44" t="str">
        <f>name!A42</f>
        <v>Accommodation</v>
      </c>
      <c r="B44" s="151">
        <v>2144.1589999988464</v>
      </c>
      <c r="C44" s="141">
        <v>6.9319996689400423</v>
      </c>
      <c r="D44" s="165">
        <v>100</v>
      </c>
      <c r="E44" s="151">
        <v>2258.3650000006869</v>
      </c>
      <c r="F44" s="141">
        <v>6.8022560683698323</v>
      </c>
      <c r="H44" s="151">
        <v>114.20600000184029</v>
      </c>
      <c r="I44" s="141">
        <v>5.3263773816168358</v>
      </c>
      <c r="K44" s="151">
        <v>157.28118028861411</v>
      </c>
      <c r="L44" s="141">
        <v>7.3353319547990017</v>
      </c>
      <c r="N44" s="151">
        <v>-2.9437720148788173</v>
      </c>
      <c r="O44" s="141">
        <v>-0.13729261751952168</v>
      </c>
      <c r="Q44" s="151">
        <v>-40.131408271894998</v>
      </c>
      <c r="R44" s="141">
        <v>-1.8716619556626439</v>
      </c>
      <c r="S44" s="141"/>
      <c r="T44" s="162">
        <v>2144.1589999988464</v>
      </c>
      <c r="U44" s="163">
        <v>2258.3650000006869</v>
      </c>
      <c r="V44" s="169"/>
      <c r="Y44" s="135"/>
      <c r="Z44" s="151"/>
      <c r="AA44" s="151"/>
      <c r="AB44" s="135"/>
      <c r="AC44" s="151"/>
      <c r="AE44" s="135"/>
      <c r="AF44" s="151"/>
    </row>
    <row r="45" spans="1:32" x14ac:dyDescent="0.2">
      <c r="A45" t="str">
        <f>name!A43</f>
        <v>Food and beverage services</v>
      </c>
      <c r="B45" s="151">
        <v>197.47100000001379</v>
      </c>
      <c r="C45" s="141">
        <v>0.63841762976817074</v>
      </c>
      <c r="D45" s="165">
        <v>100</v>
      </c>
      <c r="E45" s="151">
        <v>286.78200000015835</v>
      </c>
      <c r="F45" s="141">
        <v>0.86379509060746196</v>
      </c>
      <c r="H45" s="151">
        <v>89.311000000144531</v>
      </c>
      <c r="I45" s="141">
        <v>45.227400479127716</v>
      </c>
      <c r="K45" s="151">
        <v>14.485153364462148</v>
      </c>
      <c r="L45" s="141">
        <v>7.3353319547990017</v>
      </c>
      <c r="N45" s="151">
        <v>5.1136230156045031</v>
      </c>
      <c r="O45" s="141">
        <v>2.5895564491009546</v>
      </c>
      <c r="Q45" s="151">
        <v>69.712223620077879</v>
      </c>
      <c r="R45" s="141">
        <v>35.30251207522776</v>
      </c>
      <c r="S45" s="141"/>
      <c r="T45" s="162">
        <v>197.47100000001379</v>
      </c>
      <c r="U45" s="163">
        <v>286.78200000015835</v>
      </c>
      <c r="V45" s="169"/>
      <c r="Y45" s="135"/>
      <c r="Z45" s="151"/>
      <c r="AA45" s="151"/>
      <c r="AB45" s="135"/>
      <c r="AC45" s="151"/>
      <c r="AE45" s="135"/>
      <c r="AF45" s="151"/>
    </row>
    <row r="46" spans="1:32" x14ac:dyDescent="0.2">
      <c r="A46" t="str">
        <f>name!A44</f>
        <v>Publishing activities</v>
      </c>
      <c r="B46" s="151">
        <v>187.13600000001301</v>
      </c>
      <c r="C46" s="141">
        <v>0.60500489471515484</v>
      </c>
      <c r="D46" s="165">
        <v>100</v>
      </c>
      <c r="E46" s="151">
        <v>179.50800000009909</v>
      </c>
      <c r="F46" s="141">
        <v>0.54068291986513894</v>
      </c>
      <c r="H46" s="151">
        <v>-7.6279999999139108</v>
      </c>
      <c r="I46" s="141">
        <v>-4.076179890514589</v>
      </c>
      <c r="K46" s="151">
        <v>13.727046806933613</v>
      </c>
      <c r="L46" s="141">
        <v>7.3353319547990017</v>
      </c>
      <c r="N46" s="151">
        <v>-1.4594109356690108</v>
      </c>
      <c r="O46" s="141">
        <v>-0.77986647981623491</v>
      </c>
      <c r="Q46" s="151">
        <v>-19.895635871178513</v>
      </c>
      <c r="R46" s="141">
        <v>-10.631645365497354</v>
      </c>
      <c r="S46" s="141"/>
      <c r="T46" s="162">
        <v>187.13600000001301</v>
      </c>
      <c r="U46" s="162">
        <v>179.50800000009909</v>
      </c>
      <c r="V46" s="169"/>
      <c r="Y46" s="135"/>
      <c r="Z46" s="151"/>
      <c r="AA46" s="151"/>
      <c r="AB46" s="135"/>
      <c r="AC46" s="151"/>
      <c r="AE46" s="135"/>
      <c r="AF46" s="151"/>
    </row>
    <row r="47" spans="1:32" x14ac:dyDescent="0.2">
      <c r="A47" t="str">
        <f>name!A45</f>
        <v>Film and music</v>
      </c>
      <c r="B47" s="151">
        <v>199.87700000026544</v>
      </c>
      <c r="C47" s="141">
        <v>0.64619615328495417</v>
      </c>
      <c r="D47" s="165">
        <v>100</v>
      </c>
      <c r="E47" s="151">
        <v>198.79299999997147</v>
      </c>
      <c r="F47" s="141">
        <v>0.59876985810479655</v>
      </c>
      <c r="H47" s="151">
        <v>-1.0840000002939487</v>
      </c>
      <c r="I47" s="141">
        <v>-0.54233353527044592</v>
      </c>
      <c r="K47" s="151">
        <v>14.66164145131307</v>
      </c>
      <c r="L47" s="141">
        <v>7.3353319547990017</v>
      </c>
      <c r="N47" s="151">
        <v>-1.0760623252874428</v>
      </c>
      <c r="O47" s="141">
        <v>-0.53836225543009641</v>
      </c>
      <c r="Q47" s="151">
        <v>-14.669579126319576</v>
      </c>
      <c r="R47" s="141">
        <v>-7.3393032346393507</v>
      </c>
      <c r="S47" s="141"/>
      <c r="T47" s="162">
        <v>199.87700000026544</v>
      </c>
      <c r="U47" s="162">
        <v>198.79299999997147</v>
      </c>
      <c r="V47" s="169"/>
      <c r="Y47" s="135"/>
      <c r="Z47" s="135"/>
      <c r="AA47" s="135"/>
      <c r="AB47" s="135"/>
      <c r="AC47" s="135"/>
      <c r="AE47" s="135"/>
      <c r="AF47" s="151"/>
    </row>
    <row r="48" spans="1:32" x14ac:dyDescent="0.2">
      <c r="A48" t="str">
        <f>name!A46</f>
        <v>Broadcasting</v>
      </c>
      <c r="B48" s="151">
        <v>438.62000000015314</v>
      </c>
      <c r="C48" s="141">
        <v>1.4180448813698885</v>
      </c>
      <c r="D48" s="165">
        <v>100</v>
      </c>
      <c r="E48" s="151">
        <v>414.383999999926</v>
      </c>
      <c r="F48" s="141">
        <v>1.2481357436171761</v>
      </c>
      <c r="H48" s="151">
        <v>-24.236000000227126</v>
      </c>
      <c r="I48" s="141">
        <v>-5.525511832615627</v>
      </c>
      <c r="K48" s="151">
        <v>32.174233020150616</v>
      </c>
      <c r="L48" s="141">
        <v>7.3353319547990017</v>
      </c>
      <c r="N48" s="151">
        <v>-3.8550939128439801</v>
      </c>
      <c r="O48" s="141">
        <v>-0.87891430232151613</v>
      </c>
      <c r="Q48" s="151">
        <v>-52.555139107533762</v>
      </c>
      <c r="R48" s="141">
        <v>-11.981929485093113</v>
      </c>
      <c r="S48" s="141"/>
      <c r="T48" s="162">
        <v>438.62000000015314</v>
      </c>
      <c r="U48" s="162">
        <v>414.383999999926</v>
      </c>
      <c r="Y48" s="135"/>
      <c r="Z48" s="135"/>
      <c r="AA48" s="135"/>
      <c r="AB48" s="135"/>
      <c r="AC48" s="135"/>
      <c r="AE48" s="135"/>
    </row>
    <row r="49" spans="1:21" x14ac:dyDescent="0.2">
      <c r="A49" t="str">
        <f>name!A47</f>
        <v>Telecommunications</v>
      </c>
      <c r="B49" s="151">
        <v>613.98799999968332</v>
      </c>
      <c r="C49" s="141">
        <v>1.9850041963927363</v>
      </c>
      <c r="D49" s="165">
        <v>100</v>
      </c>
      <c r="E49" s="151">
        <v>538.85800000020777</v>
      </c>
      <c r="F49" s="141">
        <v>1.6230547765706296</v>
      </c>
      <c r="H49" s="151">
        <v>-75.129999999475544</v>
      </c>
      <c r="I49" s="141">
        <v>-12.236395499507205</v>
      </c>
      <c r="K49" s="151">
        <v>45.038057962608065</v>
      </c>
      <c r="L49" s="141">
        <v>7.3353319547990017</v>
      </c>
      <c r="N49" s="151">
        <v>-8.2123246787610498</v>
      </c>
      <c r="O49" s="141">
        <v>-1.3375383034791049</v>
      </c>
      <c r="Q49" s="151">
        <v>-111.95573328332256</v>
      </c>
      <c r="R49" s="141">
        <v>-18.234189150827103</v>
      </c>
      <c r="S49" s="141"/>
      <c r="T49" s="162">
        <v>613.98799999968332</v>
      </c>
      <c r="U49" s="162">
        <v>538.85800000020777</v>
      </c>
    </row>
    <row r="50" spans="1:21" x14ac:dyDescent="0.2">
      <c r="A50" t="str">
        <f>name!A48</f>
        <v>Computing services</v>
      </c>
      <c r="B50" s="151">
        <v>132.72299999993143</v>
      </c>
      <c r="C50" s="141">
        <v>0.42908935021178413</v>
      </c>
      <c r="D50" s="165">
        <v>100</v>
      </c>
      <c r="E50" s="151">
        <v>135.03200000005205</v>
      </c>
      <c r="F50" s="141">
        <v>0.40672001267474028</v>
      </c>
      <c r="H50" s="151">
        <v>2.3090000001206064</v>
      </c>
      <c r="I50" s="141">
        <v>1.7397135388152762</v>
      </c>
      <c r="K50" s="151">
        <v>9.7356726303628491</v>
      </c>
      <c r="L50" s="141">
        <v>7.3353319547990017</v>
      </c>
      <c r="N50" s="151">
        <v>-0.50754125477889156</v>
      </c>
      <c r="O50" s="141">
        <v>-0.38240640640970575</v>
      </c>
      <c r="Q50" s="151">
        <v>-6.9191313754633512</v>
      </c>
      <c r="R50" s="141">
        <v>-5.2132120095740202</v>
      </c>
      <c r="S50" s="141"/>
      <c r="T50" s="162">
        <v>132.72299999993143</v>
      </c>
      <c r="U50" s="162">
        <v>135.03200000005205</v>
      </c>
    </row>
    <row r="51" spans="1:21" x14ac:dyDescent="0.2">
      <c r="A51" t="str">
        <f>name!A49</f>
        <v>Information services</v>
      </c>
      <c r="B51" s="151">
        <v>312.76299999983866</v>
      </c>
      <c r="C51" s="141">
        <v>1.0111530966018576</v>
      </c>
      <c r="D51" s="165">
        <v>100</v>
      </c>
      <c r="E51" s="151">
        <v>502.44200000019339</v>
      </c>
      <c r="F51" s="141">
        <v>1.5133688059743005</v>
      </c>
      <c r="H51" s="151">
        <v>189.6790000003547</v>
      </c>
      <c r="I51" s="141">
        <v>60.646240124456078</v>
      </c>
      <c r="K51" s="151">
        <v>22.942204281776167</v>
      </c>
      <c r="L51" s="141">
        <v>7.3353319547990017</v>
      </c>
      <c r="N51" s="151">
        <v>11.394847562313828</v>
      </c>
      <c r="O51" s="141">
        <v>3.6432850312599978</v>
      </c>
      <c r="Q51" s="151">
        <v>155.34194815626472</v>
      </c>
      <c r="R51" s="141">
        <v>49.667623138397076</v>
      </c>
      <c r="S51" s="141"/>
      <c r="T51" s="162">
        <v>312.76299999983866</v>
      </c>
      <c r="U51" s="162">
        <v>502.44200000019339</v>
      </c>
    </row>
    <row r="52" spans="1:21" x14ac:dyDescent="0.2">
      <c r="A52" t="str">
        <f>name!A50</f>
        <v>Financial services</v>
      </c>
      <c r="B52" s="151">
        <v>548.61799999979723</v>
      </c>
      <c r="C52" s="141">
        <v>1.7736650100926228</v>
      </c>
      <c r="D52" s="165">
        <v>100</v>
      </c>
      <c r="E52" s="151">
        <v>580.38300000007268</v>
      </c>
      <c r="F52" s="141">
        <v>1.7481291924591382</v>
      </c>
      <c r="H52" s="151">
        <v>31.765000000275439</v>
      </c>
      <c r="I52" s="141">
        <v>5.7900032445685667</v>
      </c>
      <c r="K52" s="151">
        <v>40.242951463764314</v>
      </c>
      <c r="L52" s="141">
        <v>7.3353319547990017</v>
      </c>
      <c r="N52" s="151">
        <v>-0.57938599665903823</v>
      </c>
      <c r="O52" s="141">
        <v>-0.10560827327197655</v>
      </c>
      <c r="Q52" s="151">
        <v>-7.8985654668298366</v>
      </c>
      <c r="R52" s="141">
        <v>-1.4397204369584586</v>
      </c>
      <c r="S52" s="141"/>
      <c r="T52" s="162">
        <v>548.61799999979723</v>
      </c>
      <c r="U52" s="162">
        <v>580.38300000007268</v>
      </c>
    </row>
    <row r="53" spans="1:21" x14ac:dyDescent="0.2">
      <c r="A53" t="str">
        <f>name!A51</f>
        <v>Insurance and pensions</v>
      </c>
      <c r="B53" s="151">
        <v>1501.1650000006377</v>
      </c>
      <c r="C53" s="141">
        <v>4.8532199725087537</v>
      </c>
      <c r="D53" s="165">
        <v>100</v>
      </c>
      <c r="E53" s="151">
        <v>1898.5639999980804</v>
      </c>
      <c r="F53" s="141">
        <v>5.7185257875372297</v>
      </c>
      <c r="H53" s="151">
        <v>397.39899999744262</v>
      </c>
      <c r="I53" s="141">
        <v>26.472706198004467</v>
      </c>
      <c r="K53" s="151">
        <v>110.11543593930521</v>
      </c>
      <c r="L53" s="141">
        <v>7.3353319547990017</v>
      </c>
      <c r="N53" s="151">
        <v>19.633053433064049</v>
      </c>
      <c r="O53" s="141">
        <v>1.3078544619049677</v>
      </c>
      <c r="Q53" s="151">
        <v>267.65051062507337</v>
      </c>
      <c r="R53" s="141">
        <v>17.829519781300501</v>
      </c>
      <c r="S53" s="141"/>
      <c r="T53" s="162">
        <v>1501.1650000006377</v>
      </c>
      <c r="U53" s="162">
        <v>1898.5639999980804</v>
      </c>
    </row>
    <row r="54" spans="1:21" x14ac:dyDescent="0.2">
      <c r="A54" t="str">
        <f>name!A52</f>
        <v>Auxiliary financial services</v>
      </c>
      <c r="B54" s="151">
        <v>471.13500000027409</v>
      </c>
      <c r="C54" s="141">
        <v>1.5231648697833153</v>
      </c>
      <c r="D54" s="165">
        <v>100</v>
      </c>
      <c r="E54" s="151">
        <v>502.06400000003481</v>
      </c>
      <c r="F54" s="141">
        <v>1.5122302598159418</v>
      </c>
      <c r="H54" s="151">
        <v>30.928999999760709</v>
      </c>
      <c r="I54" s="141">
        <v>6.5647850403265977</v>
      </c>
      <c r="K54" s="151">
        <v>34.559316205262384</v>
      </c>
      <c r="L54" s="141">
        <v>7.3353319547990017</v>
      </c>
      <c r="N54" s="151">
        <v>-0.24809700574137494</v>
      </c>
      <c r="O54" s="141">
        <v>-5.2659430044728284E-2</v>
      </c>
      <c r="Q54" s="151">
        <v>-3.3822191997602999</v>
      </c>
      <c r="R54" s="141">
        <v>-0.71788748442767625</v>
      </c>
      <c r="S54" s="141"/>
      <c r="T54" s="162">
        <v>471.13500000027409</v>
      </c>
      <c r="U54" s="162">
        <v>502.06400000003481</v>
      </c>
    </row>
    <row r="55" spans="1:21" x14ac:dyDescent="0.2">
      <c r="A55" t="str">
        <f>name!A53</f>
        <v>Real estate</v>
      </c>
      <c r="B55" s="151">
        <v>106.49900000005229</v>
      </c>
      <c r="C55" s="141">
        <v>0.34430797004476121</v>
      </c>
      <c r="D55" s="165">
        <v>100</v>
      </c>
      <c r="E55" s="151">
        <v>125.1209999999075</v>
      </c>
      <c r="F55" s="141">
        <v>0.37686781433896366</v>
      </c>
      <c r="H55" s="151">
        <v>18.621999999855209</v>
      </c>
      <c r="I55" s="141">
        <v>17.485610193378402</v>
      </c>
      <c r="K55" s="151">
        <v>7.8120551785452239</v>
      </c>
      <c r="L55" s="141">
        <v>7.3353319547990017</v>
      </c>
      <c r="N55" s="151">
        <v>0.73875519116819888</v>
      </c>
      <c r="O55" s="141">
        <v>0.6936733595318606</v>
      </c>
      <c r="Q55" s="151">
        <v>10.071189630141788</v>
      </c>
      <c r="R55" s="141">
        <v>9.4566048790475428</v>
      </c>
      <c r="S55" s="141"/>
      <c r="T55" s="162">
        <v>106.49900000005229</v>
      </c>
      <c r="U55" s="162">
        <v>125.1209999999075</v>
      </c>
    </row>
    <row r="56" spans="1:21" x14ac:dyDescent="0.2">
      <c r="A56" t="str">
        <f>name!A54</f>
        <v>Legal and accounting</v>
      </c>
      <c r="B56" s="151">
        <v>216.71200000001988</v>
      </c>
      <c r="C56" s="141">
        <v>0.7006231871126537</v>
      </c>
      <c r="D56" s="165">
        <v>100</v>
      </c>
      <c r="E56" s="151">
        <v>307.62700000008448</v>
      </c>
      <c r="F56" s="141">
        <v>0.92658079076869526</v>
      </c>
      <c r="H56" s="151">
        <v>90.91500000006458</v>
      </c>
      <c r="I56" s="141">
        <v>41.951991583325444</v>
      </c>
      <c r="K56" s="151">
        <v>15.89654458588547</v>
      </c>
      <c r="L56" s="141">
        <v>7.3353319547990017</v>
      </c>
      <c r="N56" s="151">
        <v>5.1267859629951857</v>
      </c>
      <c r="O56" s="141">
        <v>2.3657139258530746</v>
      </c>
      <c r="Q56" s="151">
        <v>69.89166945118393</v>
      </c>
      <c r="R56" s="141">
        <v>32.25094570267337</v>
      </c>
      <c r="S56" s="141"/>
      <c r="T56" s="162">
        <v>216.71200000001988</v>
      </c>
      <c r="U56" s="162">
        <v>307.62700000008448</v>
      </c>
    </row>
    <row r="57" spans="1:21" ht="12.75" customHeight="1" x14ac:dyDescent="0.2">
      <c r="A57" t="str">
        <f>name!A55</f>
        <v>Head offices, etc</v>
      </c>
      <c r="B57" s="151">
        <v>488.51200000004457</v>
      </c>
      <c r="C57" s="141">
        <v>1.5793441728320374</v>
      </c>
      <c r="D57" s="165">
        <v>100</v>
      </c>
      <c r="E57" s="151">
        <v>554.93600000015249</v>
      </c>
      <c r="F57" s="141">
        <v>1.6714821446297523</v>
      </c>
      <c r="H57" s="151">
        <v>66.424000000107924</v>
      </c>
      <c r="I57" s="141">
        <v>13.597209485151206</v>
      </c>
      <c r="K57" s="151">
        <v>35.833976839030967</v>
      </c>
      <c r="L57" s="141">
        <v>7.3353319547990017</v>
      </c>
      <c r="N57" s="151">
        <v>2.0905322628152163</v>
      </c>
      <c r="O57" s="141">
        <v>0.42793877383053552</v>
      </c>
      <c r="Q57" s="151">
        <v>28.49949089826174</v>
      </c>
      <c r="R57" s="141">
        <v>5.83393875652167</v>
      </c>
      <c r="S57" s="141"/>
      <c r="T57" s="162">
        <v>488.51200000004457</v>
      </c>
      <c r="U57" s="162">
        <v>554.93600000015249</v>
      </c>
    </row>
    <row r="58" spans="1:21" x14ac:dyDescent="0.2">
      <c r="A58" t="str">
        <f>name!A56</f>
        <v>Architectural and related</v>
      </c>
      <c r="B58" s="151">
        <v>154.33900000012474</v>
      </c>
      <c r="C58" s="141">
        <v>0.49897320903252856</v>
      </c>
      <c r="D58" s="165">
        <v>100</v>
      </c>
      <c r="E58" s="151">
        <v>141.48199999997618</v>
      </c>
      <c r="F58" s="141">
        <v>0.42614758600343433</v>
      </c>
      <c r="H58" s="151">
        <v>-12.857000000148545</v>
      </c>
      <c r="I58" s="141">
        <v>-8.3303636800407901</v>
      </c>
      <c r="K58" s="151">
        <v>11.321277985726381</v>
      </c>
      <c r="L58" s="141">
        <v>7.3353319547990017</v>
      </c>
      <c r="N58" s="151">
        <v>-1.6523514847514473</v>
      </c>
      <c r="O58" s="141">
        <v>-1.0705988018259234</v>
      </c>
      <c r="Q58" s="151">
        <v>-22.525926501123479</v>
      </c>
      <c r="R58" s="141">
        <v>-14.595096833013868</v>
      </c>
      <c r="S58" s="141"/>
      <c r="T58" s="162">
        <v>154.33900000012474</v>
      </c>
      <c r="U58" s="162">
        <v>141.48199999997618</v>
      </c>
    </row>
    <row r="59" spans="1:21" x14ac:dyDescent="0.2">
      <c r="A59" t="str">
        <f>name!A57</f>
        <v>Scientific research and development</v>
      </c>
      <c r="B59" s="151">
        <v>945.30400000076372</v>
      </c>
      <c r="C59" s="141">
        <v>3.0561385676419133</v>
      </c>
      <c r="D59" s="165">
        <v>100</v>
      </c>
      <c r="E59" s="151">
        <v>1147.9249999998067</v>
      </c>
      <c r="F59" s="141">
        <v>3.4575809478449013</v>
      </c>
      <c r="H59" s="151">
        <v>202.62099999904308</v>
      </c>
      <c r="I59" s="141">
        <v>21.434480336365802</v>
      </c>
      <c r="K59" s="151">
        <v>69.341186382049173</v>
      </c>
      <c r="L59" s="141">
        <v>7.3353319547990017</v>
      </c>
      <c r="N59" s="151">
        <v>9.1083863807875787</v>
      </c>
      <c r="O59" s="141">
        <v>0.96354044633051583</v>
      </c>
      <c r="Q59" s="151">
        <v>124.17142723620634</v>
      </c>
      <c r="R59" s="141">
        <v>13.135607935236285</v>
      </c>
      <c r="S59" s="141"/>
      <c r="T59" s="162">
        <v>945.30400000076372</v>
      </c>
      <c r="U59" s="162">
        <v>1147.9249999998067</v>
      </c>
    </row>
    <row r="60" spans="1:21" x14ac:dyDescent="0.2">
      <c r="A60" t="str">
        <f>name!A58</f>
        <v>Advertising, etc</v>
      </c>
      <c r="B60" s="151">
        <v>116.95000000009452</v>
      </c>
      <c r="C60" s="141">
        <v>0.37809572950682724</v>
      </c>
      <c r="D60" s="165">
        <v>100</v>
      </c>
      <c r="E60" s="151">
        <v>118.9089999999799</v>
      </c>
      <c r="F60" s="141">
        <v>0.35815710340596213</v>
      </c>
      <c r="H60" s="151">
        <v>1.9589999998853891</v>
      </c>
      <c r="I60" s="141">
        <v>1.6750748181990645</v>
      </c>
      <c r="K60" s="151">
        <v>8.5786707211443645</v>
      </c>
      <c r="L60" s="141">
        <v>7.3353319547989999</v>
      </c>
      <c r="N60" s="151">
        <v>-0.45239047839668522</v>
      </c>
      <c r="O60" s="141">
        <v>-0.38682383787628871</v>
      </c>
      <c r="Q60" s="151">
        <v>-6.1672802428622902</v>
      </c>
      <c r="R60" s="141">
        <v>-5.2734332987236474</v>
      </c>
      <c r="S60" s="141"/>
      <c r="T60" s="162">
        <v>116.95000000009452</v>
      </c>
      <c r="U60" s="162">
        <v>118.9089999999799</v>
      </c>
    </row>
    <row r="61" spans="1:21" ht="12.75" customHeight="1" x14ac:dyDescent="0.2">
      <c r="A61" t="str">
        <f>name!A59</f>
        <v>Other professional</v>
      </c>
      <c r="B61" s="151">
        <v>1329.574000001074</v>
      </c>
      <c r="C61" s="141">
        <v>4.2984715815588732</v>
      </c>
      <c r="D61" s="165">
        <v>100</v>
      </c>
      <c r="E61" s="151">
        <v>1355.4139999997719</v>
      </c>
      <c r="F61" s="141">
        <v>4.0825433916346876</v>
      </c>
      <c r="H61" s="151">
        <v>25.839999998697778</v>
      </c>
      <c r="I61" s="141">
        <v>1.9434796407478565</v>
      </c>
      <c r="K61" s="151">
        <v>97.528666484778057</v>
      </c>
      <c r="L61" s="141">
        <v>7.3353319547990017</v>
      </c>
      <c r="N61" s="151">
        <v>-4.899227090420851</v>
      </c>
      <c r="O61" s="141">
        <v>-0.36848096385886708</v>
      </c>
      <c r="Q61" s="151">
        <v>-66.789439395659429</v>
      </c>
      <c r="R61" s="141">
        <v>-5.0233713501922779</v>
      </c>
      <c r="S61" s="141"/>
      <c r="T61" s="162">
        <v>1329.574000001074</v>
      </c>
      <c r="U61" s="162">
        <v>1355.4139999997719</v>
      </c>
    </row>
    <row r="62" spans="1:21" ht="12.75" customHeight="1" x14ac:dyDescent="0.2">
      <c r="A62" t="str">
        <f>name!A60</f>
        <v>Veterinary</v>
      </c>
      <c r="B62" s="151">
        <v>1373.6089999998901</v>
      </c>
      <c r="C62" s="141">
        <v>4.4408353733363164</v>
      </c>
      <c r="D62" s="165">
        <v>100</v>
      </c>
      <c r="E62" s="151">
        <v>1410.480000000412</v>
      </c>
      <c r="F62" s="141">
        <v>4.2484036634087783</v>
      </c>
      <c r="H62" s="151">
        <v>36.87100000052201</v>
      </c>
      <c r="I62" s="141">
        <v>2.6842427503405233</v>
      </c>
      <c r="K62" s="151">
        <v>100.75877991098696</v>
      </c>
      <c r="L62" s="141">
        <v>7.3353319547990017</v>
      </c>
      <c r="N62" s="151">
        <v>-4.366111931304566</v>
      </c>
      <c r="O62" s="141">
        <v>-0.31785696885393994</v>
      </c>
      <c r="Q62" s="151">
        <v>-59.521667979160384</v>
      </c>
      <c r="R62" s="141">
        <v>-4.3332322356045383</v>
      </c>
      <c r="S62" s="141"/>
      <c r="T62" s="162">
        <v>1373.6089999998901</v>
      </c>
      <c r="U62" s="162">
        <v>1410.480000000412</v>
      </c>
    </row>
    <row r="63" spans="1:21" x14ac:dyDescent="0.2">
      <c r="A63" t="str">
        <f>name!A61</f>
        <v>Rental and leasing</v>
      </c>
      <c r="B63" s="151">
        <v>2644.983000000736</v>
      </c>
      <c r="C63" s="141">
        <v>8.5511481566278444</v>
      </c>
      <c r="D63" s="165">
        <v>100</v>
      </c>
      <c r="E63" s="151">
        <v>2641.450000001309</v>
      </c>
      <c r="F63" s="141">
        <v>7.9561183829004314</v>
      </c>
      <c r="H63" s="151">
        <v>-3.5329999994267709</v>
      </c>
      <c r="I63" s="141">
        <v>-0.13357363731357774</v>
      </c>
      <c r="K63" s="151">
        <v>194.01828319805523</v>
      </c>
      <c r="L63" s="141">
        <v>7.3353319547989999</v>
      </c>
      <c r="N63" s="151">
        <v>-13.500719790574287</v>
      </c>
      <c r="O63" s="141">
        <v>-0.51042746930965266</v>
      </c>
      <c r="Q63" s="151">
        <v>-184.05056340690771</v>
      </c>
      <c r="R63" s="141">
        <v>-6.9584781228029264</v>
      </c>
      <c r="S63" s="141"/>
      <c r="T63" s="162">
        <v>2644.983000000736</v>
      </c>
      <c r="U63" s="162">
        <v>2641.450000001309</v>
      </c>
    </row>
    <row r="64" spans="1:21" x14ac:dyDescent="0.2">
      <c r="A64" t="str">
        <f>name!A62</f>
        <v>Employment activities</v>
      </c>
      <c r="B64" s="151">
        <v>2374.4340000002467</v>
      </c>
      <c r="C64" s="141">
        <v>7.6764716151789791</v>
      </c>
      <c r="D64" s="165">
        <v>100</v>
      </c>
      <c r="E64" s="151">
        <v>2612.1830000006412</v>
      </c>
      <c r="F64" s="141">
        <v>7.8679653924150754</v>
      </c>
      <c r="H64" s="151">
        <v>237.7490000003944</v>
      </c>
      <c r="I64" s="141">
        <v>10.012870435664656</v>
      </c>
      <c r="K64" s="151">
        <v>174.17261594763022</v>
      </c>
      <c r="L64" s="141">
        <v>7.3353319547990017</v>
      </c>
      <c r="N64" s="151">
        <v>4.3448310357788387</v>
      </c>
      <c r="O64" s="141">
        <v>0.18298386208159026</v>
      </c>
      <c r="Q64" s="151">
        <v>59.231553016985345</v>
      </c>
      <c r="R64" s="141">
        <v>2.4945546187840635</v>
      </c>
      <c r="S64" s="141"/>
      <c r="T64" s="162">
        <v>2374.4340000002467</v>
      </c>
      <c r="U64" s="162">
        <v>2612.1830000006412</v>
      </c>
    </row>
    <row r="65" spans="1:21" x14ac:dyDescent="0.2">
      <c r="A65" t="str">
        <f>name!A63</f>
        <v>Travel, etc</v>
      </c>
      <c r="B65" s="151">
        <v>1674.2150000001743</v>
      </c>
      <c r="C65" s="141">
        <v>5.4126852652913824</v>
      </c>
      <c r="D65" s="165">
        <v>100</v>
      </c>
      <c r="E65" s="151">
        <v>1674.3130000004107</v>
      </c>
      <c r="F65" s="141">
        <v>5.0430757493141405</v>
      </c>
      <c r="H65" s="151">
        <v>9.8000000236323159E-2</v>
      </c>
      <c r="I65" s="141">
        <v>5.8534895599617097E-3</v>
      </c>
      <c r="K65" s="151">
        <v>122.80922788705089</v>
      </c>
      <c r="L65" s="141">
        <v>7.3353319547990017</v>
      </c>
      <c r="N65" s="151">
        <v>-8.3861257494394739</v>
      </c>
      <c r="O65" s="141">
        <v>-0.50089897351526547</v>
      </c>
      <c r="Q65" s="151">
        <v>-114.3251021373751</v>
      </c>
      <c r="R65" s="141">
        <v>-6.8285794917237741</v>
      </c>
      <c r="S65" s="141"/>
      <c r="T65" s="162">
        <v>1674.2150000001743</v>
      </c>
      <c r="U65" s="162">
        <v>1674.3130000004107</v>
      </c>
    </row>
    <row r="66" spans="1:21" x14ac:dyDescent="0.2">
      <c r="A66" t="str">
        <f>name!A64</f>
        <v>Security, etc</v>
      </c>
      <c r="B66" s="151">
        <v>413.60599999980559</v>
      </c>
      <c r="C66" s="141">
        <v>1.3371753937426327</v>
      </c>
      <c r="D66" s="165">
        <v>100</v>
      </c>
      <c r="E66" s="151">
        <v>428.36800000013642</v>
      </c>
      <c r="F66" s="141">
        <v>1.2902559274056631</v>
      </c>
      <c r="H66" s="151">
        <v>14.762000000330852</v>
      </c>
      <c r="I66" s="141">
        <v>3.5690971601808945</v>
      </c>
      <c r="K66" s="151">
        <v>30.339373084951696</v>
      </c>
      <c r="L66" s="141">
        <v>7.3353319547990017</v>
      </c>
      <c r="N66" s="151">
        <v>-1.064562809640007</v>
      </c>
      <c r="O66" s="141">
        <v>-0.25738572690930678</v>
      </c>
      <c r="Q66" s="151">
        <v>-14.512810274980836</v>
      </c>
      <c r="R66" s="141">
        <v>-3.5088490677087996</v>
      </c>
      <c r="S66" s="141"/>
      <c r="T66" s="162">
        <v>413.60599999980559</v>
      </c>
      <c r="U66" s="162">
        <v>428.36800000013642</v>
      </c>
    </row>
    <row r="67" spans="1:21" x14ac:dyDescent="0.2">
      <c r="A67" t="str">
        <f>name!A65</f>
        <v>Services to buildings</v>
      </c>
      <c r="B67" s="151">
        <v>435.47399999979547</v>
      </c>
      <c r="C67" s="141">
        <v>1.4078739607613997</v>
      </c>
      <c r="D67" s="165">
        <v>100</v>
      </c>
      <c r="E67" s="151">
        <v>454.83400000014473</v>
      </c>
      <c r="F67" s="141">
        <v>1.3699722306185969</v>
      </c>
      <c r="H67" s="151">
        <v>19.360000000349245</v>
      </c>
      <c r="I67" s="141">
        <v>4.4457303996009729</v>
      </c>
      <c r="K67" s="151">
        <v>31.943463476826398</v>
      </c>
      <c r="L67" s="141">
        <v>7.3353319547990017</v>
      </c>
      <c r="N67" s="151">
        <v>-0.85995804046995161</v>
      </c>
      <c r="O67" s="141">
        <v>-0.19747632246020552</v>
      </c>
      <c r="Q67" s="151">
        <v>-11.723505436007201</v>
      </c>
      <c r="R67" s="141">
        <v>-2.6921252327378231</v>
      </c>
      <c r="S67" s="141"/>
      <c r="T67" s="162">
        <v>435.47399999979547</v>
      </c>
      <c r="U67" s="162">
        <v>454.83400000014473</v>
      </c>
    </row>
    <row r="68" spans="1:21" x14ac:dyDescent="0.2">
      <c r="A68" t="str">
        <f>name!A66</f>
        <v>Office administrative</v>
      </c>
      <c r="B68" s="151">
        <v>242.30100000016066</v>
      </c>
      <c r="C68" s="141">
        <v>0.78335163193861013</v>
      </c>
      <c r="D68" s="165">
        <v>100</v>
      </c>
      <c r="E68" s="151">
        <v>263.26700000002035</v>
      </c>
      <c r="F68" s="141">
        <v>0.79296727869547856</v>
      </c>
      <c r="H68" s="151">
        <v>20.965999999859719</v>
      </c>
      <c r="I68" s="141">
        <v>8.6528739047077057</v>
      </c>
      <c r="K68" s="151">
        <v>17.773582679809312</v>
      </c>
      <c r="L68" s="141">
        <v>7.3353319547990017</v>
      </c>
      <c r="N68" s="151">
        <v>0.2181708516137455</v>
      </c>
      <c r="O68" s="141">
        <v>9.0041251011593354E-2</v>
      </c>
      <c r="Q68" s="151">
        <v>2.974246468436661</v>
      </c>
      <c r="R68" s="141">
        <v>1.2275006988971109</v>
      </c>
      <c r="S68" s="141"/>
      <c r="T68" s="162">
        <v>242.30100000016066</v>
      </c>
      <c r="U68" s="162">
        <v>263.26700000002035</v>
      </c>
    </row>
    <row r="69" spans="1:21" x14ac:dyDescent="0.2">
      <c r="A69" t="str">
        <f>name!A67</f>
        <v>Public administration and defence</v>
      </c>
      <c r="B69" s="151">
        <v>90.647000000060117</v>
      </c>
      <c r="C69" s="141">
        <v>0.29305894478495426</v>
      </c>
      <c r="D69" s="165">
        <v>100</v>
      </c>
      <c r="E69" s="151">
        <v>97.768000000007532</v>
      </c>
      <c r="F69" s="141">
        <v>0.29447984329027005</v>
      </c>
      <c r="H69" s="151">
        <v>7.1209999999474238</v>
      </c>
      <c r="I69" s="141">
        <v>7.8557481217720406</v>
      </c>
      <c r="K69" s="151">
        <v>6.6492583570710604</v>
      </c>
      <c r="L69" s="141">
        <v>7.3353319547990017</v>
      </c>
      <c r="N69" s="151">
        <v>3.2238979321913774E-2</v>
      </c>
      <c r="O69" s="141">
        <v>3.5565412337851661E-2</v>
      </c>
      <c r="Q69" s="151">
        <v>0.43950266355444967</v>
      </c>
      <c r="R69" s="141">
        <v>0.48485075463518729</v>
      </c>
      <c r="S69" s="141"/>
      <c r="T69" s="162">
        <v>90.647000000060117</v>
      </c>
      <c r="U69" s="162">
        <v>97.768000000007532</v>
      </c>
    </row>
    <row r="70" spans="1:21" x14ac:dyDescent="0.2">
      <c r="A70" t="str">
        <f>name!A68</f>
        <v xml:space="preserve">Education </v>
      </c>
      <c r="B70" s="151">
        <v>541.20600000035859</v>
      </c>
      <c r="C70" s="141">
        <v>1.7497022435523057</v>
      </c>
      <c r="D70" s="165">
        <v>100</v>
      </c>
      <c r="E70" s="151">
        <v>583.72000000004539</v>
      </c>
      <c r="F70" s="141">
        <v>1.75818032613326</v>
      </c>
      <c r="H70" s="151">
        <v>42.513999999686845</v>
      </c>
      <c r="I70" s="141">
        <v>7.8554191933678998</v>
      </c>
      <c r="K70" s="151">
        <v>39.699256659315786</v>
      </c>
      <c r="L70" s="141">
        <v>7.3353319547990017</v>
      </c>
      <c r="N70" s="151">
        <v>0.19236048739177392</v>
      </c>
      <c r="O70" s="141">
        <v>3.5542933262315363E-2</v>
      </c>
      <c r="Q70" s="151">
        <v>2.6223828529792854</v>
      </c>
      <c r="R70" s="141">
        <v>0.48454430530658343</v>
      </c>
      <c r="S70" s="141"/>
      <c r="T70" s="162">
        <v>541.20600000035859</v>
      </c>
      <c r="U70" s="162">
        <v>583.72000000004539</v>
      </c>
    </row>
    <row r="71" spans="1:21" x14ac:dyDescent="0.2">
      <c r="A71" t="str">
        <f>name!A69</f>
        <v>Health</v>
      </c>
      <c r="B71" s="151">
        <v>89.69100000005939</v>
      </c>
      <c r="C71" s="141">
        <v>0.28996822638043518</v>
      </c>
      <c r="D71" s="165">
        <v>100</v>
      </c>
      <c r="E71" s="151">
        <v>93.170000000007207</v>
      </c>
      <c r="F71" s="141">
        <v>0.28063054372958912</v>
      </c>
      <c r="H71" s="151">
        <v>3.4789999999478169</v>
      </c>
      <c r="I71" s="141">
        <v>3.8788730195287302</v>
      </c>
      <c r="K71" s="151">
        <v>6.5791325835831289</v>
      </c>
      <c r="L71" s="141">
        <v>7.3353319547990017</v>
      </c>
      <c r="N71" s="151">
        <v>-0.21186408231755838</v>
      </c>
      <c r="O71" s="141">
        <v>-0.23621554260451783</v>
      </c>
      <c r="Q71" s="151">
        <v>-2.8882685013177536</v>
      </c>
      <c r="R71" s="141">
        <v>-3.2202433926657537</v>
      </c>
      <c r="S71" s="141"/>
      <c r="T71" s="162">
        <v>89.69100000005939</v>
      </c>
      <c r="U71" s="162">
        <v>93.170000000007207</v>
      </c>
    </row>
    <row r="72" spans="1:21" x14ac:dyDescent="0.2">
      <c r="A72" s="24" t="str">
        <f>name!A3</f>
        <v>All industries</v>
      </c>
      <c r="B72" s="152">
        <v>30931.320000000887</v>
      </c>
      <c r="C72" s="147">
        <v>100</v>
      </c>
      <c r="D72" s="197">
        <v>100</v>
      </c>
      <c r="E72" s="152">
        <v>33200.235000002089</v>
      </c>
      <c r="F72" s="147">
        <v>100</v>
      </c>
      <c r="G72" s="145"/>
      <c r="H72" s="152">
        <v>2268.9150000011996</v>
      </c>
      <c r="I72" s="147">
        <v>7.3353319547990017</v>
      </c>
      <c r="J72" s="145"/>
      <c r="K72" s="152">
        <v>2268.9150000011996</v>
      </c>
      <c r="L72" s="147">
        <v>7.3353319547990017</v>
      </c>
      <c r="M72" s="145"/>
      <c r="N72" s="152">
        <v>-2.5920599000528455E-11</v>
      </c>
      <c r="O72" s="147">
        <v>-8.3800494128694509E-14</v>
      </c>
      <c r="P72" s="145"/>
      <c r="Q72" s="152">
        <v>2.5963231564674061E-11</v>
      </c>
      <c r="R72" s="147">
        <v>2.7161651386449669E-13</v>
      </c>
      <c r="S72" s="147"/>
      <c r="T72" s="167">
        <v>30931.320000000887</v>
      </c>
      <c r="U72" s="167">
        <v>33200.235000002089</v>
      </c>
    </row>
    <row r="75" spans="1:21" x14ac:dyDescent="0.2">
      <c r="A75" s="170" t="s">
        <v>79</v>
      </c>
      <c r="B75" s="171"/>
      <c r="C75" s="171"/>
      <c r="D75" s="171"/>
      <c r="E75" s="171"/>
    </row>
    <row r="76" spans="1:21" x14ac:dyDescent="0.2">
      <c r="A76" s="389" t="s">
        <v>80</v>
      </c>
      <c r="B76" s="389"/>
      <c r="C76" s="389"/>
      <c r="D76" s="389"/>
      <c r="E76" s="389"/>
      <c r="F76" s="389"/>
      <c r="G76" s="389"/>
      <c r="H76" s="389"/>
      <c r="I76" s="389"/>
      <c r="J76" s="389"/>
      <c r="K76" s="389"/>
      <c r="L76" s="389"/>
      <c r="M76" s="389"/>
      <c r="N76" s="389"/>
      <c r="O76" s="389"/>
      <c r="P76" s="389"/>
      <c r="Q76" s="389"/>
      <c r="R76" s="389"/>
    </row>
    <row r="77" spans="1:21" x14ac:dyDescent="0.2">
      <c r="A77" s="389" t="s">
        <v>81</v>
      </c>
      <c r="B77" s="389"/>
      <c r="C77" s="389"/>
      <c r="D77" s="389"/>
      <c r="E77" s="389"/>
      <c r="F77" s="389"/>
      <c r="G77" s="389"/>
      <c r="H77" s="389"/>
      <c r="I77" s="389"/>
      <c r="J77" s="389"/>
      <c r="K77" s="389"/>
      <c r="L77" s="389"/>
      <c r="M77" s="389"/>
      <c r="N77" s="389"/>
      <c r="O77" s="389"/>
      <c r="P77" s="389"/>
      <c r="Q77" s="389"/>
      <c r="R77" s="389"/>
    </row>
    <row r="78" spans="1:21" x14ac:dyDescent="0.2">
      <c r="A78" s="389" t="s">
        <v>82</v>
      </c>
      <c r="B78" s="389"/>
      <c r="C78" s="389"/>
      <c r="D78" s="389"/>
      <c r="E78" s="389"/>
      <c r="F78" s="389"/>
      <c r="G78" s="389"/>
      <c r="H78" s="389"/>
      <c r="I78" s="389"/>
      <c r="J78" s="389"/>
      <c r="K78" s="389"/>
      <c r="L78" s="389"/>
      <c r="M78" s="389"/>
      <c r="N78" s="389"/>
      <c r="O78" s="389"/>
      <c r="P78" s="389"/>
      <c r="Q78" s="389"/>
      <c r="R78" s="389"/>
    </row>
    <row r="79" spans="1:21" x14ac:dyDescent="0.2">
      <c r="A79" s="389" t="s">
        <v>83</v>
      </c>
      <c r="B79" s="389"/>
      <c r="C79" s="389"/>
      <c r="D79" s="389"/>
      <c r="E79" s="389"/>
      <c r="F79" s="389"/>
      <c r="G79" s="389"/>
      <c r="H79" s="389"/>
      <c r="I79" s="389"/>
      <c r="J79" s="389"/>
      <c r="K79" s="389"/>
      <c r="L79" s="389"/>
      <c r="M79" s="389"/>
      <c r="N79" s="389"/>
      <c r="O79" s="389"/>
      <c r="P79" s="389"/>
      <c r="Q79" s="389"/>
      <c r="R79" s="389"/>
    </row>
    <row r="80" spans="1:21" x14ac:dyDescent="0.2">
      <c r="A80" s="389" t="s">
        <v>84</v>
      </c>
      <c r="B80" s="389"/>
      <c r="C80" s="389"/>
      <c r="D80" s="389"/>
      <c r="E80" s="389"/>
      <c r="F80" s="389"/>
      <c r="G80" s="389"/>
      <c r="H80" s="389"/>
      <c r="I80" s="389"/>
      <c r="J80" s="389"/>
      <c r="K80" s="389"/>
      <c r="L80" s="389"/>
      <c r="M80" s="389"/>
      <c r="N80" s="389"/>
      <c r="O80" s="389"/>
      <c r="P80" s="389"/>
      <c r="Q80" s="389"/>
      <c r="R80" s="389"/>
    </row>
    <row r="81" spans="1:18" x14ac:dyDescent="0.2">
      <c r="A81" s="389" t="s">
        <v>85</v>
      </c>
      <c r="B81" s="389"/>
      <c r="C81" s="389"/>
      <c r="D81" s="389"/>
      <c r="E81" s="389"/>
      <c r="F81" s="389"/>
      <c r="G81" s="389"/>
      <c r="H81" s="389"/>
      <c r="I81" s="389"/>
      <c r="J81" s="389"/>
      <c r="K81" s="389"/>
      <c r="L81" s="389"/>
      <c r="M81" s="389"/>
      <c r="N81" s="389"/>
      <c r="O81" s="389"/>
      <c r="P81" s="389"/>
      <c r="Q81" s="389"/>
      <c r="R81" s="389"/>
    </row>
  </sheetData>
  <mergeCells count="10">
    <mergeCell ref="A77:R77"/>
    <mergeCell ref="A78:R78"/>
    <mergeCell ref="A79:R79"/>
    <mergeCell ref="A80:R80"/>
    <mergeCell ref="A81:R81"/>
    <mergeCell ref="K2:R2"/>
    <mergeCell ref="K3:L3"/>
    <mergeCell ref="N3:O3"/>
    <mergeCell ref="Q3:R3"/>
    <mergeCell ref="A76:R76"/>
  </mergeCells>
  <pageMargins left="0.39370078740157483" right="0.39370078740157483" top="0.74803149606299213" bottom="0.74803149606299213" header="0.31496062992125984" footer="0.31496062992125984"/>
  <pageSetup paperSize="9" scale="61" orientation="landscape" r:id="rId1"/>
  <rowBreaks count="1" manualBreakCount="1">
    <brk id="34" max="16383" man="1"/>
  </rowBreaks>
  <colBreaks count="1" manualBreakCount="1">
    <brk id="24" max="1048575" man="1"/>
  </colBreaks>
</worksheet>
</file>

<file path=xl/worksheets/sheet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300-000000000000}">
  <sheetPr codeName="Sheet53"/>
  <dimension ref="A1:BH97"/>
  <sheetViews>
    <sheetView zoomScale="85" zoomScaleNormal="85" workbookViewId="0">
      <selection activeCell="A9" sqref="A9"/>
    </sheetView>
  </sheetViews>
  <sheetFormatPr defaultColWidth="9.140625" defaultRowHeight="12.75" x14ac:dyDescent="0.2"/>
  <cols>
    <col min="1" max="1" width="18.140625" style="91" customWidth="1"/>
    <col min="2" max="6" width="7.7109375" style="91" customWidth="1"/>
    <col min="7" max="7" width="3.5703125" style="91" customWidth="1"/>
    <col min="8" max="12" width="7.7109375" style="91" customWidth="1"/>
    <col min="13" max="13" width="3.5703125" style="91" customWidth="1"/>
    <col min="14" max="18" width="7.7109375" style="91" customWidth="1"/>
    <col min="19" max="19" width="3.5703125" style="91" customWidth="1"/>
    <col min="20" max="24" width="7.7109375" style="91" customWidth="1"/>
    <col min="25" max="16384" width="9.140625" style="91"/>
  </cols>
  <sheetData>
    <row r="1" spans="1:60" ht="15.75" x14ac:dyDescent="0.25">
      <c r="A1" s="19" t="str">
        <f>CONCATENATE("Basic Table 2a  Population by Gender, Age Group and ISCED Qualification, ",Info!B8,", ",$B$5,"-",$F$5)</f>
        <v>Basic Table 2a  Population by Gender, Age Group and ISCED Qualification, , 2008-2025</v>
      </c>
      <c r="P1" s="181" t="s">
        <v>111</v>
      </c>
      <c r="Y1" s="19" t="str">
        <f>CONCATENATE("Basic Table 2a  Population by Gender, Age Group and ISCED Qualification, ",Info!B8,", ",$B$5,"-",$F$5," (continued)")</f>
        <v>Basic Table 2a  Population by Gender, Age Group and ISCED Qualification, , 2008-2025 (continued)</v>
      </c>
      <c r="AQ1" s="19" t="str">
        <f>CONCATENATE("Basic Table 2a  Population by Gender, Age Group and ISCED Qualification, ",Info!B8,", ",$B$5,"-",$F$5, " (continued)")</f>
        <v>Basic Table 2a  Population by Gender, Age Group and ISCED Qualification, , 2008-2025 (continued)</v>
      </c>
    </row>
    <row r="2" spans="1:60" ht="12.75" customHeight="1" x14ac:dyDescent="0.2">
      <c r="W2" s="385" t="s">
        <v>13</v>
      </c>
      <c r="X2" s="385"/>
      <c r="AP2" s="121" t="s">
        <v>13</v>
      </c>
      <c r="BH2" s="121" t="s">
        <v>13</v>
      </c>
    </row>
    <row r="3" spans="1:60" x14ac:dyDescent="0.2">
      <c r="A3" s="118" t="s">
        <v>107</v>
      </c>
      <c r="B3" s="184" t="s">
        <v>124</v>
      </c>
      <c r="C3" s="184"/>
      <c r="D3" s="185"/>
      <c r="E3" s="184"/>
      <c r="F3" s="184"/>
      <c r="G3" s="118"/>
      <c r="H3" s="184" t="s">
        <v>52</v>
      </c>
      <c r="I3" s="184"/>
      <c r="J3" s="184"/>
      <c r="K3" s="184"/>
      <c r="L3" s="184"/>
      <c r="M3" s="118"/>
      <c r="N3" s="184" t="s">
        <v>53</v>
      </c>
      <c r="O3" s="184"/>
      <c r="P3" s="184"/>
      <c r="Q3" s="184"/>
      <c r="R3" s="184"/>
      <c r="S3" s="118"/>
      <c r="T3" s="390" t="s">
        <v>54</v>
      </c>
      <c r="U3" s="390"/>
      <c r="V3" s="390"/>
      <c r="W3" s="390"/>
      <c r="X3" s="390"/>
      <c r="Y3" s="118" t="s">
        <v>107</v>
      </c>
      <c r="Z3" s="390" t="s">
        <v>125</v>
      </c>
      <c r="AA3" s="390"/>
      <c r="AB3" s="390"/>
      <c r="AC3" s="390"/>
      <c r="AD3" s="390"/>
      <c r="AE3" s="118"/>
      <c r="AF3" s="184" t="s">
        <v>55</v>
      </c>
      <c r="AG3" s="184"/>
      <c r="AH3" s="184"/>
      <c r="AI3" s="184"/>
      <c r="AJ3" s="184"/>
      <c r="AK3" s="118"/>
      <c r="AL3" s="390" t="s">
        <v>56</v>
      </c>
      <c r="AM3" s="390"/>
      <c r="AN3" s="390"/>
      <c r="AO3" s="390"/>
      <c r="AP3" s="390"/>
      <c r="AQ3" s="118" t="s">
        <v>107</v>
      </c>
      <c r="AR3" s="390" t="s">
        <v>126</v>
      </c>
      <c r="AS3" s="390"/>
      <c r="AT3" s="390"/>
      <c r="AU3" s="390"/>
      <c r="AV3" s="390"/>
      <c r="AW3" s="118"/>
      <c r="AX3" s="184" t="s">
        <v>57</v>
      </c>
      <c r="AY3" s="184"/>
      <c r="AZ3" s="184"/>
      <c r="BA3" s="184"/>
      <c r="BB3" s="184"/>
      <c r="BC3" s="118"/>
      <c r="BD3" s="390" t="s">
        <v>58</v>
      </c>
      <c r="BE3" s="390"/>
      <c r="BF3" s="390"/>
      <c r="BG3" s="390"/>
      <c r="BH3" s="390"/>
    </row>
    <row r="4" spans="1:60" x14ac:dyDescent="0.2">
      <c r="A4" s="180" t="s">
        <v>110</v>
      </c>
      <c r="B4" s="186"/>
      <c r="C4" s="186"/>
      <c r="D4" s="186"/>
      <c r="E4" s="186"/>
      <c r="F4" s="186"/>
      <c r="G4" s="92"/>
      <c r="H4" s="186"/>
      <c r="I4" s="186"/>
      <c r="J4" s="186"/>
      <c r="K4" s="186"/>
      <c r="L4" s="186"/>
      <c r="M4" s="92"/>
      <c r="N4" s="186"/>
      <c r="O4" s="186"/>
      <c r="P4" s="186"/>
      <c r="Q4" s="186"/>
      <c r="R4" s="186"/>
      <c r="S4" s="92"/>
      <c r="T4" s="186"/>
      <c r="U4" s="186"/>
      <c r="V4" s="186"/>
      <c r="W4" s="186"/>
      <c r="X4" s="186"/>
      <c r="Y4" s="180" t="s">
        <v>110</v>
      </c>
      <c r="Z4" s="186"/>
      <c r="AA4" s="186"/>
      <c r="AB4" s="186"/>
      <c r="AC4" s="186"/>
      <c r="AD4" s="186"/>
      <c r="AE4" s="92"/>
      <c r="AF4" s="186"/>
      <c r="AG4" s="186"/>
      <c r="AH4" s="186"/>
      <c r="AI4" s="186"/>
      <c r="AJ4" s="186"/>
      <c r="AK4" s="92"/>
      <c r="AL4" s="186"/>
      <c r="AM4" s="186"/>
      <c r="AN4" s="186"/>
      <c r="AO4" s="186"/>
      <c r="AP4" s="186"/>
      <c r="AQ4" s="180" t="s">
        <v>110</v>
      </c>
      <c r="AR4" s="186"/>
      <c r="AS4" s="186"/>
      <c r="AT4" s="186"/>
      <c r="AU4" s="186"/>
      <c r="AV4" s="186"/>
      <c r="AW4" s="92"/>
      <c r="AX4" s="186"/>
      <c r="AY4" s="186"/>
      <c r="AZ4" s="186"/>
      <c r="BA4" s="186"/>
      <c r="BB4" s="186"/>
      <c r="BC4" s="92"/>
      <c r="BD4" s="186"/>
      <c r="BE4" s="186"/>
      <c r="BF4" s="186"/>
      <c r="BG4" s="186"/>
      <c r="BH4" s="186"/>
    </row>
    <row r="5" spans="1:60" x14ac:dyDescent="0.2">
      <c r="A5" s="179"/>
      <c r="B5" s="187">
        <v>2008</v>
      </c>
      <c r="C5" s="187">
        <v>2010</v>
      </c>
      <c r="D5" s="187">
        <v>2015</v>
      </c>
      <c r="E5" s="187">
        <v>2020</v>
      </c>
      <c r="F5" s="120">
        <v>2025</v>
      </c>
      <c r="G5" s="120"/>
      <c r="H5" s="120">
        <f>B5</f>
        <v>2008</v>
      </c>
      <c r="I5" s="120">
        <f>C5</f>
        <v>2010</v>
      </c>
      <c r="J5" s="120">
        <f>D5</f>
        <v>2015</v>
      </c>
      <c r="K5" s="120">
        <f>E5</f>
        <v>2020</v>
      </c>
      <c r="L5" s="120">
        <f>F5</f>
        <v>2025</v>
      </c>
      <c r="M5" s="120"/>
      <c r="N5" s="120">
        <f>B5</f>
        <v>2008</v>
      </c>
      <c r="O5" s="120">
        <f>C5</f>
        <v>2010</v>
      </c>
      <c r="P5" s="120">
        <f>D5</f>
        <v>2015</v>
      </c>
      <c r="Q5" s="120">
        <f>E5</f>
        <v>2020</v>
      </c>
      <c r="R5" s="120">
        <f>F5</f>
        <v>2025</v>
      </c>
      <c r="S5" s="120"/>
      <c r="T5" s="120">
        <f>B5</f>
        <v>2008</v>
      </c>
      <c r="U5" s="120">
        <f>C5</f>
        <v>2010</v>
      </c>
      <c r="V5" s="120">
        <f>D5</f>
        <v>2015</v>
      </c>
      <c r="W5" s="120">
        <f>E5</f>
        <v>2020</v>
      </c>
      <c r="X5" s="120">
        <f>F5</f>
        <v>2025</v>
      </c>
      <c r="Y5" s="179"/>
      <c r="Z5" s="187">
        <v>2008</v>
      </c>
      <c r="AA5" s="187">
        <v>2010</v>
      </c>
      <c r="AB5" s="187">
        <v>2012</v>
      </c>
      <c r="AC5" s="187">
        <v>2015</v>
      </c>
      <c r="AD5" s="180">
        <v>2020</v>
      </c>
      <c r="AE5" s="120"/>
      <c r="AF5" s="120">
        <f>Z5</f>
        <v>2008</v>
      </c>
      <c r="AG5" s="120">
        <f>AA5</f>
        <v>2010</v>
      </c>
      <c r="AH5" s="120">
        <f>AB5</f>
        <v>2012</v>
      </c>
      <c r="AI5" s="120">
        <f>AC5</f>
        <v>2015</v>
      </c>
      <c r="AJ5" s="120">
        <f>AD5</f>
        <v>2020</v>
      </c>
      <c r="AK5" s="120"/>
      <c r="AL5" s="120">
        <f>Z5</f>
        <v>2008</v>
      </c>
      <c r="AM5" s="120">
        <f>AA5</f>
        <v>2010</v>
      </c>
      <c r="AN5" s="120">
        <f>AB5</f>
        <v>2012</v>
      </c>
      <c r="AO5" s="120">
        <f>AC5</f>
        <v>2015</v>
      </c>
      <c r="AP5" s="120">
        <f>AD5</f>
        <v>2020</v>
      </c>
      <c r="AQ5" s="179"/>
      <c r="AR5" s="187">
        <v>2008</v>
      </c>
      <c r="AS5" s="187">
        <v>2010</v>
      </c>
      <c r="AT5" s="187">
        <v>2012</v>
      </c>
      <c r="AU5" s="187">
        <v>2015</v>
      </c>
      <c r="AV5" s="180">
        <v>2020</v>
      </c>
      <c r="AW5" s="120"/>
      <c r="AX5" s="120">
        <f>AR5</f>
        <v>2008</v>
      </c>
      <c r="AY5" s="120">
        <f>AS5</f>
        <v>2010</v>
      </c>
      <c r="AZ5" s="120">
        <f>AT5</f>
        <v>2012</v>
      </c>
      <c r="BA5" s="120">
        <f>AU5</f>
        <v>2015</v>
      </c>
      <c r="BB5" s="120">
        <f>AV5</f>
        <v>2020</v>
      </c>
      <c r="BC5" s="120"/>
      <c r="BD5" s="120">
        <f>AR5</f>
        <v>2008</v>
      </c>
      <c r="BE5" s="120">
        <f>AS5</f>
        <v>2010</v>
      </c>
      <c r="BF5" s="120">
        <f>AT5</f>
        <v>2012</v>
      </c>
      <c r="BG5" s="120">
        <f>AU5</f>
        <v>2015</v>
      </c>
      <c r="BH5" s="120">
        <f>AV5</f>
        <v>2020</v>
      </c>
    </row>
    <row r="6" spans="1:60" x14ac:dyDescent="0.2">
      <c r="A6" s="114" t="s">
        <v>106</v>
      </c>
      <c r="F6" s="188"/>
      <c r="G6" s="188"/>
      <c r="H6" s="188"/>
      <c r="I6" s="188"/>
      <c r="J6" s="188"/>
      <c r="K6" s="188"/>
      <c r="L6" s="188"/>
      <c r="M6" s="188"/>
      <c r="N6" s="188"/>
      <c r="O6" s="188"/>
      <c r="P6" s="188"/>
      <c r="Q6" s="188"/>
      <c r="R6" s="188"/>
      <c r="S6" s="188"/>
      <c r="Y6" s="114" t="str">
        <f>A6</f>
        <v>Males and females</v>
      </c>
      <c r="AD6" s="188"/>
      <c r="AE6" s="188"/>
      <c r="AF6" s="188"/>
      <c r="AG6" s="188"/>
      <c r="AH6" s="188"/>
      <c r="AI6" s="188"/>
      <c r="AJ6" s="188"/>
      <c r="AK6" s="188"/>
      <c r="AL6" s="188"/>
      <c r="AM6" s="188"/>
      <c r="AN6" s="188"/>
      <c r="AO6" s="188"/>
      <c r="AP6" s="188"/>
      <c r="AQ6" s="114" t="str">
        <f>A6</f>
        <v>Males and females</v>
      </c>
      <c r="AV6" s="188"/>
      <c r="AW6" s="188"/>
      <c r="AX6" s="188"/>
      <c r="AY6" s="188"/>
      <c r="AZ6" s="188"/>
      <c r="BA6" s="188"/>
      <c r="BB6" s="188"/>
      <c r="BC6" s="188"/>
      <c r="BD6" s="188"/>
      <c r="BE6" s="188"/>
      <c r="BF6" s="188"/>
      <c r="BG6" s="188"/>
      <c r="BH6" s="188"/>
    </row>
    <row r="7" spans="1:60" x14ac:dyDescent="0.2">
      <c r="A7" s="91" t="s">
        <v>123</v>
      </c>
      <c r="B7" s="189">
        <f>SUM(B21,B35)</f>
        <v>3459.4640427147242</v>
      </c>
      <c r="C7" s="189">
        <f t="shared" ref="C7:F7" si="0">SUM(C21,C35)</f>
        <v>3400.2899538632541</v>
      </c>
      <c r="D7" s="189">
        <f t="shared" si="0"/>
        <v>3045.4402650537522</v>
      </c>
      <c r="E7" s="189">
        <f t="shared" si="0"/>
        <v>2678.9714989136332</v>
      </c>
      <c r="F7" s="189">
        <f t="shared" si="0"/>
        <v>2317.0105072138758</v>
      </c>
      <c r="G7" s="188"/>
      <c r="H7" s="189">
        <f>SUM(H21,H35)</f>
        <v>1679.4259754428681</v>
      </c>
      <c r="I7" s="189">
        <f t="shared" ref="I7:L7" si="1">SUM(I21,I35)</f>
        <v>1648.317888485841</v>
      </c>
      <c r="J7" s="189">
        <f t="shared" si="1"/>
        <v>1477.7490935463652</v>
      </c>
      <c r="K7" s="189">
        <f t="shared" si="1"/>
        <v>1288.2296891194944</v>
      </c>
      <c r="L7" s="189">
        <f t="shared" si="1"/>
        <v>1088.2685344941576</v>
      </c>
      <c r="M7" s="188"/>
      <c r="N7" s="189">
        <f>SUM(N21,N35)</f>
        <v>1780.0380672718561</v>
      </c>
      <c r="O7" s="189">
        <f t="shared" ref="O7:R7" si="2">SUM(O21,O35)</f>
        <v>1751.9720653774136</v>
      </c>
      <c r="P7" s="189">
        <f t="shared" si="2"/>
        <v>1567.6911715073866</v>
      </c>
      <c r="Q7" s="189">
        <f t="shared" si="2"/>
        <v>1390.7418097941386</v>
      </c>
      <c r="R7" s="189">
        <f t="shared" si="2"/>
        <v>1228.7419727197182</v>
      </c>
      <c r="S7" s="188"/>
      <c r="T7" s="189">
        <f>SUM(T21,T35)</f>
        <v>0</v>
      </c>
      <c r="U7" s="189">
        <f t="shared" ref="U7:X7" si="3">SUM(U21,U35)</f>
        <v>0</v>
      </c>
      <c r="V7" s="189">
        <f t="shared" si="3"/>
        <v>0</v>
      </c>
      <c r="W7" s="189">
        <f t="shared" si="3"/>
        <v>0</v>
      </c>
      <c r="X7" s="189">
        <f t="shared" si="3"/>
        <v>0</v>
      </c>
      <c r="Y7" s="91" t="str">
        <f>A7</f>
        <v>15+</v>
      </c>
      <c r="Z7" s="189">
        <f>SUM(Z21,Z35)</f>
        <v>3091.791884793171</v>
      </c>
      <c r="AA7" s="189">
        <f t="shared" ref="AA7:AD7" si="4">SUM(AA21,AA35)</f>
        <v>3065.8806069644388</v>
      </c>
      <c r="AB7" s="189">
        <f t="shared" si="4"/>
        <v>3409.3013579609269</v>
      </c>
      <c r="AC7" s="189">
        <f t="shared" si="4"/>
        <v>3706.9349474249966</v>
      </c>
      <c r="AD7" s="189">
        <f t="shared" si="4"/>
        <v>4020.4986268054308</v>
      </c>
      <c r="AE7" s="188"/>
      <c r="AF7" s="189">
        <f>SUM(AF21,AF35)</f>
        <v>2927.4264642789112</v>
      </c>
      <c r="AG7" s="189">
        <f t="shared" ref="AG7:AJ7" si="5">SUM(AG21,AG35)</f>
        <v>2904.0501410418874</v>
      </c>
      <c r="AH7" s="189">
        <f t="shared" si="5"/>
        <v>3230.1495942820802</v>
      </c>
      <c r="AI7" s="189">
        <f t="shared" si="5"/>
        <v>3512.6427518955061</v>
      </c>
      <c r="AJ7" s="189">
        <f t="shared" si="5"/>
        <v>3811.1764268486331</v>
      </c>
      <c r="AK7" s="188"/>
      <c r="AL7" s="189">
        <f>SUM(AL21,AL35)</f>
        <v>164.36542051425988</v>
      </c>
      <c r="AM7" s="189">
        <f t="shared" ref="AM7:AP7" si="6">SUM(AM21,AM35)</f>
        <v>161.83046592255167</v>
      </c>
      <c r="AN7" s="189">
        <f t="shared" si="6"/>
        <v>179.15176367884681</v>
      </c>
      <c r="AO7" s="189">
        <f t="shared" si="6"/>
        <v>194.29219552948987</v>
      </c>
      <c r="AP7" s="189">
        <f t="shared" si="6"/>
        <v>209.3221999567977</v>
      </c>
      <c r="AQ7" s="91" t="str">
        <f>A7</f>
        <v>15+</v>
      </c>
      <c r="AR7" s="189">
        <f>SUM(AR21,AR35)</f>
        <v>2315.1550724921058</v>
      </c>
      <c r="AS7" s="189">
        <f t="shared" ref="AS7:AV7" si="7">SUM(AS21,AS35)</f>
        <v>2541.5004391723069</v>
      </c>
      <c r="AT7" s="189">
        <f t="shared" si="7"/>
        <v>2941.8093769853213</v>
      </c>
      <c r="AU7" s="189">
        <f t="shared" si="7"/>
        <v>3371.4645536613707</v>
      </c>
      <c r="AV7" s="189">
        <f t="shared" si="7"/>
        <v>3852.3018659806939</v>
      </c>
      <c r="AW7" s="188"/>
      <c r="AX7" s="189">
        <f>SUM(AX21,AX35)</f>
        <v>2273.2830854649774</v>
      </c>
      <c r="AY7" s="189">
        <f t="shared" ref="AY7:BB7" si="8">SUM(AY21,AY35)</f>
        <v>2495.5789443393905</v>
      </c>
      <c r="AZ7" s="189">
        <f t="shared" si="8"/>
        <v>2888.5095204216923</v>
      </c>
      <c r="BA7" s="189">
        <f t="shared" si="8"/>
        <v>3309.625834412429</v>
      </c>
      <c r="BB7" s="189">
        <f t="shared" si="8"/>
        <v>3780.5650780045271</v>
      </c>
      <c r="BC7" s="188"/>
      <c r="BD7" s="189">
        <f>SUM(BD21,BD35)</f>
        <v>41.87198702712827</v>
      </c>
      <c r="BE7" s="189">
        <f t="shared" ref="BE7:BH7" si="9">SUM(BE21,BE35)</f>
        <v>45.921494832916046</v>
      </c>
      <c r="BF7" s="189">
        <f t="shared" si="9"/>
        <v>53.299856563628751</v>
      </c>
      <c r="BG7" s="189">
        <f t="shared" si="9"/>
        <v>61.838719248942184</v>
      </c>
      <c r="BH7" s="189">
        <f t="shared" si="9"/>
        <v>71.736787976166625</v>
      </c>
    </row>
    <row r="8" spans="1:60" x14ac:dyDescent="0.2">
      <c r="A8" s="91" t="s">
        <v>113</v>
      </c>
      <c r="B8" s="189">
        <f t="shared" ref="B8:F18" si="10">SUM(B22,B36)</f>
        <v>501.63108046561928</v>
      </c>
      <c r="C8" s="189">
        <f t="shared" si="10"/>
        <v>493.36896304450306</v>
      </c>
      <c r="D8" s="189">
        <f t="shared" si="10"/>
        <v>467.66784217805935</v>
      </c>
      <c r="E8" s="189">
        <f t="shared" si="10"/>
        <v>467.57168305686275</v>
      </c>
      <c r="F8" s="189">
        <f t="shared" si="10"/>
        <v>503.21354379106839</v>
      </c>
      <c r="G8" s="188"/>
      <c r="H8" s="189">
        <f t="shared" ref="H8:L18" si="11">SUM(H22,H36)</f>
        <v>114.48583632559203</v>
      </c>
      <c r="I8" s="189">
        <f t="shared" si="11"/>
        <v>112.4668251880446</v>
      </c>
      <c r="J8" s="189">
        <f t="shared" si="11"/>
        <v>106.55167737427834</v>
      </c>
      <c r="K8" s="189">
        <f t="shared" si="11"/>
        <v>106.48887604298042</v>
      </c>
      <c r="L8" s="189">
        <f t="shared" si="11"/>
        <v>114.56799971676224</v>
      </c>
      <c r="M8" s="188"/>
      <c r="N8" s="189">
        <f t="shared" ref="N8:R18" si="12">SUM(N22,N36)</f>
        <v>387.14524414002727</v>
      </c>
      <c r="O8" s="189">
        <f t="shared" si="12"/>
        <v>380.90213785645847</v>
      </c>
      <c r="P8" s="189">
        <f t="shared" si="12"/>
        <v>361.11616480378109</v>
      </c>
      <c r="Q8" s="189">
        <f t="shared" si="12"/>
        <v>361.08280701388242</v>
      </c>
      <c r="R8" s="189">
        <f t="shared" si="12"/>
        <v>388.64554407430614</v>
      </c>
      <c r="S8" s="188"/>
      <c r="T8" s="189">
        <f t="shared" ref="T8:X18" si="13">SUM(T22,T36)</f>
        <v>0</v>
      </c>
      <c r="U8" s="189">
        <f t="shared" si="13"/>
        <v>0</v>
      </c>
      <c r="V8" s="189">
        <f t="shared" si="13"/>
        <v>0</v>
      </c>
      <c r="W8" s="189">
        <f t="shared" si="13"/>
        <v>0</v>
      </c>
      <c r="X8" s="189">
        <f t="shared" si="13"/>
        <v>0</v>
      </c>
      <c r="Y8" s="91" t="str">
        <f t="shared" ref="Y8:Y20" si="14">A8</f>
        <v>15-19</v>
      </c>
      <c r="Z8" s="189">
        <f t="shared" ref="Z8:AD18" si="15">SUM(Z22,Z36)</f>
        <v>150.08101199827104</v>
      </c>
      <c r="AA8" s="189">
        <f t="shared" si="15"/>
        <v>155.93795619324226</v>
      </c>
      <c r="AB8" s="189">
        <f t="shared" si="15"/>
        <v>164.99720704459003</v>
      </c>
      <c r="AC8" s="189">
        <f t="shared" si="15"/>
        <v>178.36278144057661</v>
      </c>
      <c r="AD8" s="189">
        <f t="shared" si="15"/>
        <v>207.50995998860915</v>
      </c>
      <c r="AE8" s="188"/>
      <c r="AF8" s="189">
        <f t="shared" ref="AF8:AJ18" si="16">SUM(AF22,AF36)</f>
        <v>147.86996763731275</v>
      </c>
      <c r="AG8" s="189">
        <f t="shared" si="16"/>
        <v>153.62639813852158</v>
      </c>
      <c r="AH8" s="189">
        <f t="shared" si="16"/>
        <v>162.54197557268748</v>
      </c>
      <c r="AI8" s="189">
        <f t="shared" si="16"/>
        <v>175.70743183187028</v>
      </c>
      <c r="AJ8" s="189">
        <f t="shared" si="16"/>
        <v>204.41892397369543</v>
      </c>
      <c r="AK8" s="188"/>
      <c r="AL8" s="189">
        <f t="shared" ref="AL8:AP18" si="17">SUM(AL22,AL36)</f>
        <v>2.2110443609582711</v>
      </c>
      <c r="AM8" s="189">
        <f t="shared" si="17"/>
        <v>2.3115580547206553</v>
      </c>
      <c r="AN8" s="189">
        <f t="shared" si="17"/>
        <v>2.4552314719025436</v>
      </c>
      <c r="AO8" s="189">
        <f t="shared" si="17"/>
        <v>2.6553496087063317</v>
      </c>
      <c r="AP8" s="189">
        <f t="shared" si="17"/>
        <v>3.0910360149137395</v>
      </c>
      <c r="AQ8" s="91" t="str">
        <f t="shared" ref="AQ8:AQ18" si="18">A8</f>
        <v>15-19</v>
      </c>
      <c r="AR8" s="189">
        <f t="shared" ref="AR8:AV18" si="19">SUM(AR22,AR36)</f>
        <v>0.60290753610971359</v>
      </c>
      <c r="AS8" s="189">
        <f t="shared" si="19"/>
        <v>1.3250807622546965</v>
      </c>
      <c r="AT8" s="189">
        <f t="shared" si="19"/>
        <v>1.9219507773505975</v>
      </c>
      <c r="AU8" s="189">
        <f t="shared" si="19"/>
        <v>1.9655355025605465</v>
      </c>
      <c r="AV8" s="189">
        <f t="shared" si="19"/>
        <v>2.1654962203224546</v>
      </c>
      <c r="AW8" s="188"/>
      <c r="AX8" s="189">
        <f t="shared" ref="AX8:BB18" si="20">SUM(AX22,AX36)</f>
        <v>0.54737466781637356</v>
      </c>
      <c r="AY8" s="189">
        <f t="shared" si="20"/>
        <v>1.2407671949430608</v>
      </c>
      <c r="AZ8" s="189">
        <f t="shared" si="20"/>
        <v>1.8657913659809988</v>
      </c>
      <c r="BA8" s="189">
        <f t="shared" si="20"/>
        <v>1.9082644770900146</v>
      </c>
      <c r="BB8" s="189">
        <f t="shared" si="20"/>
        <v>2.1026008851094398</v>
      </c>
      <c r="BC8" s="188"/>
      <c r="BD8" s="189">
        <f t="shared" ref="BD8:BH18" si="21">SUM(BD22,BD36)</f>
        <v>5.5532868293339949E-2</v>
      </c>
      <c r="BE8" s="189">
        <f t="shared" si="21"/>
        <v>8.4313567311635793E-2</v>
      </c>
      <c r="BF8" s="189">
        <f t="shared" si="21"/>
        <v>5.6159411369598657E-2</v>
      </c>
      <c r="BG8" s="189">
        <f t="shared" si="21"/>
        <v>5.7271025470531763E-2</v>
      </c>
      <c r="BH8" s="189">
        <f t="shared" si="21"/>
        <v>6.2895335213014894E-2</v>
      </c>
    </row>
    <row r="9" spans="1:60" x14ac:dyDescent="0.2">
      <c r="A9" s="91" t="s">
        <v>114</v>
      </c>
      <c r="B9" s="189">
        <f t="shared" si="10"/>
        <v>113.85056817629103</v>
      </c>
      <c r="C9" s="189">
        <f t="shared" si="10"/>
        <v>115.65112792404403</v>
      </c>
      <c r="D9" s="189">
        <f t="shared" si="10"/>
        <v>108.64656736044506</v>
      </c>
      <c r="E9" s="189">
        <f t="shared" si="10"/>
        <v>95.846387380896019</v>
      </c>
      <c r="F9" s="189">
        <f t="shared" si="10"/>
        <v>87.521667739268693</v>
      </c>
      <c r="G9" s="188"/>
      <c r="H9" s="189">
        <f t="shared" si="11"/>
        <v>36.71242366227203</v>
      </c>
      <c r="I9" s="189">
        <f t="shared" si="11"/>
        <v>37.140869961294854</v>
      </c>
      <c r="J9" s="189">
        <f t="shared" si="11"/>
        <v>34.405280511674597</v>
      </c>
      <c r="K9" s="189">
        <f t="shared" si="11"/>
        <v>30.323294922669287</v>
      </c>
      <c r="L9" s="189">
        <f t="shared" si="11"/>
        <v>27.681805786841899</v>
      </c>
      <c r="M9" s="188"/>
      <c r="N9" s="189">
        <f t="shared" si="12"/>
        <v>77.13814451401899</v>
      </c>
      <c r="O9" s="189">
        <f t="shared" si="12"/>
        <v>78.510257962749179</v>
      </c>
      <c r="P9" s="189">
        <f t="shared" si="12"/>
        <v>74.241286848770471</v>
      </c>
      <c r="Q9" s="189">
        <f t="shared" si="12"/>
        <v>65.523092458226728</v>
      </c>
      <c r="R9" s="189">
        <f t="shared" si="12"/>
        <v>59.839861952426787</v>
      </c>
      <c r="S9" s="188"/>
      <c r="T9" s="189">
        <f t="shared" si="13"/>
        <v>0</v>
      </c>
      <c r="U9" s="189">
        <f t="shared" si="13"/>
        <v>0</v>
      </c>
      <c r="V9" s="189">
        <f t="shared" si="13"/>
        <v>0</v>
      </c>
      <c r="W9" s="189">
        <f t="shared" si="13"/>
        <v>0</v>
      </c>
      <c r="X9" s="189">
        <f t="shared" si="13"/>
        <v>0</v>
      </c>
      <c r="Y9" s="91" t="str">
        <f t="shared" si="14"/>
        <v>20-24</v>
      </c>
      <c r="Z9" s="189">
        <f t="shared" si="15"/>
        <v>382.98069564153434</v>
      </c>
      <c r="AA9" s="189">
        <f t="shared" si="15"/>
        <v>394.35590193118628</v>
      </c>
      <c r="AB9" s="189">
        <f t="shared" si="15"/>
        <v>412.87076891444883</v>
      </c>
      <c r="AC9" s="189">
        <f t="shared" si="15"/>
        <v>399.37934349064994</v>
      </c>
      <c r="AD9" s="189">
        <f t="shared" si="15"/>
        <v>400.88677473503026</v>
      </c>
      <c r="AE9" s="188"/>
      <c r="AF9" s="189">
        <f t="shared" si="16"/>
        <v>363.98477719851724</v>
      </c>
      <c r="AG9" s="189">
        <f t="shared" si="16"/>
        <v>374.77312480698299</v>
      </c>
      <c r="AH9" s="189">
        <f t="shared" si="16"/>
        <v>392.37404871527087</v>
      </c>
      <c r="AI9" s="189">
        <f t="shared" si="16"/>
        <v>379.57670333802525</v>
      </c>
      <c r="AJ9" s="189">
        <f t="shared" si="16"/>
        <v>381.02605803364366</v>
      </c>
      <c r="AK9" s="188"/>
      <c r="AL9" s="189">
        <f t="shared" si="17"/>
        <v>18.995918443017182</v>
      </c>
      <c r="AM9" s="189">
        <f t="shared" si="17"/>
        <v>19.582777124203318</v>
      </c>
      <c r="AN9" s="189">
        <f t="shared" si="17"/>
        <v>20.49672019917795</v>
      </c>
      <c r="AO9" s="189">
        <f t="shared" si="17"/>
        <v>19.802640152624711</v>
      </c>
      <c r="AP9" s="189">
        <f t="shared" si="17"/>
        <v>19.860716701386607</v>
      </c>
      <c r="AQ9" s="91" t="str">
        <f t="shared" si="18"/>
        <v>20-24</v>
      </c>
      <c r="AR9" s="189">
        <f t="shared" si="19"/>
        <v>143.68473618217462</v>
      </c>
      <c r="AS9" s="189">
        <f t="shared" si="19"/>
        <v>150.71097014476959</v>
      </c>
      <c r="AT9" s="189">
        <f t="shared" si="19"/>
        <v>186.98366372510611</v>
      </c>
      <c r="AU9" s="189">
        <f t="shared" si="19"/>
        <v>201.56226912845403</v>
      </c>
      <c r="AV9" s="189">
        <f t="shared" si="19"/>
        <v>224.84155752570109</v>
      </c>
      <c r="AW9" s="188"/>
      <c r="AX9" s="189">
        <f t="shared" si="20"/>
        <v>143.33653114819879</v>
      </c>
      <c r="AY9" s="189">
        <f t="shared" si="20"/>
        <v>150.34362309651959</v>
      </c>
      <c r="AZ9" s="189">
        <f t="shared" si="20"/>
        <v>186.52415613000247</v>
      </c>
      <c r="BA9" s="189">
        <f t="shared" si="20"/>
        <v>201.06633972833936</v>
      </c>
      <c r="BB9" s="189">
        <f t="shared" si="20"/>
        <v>224.28837377749321</v>
      </c>
      <c r="BC9" s="188"/>
      <c r="BD9" s="189">
        <f t="shared" si="21"/>
        <v>0.34820503397584823</v>
      </c>
      <c r="BE9" s="189">
        <f t="shared" si="21"/>
        <v>0.36734704825001729</v>
      </c>
      <c r="BF9" s="189">
        <f t="shared" si="21"/>
        <v>0.4595075951036377</v>
      </c>
      <c r="BG9" s="189">
        <f t="shared" si="21"/>
        <v>0.49592940011468256</v>
      </c>
      <c r="BH9" s="189">
        <f t="shared" si="21"/>
        <v>0.55318374820788452</v>
      </c>
    </row>
    <row r="10" spans="1:60" x14ac:dyDescent="0.2">
      <c r="A10" s="91" t="s">
        <v>115</v>
      </c>
      <c r="B10" s="189">
        <f t="shared" si="10"/>
        <v>115.37907358541085</v>
      </c>
      <c r="C10" s="189">
        <f t="shared" si="10"/>
        <v>127.07460532220105</v>
      </c>
      <c r="D10" s="189">
        <f t="shared" si="10"/>
        <v>118.40314244947737</v>
      </c>
      <c r="E10" s="189">
        <f t="shared" si="10"/>
        <v>117.74066640587412</v>
      </c>
      <c r="F10" s="189">
        <f t="shared" si="10"/>
        <v>104.64926095222505</v>
      </c>
      <c r="G10" s="188"/>
      <c r="H10" s="189">
        <f t="shared" si="11"/>
        <v>40.798223765839786</v>
      </c>
      <c r="I10" s="189">
        <f t="shared" si="11"/>
        <v>45.065990030629422</v>
      </c>
      <c r="J10" s="189">
        <f t="shared" si="11"/>
        <v>41.916443930124132</v>
      </c>
      <c r="K10" s="189">
        <f t="shared" si="11"/>
        <v>41.603247748686108</v>
      </c>
      <c r="L10" s="189">
        <f t="shared" si="11"/>
        <v>36.975172705743539</v>
      </c>
      <c r="M10" s="188"/>
      <c r="N10" s="189">
        <f t="shared" si="12"/>
        <v>74.580849819571057</v>
      </c>
      <c r="O10" s="189">
        <f t="shared" si="12"/>
        <v>82.008615291571644</v>
      </c>
      <c r="P10" s="189">
        <f t="shared" si="12"/>
        <v>76.48669851935324</v>
      </c>
      <c r="Q10" s="189">
        <f t="shared" si="12"/>
        <v>76.137418657188022</v>
      </c>
      <c r="R10" s="189">
        <f t="shared" si="12"/>
        <v>67.674088246481503</v>
      </c>
      <c r="S10" s="188"/>
      <c r="T10" s="189">
        <f t="shared" si="13"/>
        <v>0</v>
      </c>
      <c r="U10" s="189">
        <f t="shared" si="13"/>
        <v>0</v>
      </c>
      <c r="V10" s="189">
        <f t="shared" si="13"/>
        <v>0</v>
      </c>
      <c r="W10" s="189">
        <f t="shared" si="13"/>
        <v>0</v>
      </c>
      <c r="X10" s="189">
        <f t="shared" si="13"/>
        <v>0</v>
      </c>
      <c r="Y10" s="91" t="str">
        <f t="shared" si="14"/>
        <v>25-29</v>
      </c>
      <c r="Z10" s="189">
        <f t="shared" si="15"/>
        <v>285.32401508902581</v>
      </c>
      <c r="AA10" s="189">
        <f t="shared" si="15"/>
        <v>266.19879984541552</v>
      </c>
      <c r="AB10" s="189">
        <f t="shared" si="15"/>
        <v>280.11568976670378</v>
      </c>
      <c r="AC10" s="189">
        <f t="shared" si="15"/>
        <v>295.3482302777582</v>
      </c>
      <c r="AD10" s="189">
        <f t="shared" si="15"/>
        <v>289.74487116781143</v>
      </c>
      <c r="AE10" s="188"/>
      <c r="AF10" s="189">
        <f t="shared" si="16"/>
        <v>264.71283723333693</v>
      </c>
      <c r="AG10" s="189">
        <f t="shared" si="16"/>
        <v>246.96600220301298</v>
      </c>
      <c r="AH10" s="189">
        <f t="shared" si="16"/>
        <v>260.0379790136522</v>
      </c>
      <c r="AI10" s="189">
        <f t="shared" si="16"/>
        <v>274.30243506375962</v>
      </c>
      <c r="AJ10" s="189">
        <f t="shared" si="16"/>
        <v>269.19630907068336</v>
      </c>
      <c r="AK10" s="188"/>
      <c r="AL10" s="189">
        <f t="shared" si="17"/>
        <v>20.611177855688922</v>
      </c>
      <c r="AM10" s="189">
        <f t="shared" si="17"/>
        <v>19.232797642402538</v>
      </c>
      <c r="AN10" s="189">
        <f t="shared" si="17"/>
        <v>20.077710753051615</v>
      </c>
      <c r="AO10" s="189">
        <f t="shared" si="17"/>
        <v>21.04579521399852</v>
      </c>
      <c r="AP10" s="189">
        <f t="shared" si="17"/>
        <v>20.548562097128041</v>
      </c>
      <c r="AQ10" s="91" t="str">
        <f t="shared" si="18"/>
        <v>25-29</v>
      </c>
      <c r="AR10" s="189">
        <f t="shared" si="19"/>
        <v>285.48891132556332</v>
      </c>
      <c r="AS10" s="189">
        <f t="shared" si="19"/>
        <v>298.43559483238334</v>
      </c>
      <c r="AT10" s="189">
        <f t="shared" si="19"/>
        <v>329.80716778381884</v>
      </c>
      <c r="AU10" s="189">
        <f t="shared" si="19"/>
        <v>365.58310331636773</v>
      </c>
      <c r="AV10" s="189">
        <f t="shared" si="19"/>
        <v>376.96286787996354</v>
      </c>
      <c r="AW10" s="188"/>
      <c r="AX10" s="189">
        <f t="shared" si="20"/>
        <v>282.70510559860855</v>
      </c>
      <c r="AY10" s="189">
        <f t="shared" si="20"/>
        <v>295.51880182634955</v>
      </c>
      <c r="AZ10" s="189">
        <f t="shared" si="20"/>
        <v>326.59395287550331</v>
      </c>
      <c r="BA10" s="189">
        <f t="shared" si="20"/>
        <v>362.02223728946319</v>
      </c>
      <c r="BB10" s="189">
        <f t="shared" si="20"/>
        <v>373.29368404794025</v>
      </c>
      <c r="BC10" s="188"/>
      <c r="BD10" s="189">
        <f t="shared" si="21"/>
        <v>2.7838057269548049</v>
      </c>
      <c r="BE10" s="189">
        <f t="shared" si="21"/>
        <v>2.916793006033831</v>
      </c>
      <c r="BF10" s="189">
        <f t="shared" si="21"/>
        <v>3.2132149083155843</v>
      </c>
      <c r="BG10" s="189">
        <f t="shared" si="21"/>
        <v>3.5608660269045256</v>
      </c>
      <c r="BH10" s="189">
        <f t="shared" si="21"/>
        <v>3.669183832023271</v>
      </c>
    </row>
    <row r="11" spans="1:60" x14ac:dyDescent="0.2">
      <c r="A11" s="91" t="s">
        <v>116</v>
      </c>
      <c r="B11" s="189">
        <f t="shared" si="10"/>
        <v>116.6348130799831</v>
      </c>
      <c r="C11" s="189">
        <f t="shared" si="10"/>
        <v>121.76030756867036</v>
      </c>
      <c r="D11" s="189">
        <f t="shared" si="10"/>
        <v>118.18823108583572</v>
      </c>
      <c r="E11" s="189">
        <f t="shared" si="10"/>
        <v>109.913241263863</v>
      </c>
      <c r="F11" s="189">
        <f t="shared" si="10"/>
        <v>93.676057480419587</v>
      </c>
      <c r="G11" s="188"/>
      <c r="H11" s="189">
        <f t="shared" si="11"/>
        <v>44.791528463722429</v>
      </c>
      <c r="I11" s="189">
        <f t="shared" si="11"/>
        <v>47.017124581566897</v>
      </c>
      <c r="J11" s="189">
        <f t="shared" si="11"/>
        <v>45.575297988406476</v>
      </c>
      <c r="K11" s="189">
        <f t="shared" si="11"/>
        <v>42.364426936905772</v>
      </c>
      <c r="L11" s="189">
        <f t="shared" si="11"/>
        <v>36.057194740501721</v>
      </c>
      <c r="M11" s="188"/>
      <c r="N11" s="189">
        <f t="shared" si="12"/>
        <v>71.843284616260675</v>
      </c>
      <c r="O11" s="189">
        <f t="shared" si="12"/>
        <v>74.743182987103467</v>
      </c>
      <c r="P11" s="189">
        <f t="shared" si="12"/>
        <v>72.612933097429249</v>
      </c>
      <c r="Q11" s="189">
        <f t="shared" si="12"/>
        <v>67.548814326957228</v>
      </c>
      <c r="R11" s="189">
        <f t="shared" si="12"/>
        <v>57.618862739917844</v>
      </c>
      <c r="S11" s="188"/>
      <c r="T11" s="189">
        <f t="shared" si="13"/>
        <v>0</v>
      </c>
      <c r="U11" s="189">
        <f t="shared" si="13"/>
        <v>0</v>
      </c>
      <c r="V11" s="189">
        <f t="shared" si="13"/>
        <v>0</v>
      </c>
      <c r="W11" s="189">
        <f t="shared" si="13"/>
        <v>0</v>
      </c>
      <c r="X11" s="189">
        <f t="shared" si="13"/>
        <v>0</v>
      </c>
      <c r="Y11" s="91" t="str">
        <f t="shared" si="14"/>
        <v>30-34</v>
      </c>
      <c r="Z11" s="189">
        <f t="shared" si="15"/>
        <v>275.1983307590632</v>
      </c>
      <c r="AA11" s="189">
        <f t="shared" si="15"/>
        <v>266.0829768237935</v>
      </c>
      <c r="AB11" s="189">
        <f t="shared" si="15"/>
        <v>285.51361958464611</v>
      </c>
      <c r="AC11" s="189">
        <f t="shared" si="15"/>
        <v>296.32015564557162</v>
      </c>
      <c r="AD11" s="189">
        <f t="shared" si="15"/>
        <v>317.88848271212305</v>
      </c>
      <c r="AE11" s="188"/>
      <c r="AF11" s="189">
        <f t="shared" si="16"/>
        <v>255.48717394280527</v>
      </c>
      <c r="AG11" s="189">
        <f t="shared" si="16"/>
        <v>247.06950912979124</v>
      </c>
      <c r="AH11" s="189">
        <f t="shared" si="16"/>
        <v>265.15360262399543</v>
      </c>
      <c r="AI11" s="189">
        <f t="shared" si="16"/>
        <v>275.24980054915358</v>
      </c>
      <c r="AJ11" s="189">
        <f t="shared" si="16"/>
        <v>295.36996417982152</v>
      </c>
      <c r="AK11" s="188"/>
      <c r="AL11" s="189">
        <f t="shared" si="17"/>
        <v>19.711156816257962</v>
      </c>
      <c r="AM11" s="189">
        <f t="shared" si="17"/>
        <v>19.01346769400228</v>
      </c>
      <c r="AN11" s="189">
        <f t="shared" si="17"/>
        <v>20.360016960650725</v>
      </c>
      <c r="AO11" s="189">
        <f t="shared" si="17"/>
        <v>21.070355096418023</v>
      </c>
      <c r="AP11" s="189">
        <f t="shared" si="17"/>
        <v>22.518518532301513</v>
      </c>
      <c r="AQ11" s="91" t="str">
        <f t="shared" si="18"/>
        <v>30-34</v>
      </c>
      <c r="AR11" s="189">
        <f t="shared" si="19"/>
        <v>294.76785616095367</v>
      </c>
      <c r="AS11" s="189">
        <f t="shared" si="19"/>
        <v>310.21271560753621</v>
      </c>
      <c r="AT11" s="189">
        <f t="shared" si="19"/>
        <v>340.70814932951816</v>
      </c>
      <c r="AU11" s="189">
        <f t="shared" si="19"/>
        <v>369.83560309056543</v>
      </c>
      <c r="AV11" s="189">
        <f t="shared" si="19"/>
        <v>418.22345980745735</v>
      </c>
      <c r="AW11" s="188"/>
      <c r="AX11" s="189">
        <f t="shared" si="20"/>
        <v>289.63080788660079</v>
      </c>
      <c r="AY11" s="189">
        <f t="shared" si="20"/>
        <v>304.79570037586518</v>
      </c>
      <c r="AZ11" s="189">
        <f t="shared" si="20"/>
        <v>334.81192752241731</v>
      </c>
      <c r="BA11" s="189">
        <f t="shared" si="20"/>
        <v>363.47263912244296</v>
      </c>
      <c r="BB11" s="189">
        <f t="shared" si="20"/>
        <v>411.01000020534735</v>
      </c>
      <c r="BC11" s="188"/>
      <c r="BD11" s="189">
        <f t="shared" si="21"/>
        <v>5.1370482743529013</v>
      </c>
      <c r="BE11" s="189">
        <f t="shared" si="21"/>
        <v>5.4170152316709643</v>
      </c>
      <c r="BF11" s="189">
        <f t="shared" si="21"/>
        <v>5.8962218071008108</v>
      </c>
      <c r="BG11" s="189">
        <f t="shared" si="21"/>
        <v>6.3629639681224219</v>
      </c>
      <c r="BH11" s="189">
        <f t="shared" si="21"/>
        <v>7.213459602110035</v>
      </c>
    </row>
    <row r="12" spans="1:60" x14ac:dyDescent="0.2">
      <c r="A12" s="91" t="s">
        <v>117</v>
      </c>
      <c r="B12" s="189">
        <f t="shared" si="10"/>
        <v>154.11214519557188</v>
      </c>
      <c r="C12" s="189">
        <f t="shared" si="10"/>
        <v>148.15717385227549</v>
      </c>
      <c r="D12" s="189">
        <f t="shared" si="10"/>
        <v>124.1637405731941</v>
      </c>
      <c r="E12" s="189">
        <f t="shared" si="10"/>
        <v>103.00106387667563</v>
      </c>
      <c r="F12" s="189">
        <f t="shared" si="10"/>
        <v>79.667767346824377</v>
      </c>
      <c r="G12" s="188"/>
      <c r="H12" s="189">
        <f t="shared" si="11"/>
        <v>56.003261702459064</v>
      </c>
      <c r="I12" s="189">
        <f t="shared" si="11"/>
        <v>53.61808406304786</v>
      </c>
      <c r="J12" s="189">
        <f t="shared" si="11"/>
        <v>44.946036484441635</v>
      </c>
      <c r="K12" s="189">
        <f t="shared" si="11"/>
        <v>37.289691972205802</v>
      </c>
      <c r="L12" s="189">
        <f t="shared" si="11"/>
        <v>28.798762169451095</v>
      </c>
      <c r="M12" s="188"/>
      <c r="N12" s="189">
        <f t="shared" si="12"/>
        <v>98.108883493112813</v>
      </c>
      <c r="O12" s="189">
        <f t="shared" si="12"/>
        <v>94.539089789227646</v>
      </c>
      <c r="P12" s="189">
        <f t="shared" si="12"/>
        <v>79.21770408875247</v>
      </c>
      <c r="Q12" s="189">
        <f t="shared" si="12"/>
        <v>65.711371904469829</v>
      </c>
      <c r="R12" s="189">
        <f t="shared" si="12"/>
        <v>50.869005177373282</v>
      </c>
      <c r="S12" s="188"/>
      <c r="T12" s="189">
        <f t="shared" si="13"/>
        <v>0</v>
      </c>
      <c r="U12" s="189">
        <f t="shared" si="13"/>
        <v>0</v>
      </c>
      <c r="V12" s="189">
        <f t="shared" si="13"/>
        <v>0</v>
      </c>
      <c r="W12" s="189">
        <f t="shared" si="13"/>
        <v>0</v>
      </c>
      <c r="X12" s="189">
        <f t="shared" si="13"/>
        <v>0</v>
      </c>
      <c r="Y12" s="91" t="str">
        <f t="shared" si="14"/>
        <v>35-39</v>
      </c>
      <c r="Z12" s="189">
        <f t="shared" si="15"/>
        <v>322.88579844316473</v>
      </c>
      <c r="AA12" s="189">
        <f t="shared" si="15"/>
        <v>287.4998240668773</v>
      </c>
      <c r="AB12" s="189">
        <f t="shared" si="15"/>
        <v>280.92839455401918</v>
      </c>
      <c r="AC12" s="189">
        <f t="shared" si="15"/>
        <v>299.54044624192568</v>
      </c>
      <c r="AD12" s="189">
        <f t="shared" si="15"/>
        <v>317.07239175090058</v>
      </c>
      <c r="AE12" s="188"/>
      <c r="AF12" s="189">
        <f t="shared" si="16"/>
        <v>303.37132132153579</v>
      </c>
      <c r="AG12" s="189">
        <f t="shared" si="16"/>
        <v>270.10893635844064</v>
      </c>
      <c r="AH12" s="189">
        <f t="shared" si="16"/>
        <v>263.99085237827694</v>
      </c>
      <c r="AI12" s="189">
        <f t="shared" si="16"/>
        <v>281.50570542953108</v>
      </c>
      <c r="AJ12" s="189">
        <f t="shared" si="16"/>
        <v>298.00980149252553</v>
      </c>
      <c r="AK12" s="188"/>
      <c r="AL12" s="189">
        <f t="shared" si="17"/>
        <v>19.514477121629021</v>
      </c>
      <c r="AM12" s="189">
        <f t="shared" si="17"/>
        <v>17.390887708436701</v>
      </c>
      <c r="AN12" s="189">
        <f t="shared" si="17"/>
        <v>16.937542175742227</v>
      </c>
      <c r="AO12" s="189">
        <f t="shared" si="17"/>
        <v>18.034740812394613</v>
      </c>
      <c r="AP12" s="189">
        <f t="shared" si="17"/>
        <v>19.062590258375032</v>
      </c>
      <c r="AQ12" s="91" t="str">
        <f t="shared" si="18"/>
        <v>35-39</v>
      </c>
      <c r="AR12" s="189">
        <f t="shared" si="19"/>
        <v>284.91205636126335</v>
      </c>
      <c r="AS12" s="189">
        <f t="shared" si="19"/>
        <v>312.0690020808471</v>
      </c>
      <c r="AT12" s="189">
        <f t="shared" si="19"/>
        <v>329.21186487278669</v>
      </c>
      <c r="AU12" s="189">
        <f t="shared" si="19"/>
        <v>370.51748988139866</v>
      </c>
      <c r="AV12" s="189">
        <f t="shared" si="19"/>
        <v>410.36684090227504</v>
      </c>
      <c r="AW12" s="188"/>
      <c r="AX12" s="189">
        <f t="shared" si="20"/>
        <v>279.90489605154085</v>
      </c>
      <c r="AY12" s="189">
        <f t="shared" si="20"/>
        <v>306.58743388534367</v>
      </c>
      <c r="AZ12" s="189">
        <f t="shared" si="20"/>
        <v>323.49821814056338</v>
      </c>
      <c r="BA12" s="189">
        <f t="shared" si="20"/>
        <v>364.11650308755236</v>
      </c>
      <c r="BB12" s="189">
        <f t="shared" si="20"/>
        <v>403.29145582426617</v>
      </c>
      <c r="BC12" s="188"/>
      <c r="BD12" s="189">
        <f t="shared" si="21"/>
        <v>5.0071603097225514</v>
      </c>
      <c r="BE12" s="189">
        <f t="shared" si="21"/>
        <v>5.4815681955034474</v>
      </c>
      <c r="BF12" s="189">
        <f t="shared" si="21"/>
        <v>5.7136467322232507</v>
      </c>
      <c r="BG12" s="189">
        <f t="shared" si="21"/>
        <v>6.4009867938463287</v>
      </c>
      <c r="BH12" s="189">
        <f t="shared" si="21"/>
        <v>7.0753850780088525</v>
      </c>
    </row>
    <row r="13" spans="1:60" x14ac:dyDescent="0.2">
      <c r="A13" s="91" t="s">
        <v>118</v>
      </c>
      <c r="B13" s="189">
        <f t="shared" si="10"/>
        <v>204.95472906429887</v>
      </c>
      <c r="C13" s="189">
        <f t="shared" si="10"/>
        <v>183.2736739920656</v>
      </c>
      <c r="D13" s="189">
        <f t="shared" si="10"/>
        <v>145.6109353666948</v>
      </c>
      <c r="E13" s="189">
        <f t="shared" si="10"/>
        <v>103.89159180775462</v>
      </c>
      <c r="F13" s="189">
        <f t="shared" si="10"/>
        <v>77.263056657170154</v>
      </c>
      <c r="G13" s="188"/>
      <c r="H13" s="189">
        <f t="shared" si="11"/>
        <v>75.043968155480954</v>
      </c>
      <c r="I13" s="189">
        <f t="shared" si="11"/>
        <v>66.962528106248641</v>
      </c>
      <c r="J13" s="189">
        <f t="shared" si="11"/>
        <v>53.205635957380473</v>
      </c>
      <c r="K13" s="189">
        <f t="shared" si="11"/>
        <v>37.898539746132187</v>
      </c>
      <c r="L13" s="189">
        <f t="shared" si="11"/>
        <v>28.104284599359445</v>
      </c>
      <c r="M13" s="188"/>
      <c r="N13" s="189">
        <f t="shared" si="12"/>
        <v>129.91076090881791</v>
      </c>
      <c r="O13" s="189">
        <f t="shared" si="12"/>
        <v>116.31114588581696</v>
      </c>
      <c r="P13" s="189">
        <f t="shared" si="12"/>
        <v>92.405299409314324</v>
      </c>
      <c r="Q13" s="189">
        <f t="shared" si="12"/>
        <v>65.993052061622421</v>
      </c>
      <c r="R13" s="189">
        <f t="shared" si="12"/>
        <v>49.158772057810708</v>
      </c>
      <c r="S13" s="188"/>
      <c r="T13" s="189">
        <f t="shared" si="13"/>
        <v>0</v>
      </c>
      <c r="U13" s="189">
        <f t="shared" si="13"/>
        <v>0</v>
      </c>
      <c r="V13" s="189">
        <f t="shared" si="13"/>
        <v>0</v>
      </c>
      <c r="W13" s="189">
        <f t="shared" si="13"/>
        <v>0</v>
      </c>
      <c r="X13" s="189">
        <f t="shared" si="13"/>
        <v>0</v>
      </c>
      <c r="Y13" s="91" t="str">
        <f t="shared" si="14"/>
        <v>40-44</v>
      </c>
      <c r="Z13" s="189">
        <f t="shared" si="15"/>
        <v>335.88123323100854</v>
      </c>
      <c r="AA13" s="189">
        <f t="shared" si="15"/>
        <v>312.92776503427081</v>
      </c>
      <c r="AB13" s="189">
        <f t="shared" si="15"/>
        <v>302.35363356602068</v>
      </c>
      <c r="AC13" s="189">
        <f t="shared" si="15"/>
        <v>306.64075194256282</v>
      </c>
      <c r="AD13" s="189">
        <f t="shared" si="15"/>
        <v>332.62704072525781</v>
      </c>
      <c r="AE13" s="188"/>
      <c r="AF13" s="189">
        <f t="shared" si="16"/>
        <v>318.57769939988361</v>
      </c>
      <c r="AG13" s="189">
        <f t="shared" si="16"/>
        <v>296.81769048378715</v>
      </c>
      <c r="AH13" s="189">
        <f t="shared" si="16"/>
        <v>286.81359197562756</v>
      </c>
      <c r="AI13" s="189">
        <f t="shared" si="16"/>
        <v>290.88951267461152</v>
      </c>
      <c r="AJ13" s="189">
        <f t="shared" si="16"/>
        <v>315.54744066806541</v>
      </c>
      <c r="AK13" s="188"/>
      <c r="AL13" s="189">
        <f t="shared" si="17"/>
        <v>17.303533831124952</v>
      </c>
      <c r="AM13" s="189">
        <f t="shared" si="17"/>
        <v>16.110074550483667</v>
      </c>
      <c r="AN13" s="189">
        <f t="shared" si="17"/>
        <v>15.540041590393106</v>
      </c>
      <c r="AO13" s="189">
        <f t="shared" si="17"/>
        <v>15.751239267951231</v>
      </c>
      <c r="AP13" s="189">
        <f t="shared" si="17"/>
        <v>17.079600057192419</v>
      </c>
      <c r="AQ13" s="91" t="str">
        <f t="shared" si="18"/>
        <v>40-44</v>
      </c>
      <c r="AR13" s="189">
        <f t="shared" si="19"/>
        <v>270.9300377046925</v>
      </c>
      <c r="AS13" s="189">
        <f t="shared" si="19"/>
        <v>293.55256097366362</v>
      </c>
      <c r="AT13" s="189">
        <f t="shared" si="19"/>
        <v>322.20043106728446</v>
      </c>
      <c r="AU13" s="189">
        <f t="shared" si="19"/>
        <v>339.66265624968264</v>
      </c>
      <c r="AV13" s="189">
        <f t="shared" si="19"/>
        <v>380.66890261757209</v>
      </c>
      <c r="AW13" s="188"/>
      <c r="AX13" s="189">
        <f t="shared" si="20"/>
        <v>266.38705152405146</v>
      </c>
      <c r="AY13" s="189">
        <f t="shared" si="20"/>
        <v>288.66110365884219</v>
      </c>
      <c r="AZ13" s="189">
        <f t="shared" si="20"/>
        <v>316.84860387450232</v>
      </c>
      <c r="BA13" s="189">
        <f t="shared" si="20"/>
        <v>334.03930780465259</v>
      </c>
      <c r="BB13" s="189">
        <f t="shared" si="20"/>
        <v>374.38350092432177</v>
      </c>
      <c r="BC13" s="188"/>
      <c r="BD13" s="189">
        <f t="shared" si="21"/>
        <v>4.5429861806410692</v>
      </c>
      <c r="BE13" s="189">
        <f t="shared" si="21"/>
        <v>4.8914573148213645</v>
      </c>
      <c r="BF13" s="189">
        <f t="shared" si="21"/>
        <v>5.3518271927821548</v>
      </c>
      <c r="BG13" s="189">
        <f t="shared" si="21"/>
        <v>5.6233484450300253</v>
      </c>
      <c r="BH13" s="189">
        <f t="shared" si="21"/>
        <v>6.2854016932503862</v>
      </c>
    </row>
    <row r="14" spans="1:60" x14ac:dyDescent="0.2">
      <c r="A14" s="91" t="s">
        <v>119</v>
      </c>
      <c r="B14" s="189">
        <f t="shared" si="10"/>
        <v>254.65884951398874</v>
      </c>
      <c r="C14" s="189">
        <f t="shared" si="10"/>
        <v>249.88437754828158</v>
      </c>
      <c r="D14" s="189">
        <f t="shared" si="10"/>
        <v>178.47858254526204</v>
      </c>
      <c r="E14" s="189">
        <f t="shared" si="10"/>
        <v>132.26113301280915</v>
      </c>
      <c r="F14" s="189">
        <f t="shared" si="10"/>
        <v>96.751846747388981</v>
      </c>
      <c r="G14" s="188"/>
      <c r="H14" s="189">
        <f t="shared" si="11"/>
        <v>97.081589333520498</v>
      </c>
      <c r="I14" s="189">
        <f t="shared" si="11"/>
        <v>95.255541277602333</v>
      </c>
      <c r="J14" s="189">
        <f t="shared" si="11"/>
        <v>67.471423380418784</v>
      </c>
      <c r="K14" s="189">
        <f t="shared" si="11"/>
        <v>49.673795228067675</v>
      </c>
      <c r="L14" s="189">
        <f t="shared" si="11"/>
        <v>36.08222161527133</v>
      </c>
      <c r="M14" s="188"/>
      <c r="N14" s="189">
        <f t="shared" si="12"/>
        <v>157.57726018046827</v>
      </c>
      <c r="O14" s="189">
        <f t="shared" si="12"/>
        <v>154.62883627067924</v>
      </c>
      <c r="P14" s="189">
        <f t="shared" si="12"/>
        <v>111.00715916484326</v>
      </c>
      <c r="Q14" s="189">
        <f t="shared" si="12"/>
        <v>82.587337784741479</v>
      </c>
      <c r="R14" s="189">
        <f t="shared" si="12"/>
        <v>60.669625132117659</v>
      </c>
      <c r="S14" s="188"/>
      <c r="T14" s="189">
        <f t="shared" si="13"/>
        <v>0</v>
      </c>
      <c r="U14" s="189">
        <f t="shared" si="13"/>
        <v>0</v>
      </c>
      <c r="V14" s="189">
        <f t="shared" si="13"/>
        <v>0</v>
      </c>
      <c r="W14" s="189">
        <f t="shared" si="13"/>
        <v>0</v>
      </c>
      <c r="X14" s="189">
        <f t="shared" si="13"/>
        <v>0</v>
      </c>
      <c r="Y14" s="91" t="str">
        <f t="shared" si="14"/>
        <v>45-49</v>
      </c>
      <c r="Z14" s="189">
        <f t="shared" si="15"/>
        <v>296.89078106183149</v>
      </c>
      <c r="AA14" s="189">
        <f t="shared" si="15"/>
        <v>297.81089783713531</v>
      </c>
      <c r="AB14" s="189">
        <f t="shared" si="15"/>
        <v>323.00238790557432</v>
      </c>
      <c r="AC14" s="189">
        <f t="shared" si="15"/>
        <v>331.21130960813161</v>
      </c>
      <c r="AD14" s="189">
        <f t="shared" si="15"/>
        <v>336.85601788588576</v>
      </c>
      <c r="AE14" s="188"/>
      <c r="AF14" s="189">
        <f t="shared" si="16"/>
        <v>283.27902750867406</v>
      </c>
      <c r="AG14" s="189">
        <f t="shared" si="16"/>
        <v>284.17878044572376</v>
      </c>
      <c r="AH14" s="189">
        <f t="shared" si="16"/>
        <v>308.23712222424672</v>
      </c>
      <c r="AI14" s="189">
        <f t="shared" si="16"/>
        <v>316.06982132262846</v>
      </c>
      <c r="AJ14" s="189">
        <f t="shared" si="16"/>
        <v>321.4595503021684</v>
      </c>
      <c r="AK14" s="188"/>
      <c r="AL14" s="189">
        <f t="shared" si="17"/>
        <v>13.611753553157442</v>
      </c>
      <c r="AM14" s="189">
        <f t="shared" si="17"/>
        <v>13.632117391411541</v>
      </c>
      <c r="AN14" s="189">
        <f t="shared" si="17"/>
        <v>14.765265681327598</v>
      </c>
      <c r="AO14" s="189">
        <f t="shared" si="17"/>
        <v>15.141488285503199</v>
      </c>
      <c r="AP14" s="189">
        <f t="shared" si="17"/>
        <v>15.39646758371746</v>
      </c>
      <c r="AQ14" s="91" t="str">
        <f t="shared" si="18"/>
        <v>45-49</v>
      </c>
      <c r="AR14" s="189">
        <f t="shared" si="19"/>
        <v>250.46536942417981</v>
      </c>
      <c r="AS14" s="189">
        <f t="shared" si="19"/>
        <v>272.37172461458317</v>
      </c>
      <c r="AT14" s="189">
        <f t="shared" si="19"/>
        <v>298.56302954916367</v>
      </c>
      <c r="AU14" s="189">
        <f t="shared" si="19"/>
        <v>312.99255737905924</v>
      </c>
      <c r="AV14" s="189">
        <f t="shared" si="19"/>
        <v>324.57513536672525</v>
      </c>
      <c r="AW14" s="188"/>
      <c r="AX14" s="189">
        <f t="shared" si="20"/>
        <v>245.6503099953992</v>
      </c>
      <c r="AY14" s="189">
        <f t="shared" si="20"/>
        <v>267.15960275583393</v>
      </c>
      <c r="AZ14" s="189">
        <f t="shared" si="20"/>
        <v>292.91536308672585</v>
      </c>
      <c r="BA14" s="189">
        <f t="shared" si="20"/>
        <v>307.10108024986414</v>
      </c>
      <c r="BB14" s="189">
        <f t="shared" si="20"/>
        <v>318.48324328013177</v>
      </c>
      <c r="BC14" s="188"/>
      <c r="BD14" s="189">
        <f t="shared" si="21"/>
        <v>4.815059428780601</v>
      </c>
      <c r="BE14" s="189">
        <f t="shared" si="21"/>
        <v>5.2121218587492244</v>
      </c>
      <c r="BF14" s="189">
        <f t="shared" si="21"/>
        <v>5.6476664624378259</v>
      </c>
      <c r="BG14" s="189">
        <f t="shared" si="21"/>
        <v>5.8914771291951418</v>
      </c>
      <c r="BH14" s="189">
        <f t="shared" si="21"/>
        <v>6.0918920865934654</v>
      </c>
    </row>
    <row r="15" spans="1:60" x14ac:dyDescent="0.2">
      <c r="A15" s="91" t="s">
        <v>120</v>
      </c>
      <c r="B15" s="189">
        <f t="shared" si="10"/>
        <v>294.38575187935118</v>
      </c>
      <c r="C15" s="189">
        <f t="shared" si="10"/>
        <v>286.9982182545242</v>
      </c>
      <c r="D15" s="189">
        <f t="shared" si="10"/>
        <v>249.82582092451261</v>
      </c>
      <c r="E15" s="189">
        <f t="shared" si="10"/>
        <v>196.7617947968931</v>
      </c>
      <c r="F15" s="189">
        <f t="shared" si="10"/>
        <v>151.97754802573786</v>
      </c>
      <c r="G15" s="188"/>
      <c r="H15" s="189">
        <f t="shared" si="11"/>
        <v>131.00937650791479</v>
      </c>
      <c r="I15" s="189">
        <f t="shared" si="11"/>
        <v>127.36456196076394</v>
      </c>
      <c r="J15" s="189">
        <f t="shared" si="11"/>
        <v>110.61745625735594</v>
      </c>
      <c r="K15" s="189">
        <f t="shared" si="11"/>
        <v>86.72311902225573</v>
      </c>
      <c r="L15" s="189">
        <f t="shared" si="11"/>
        <v>66.672294242780168</v>
      </c>
      <c r="M15" s="188"/>
      <c r="N15" s="189">
        <f t="shared" si="12"/>
        <v>163.37637537143638</v>
      </c>
      <c r="O15" s="189">
        <f t="shared" si="12"/>
        <v>159.63365629376028</v>
      </c>
      <c r="P15" s="189">
        <f t="shared" si="12"/>
        <v>139.20836466715667</v>
      </c>
      <c r="Q15" s="189">
        <f t="shared" si="12"/>
        <v>110.03867577463737</v>
      </c>
      <c r="R15" s="189">
        <f t="shared" si="12"/>
        <v>85.305253782957692</v>
      </c>
      <c r="S15" s="188"/>
      <c r="T15" s="189">
        <f t="shared" si="13"/>
        <v>0</v>
      </c>
      <c r="U15" s="189">
        <f t="shared" si="13"/>
        <v>0</v>
      </c>
      <c r="V15" s="189">
        <f t="shared" si="13"/>
        <v>0</v>
      </c>
      <c r="W15" s="189">
        <f t="shared" si="13"/>
        <v>0</v>
      </c>
      <c r="X15" s="189">
        <f t="shared" si="13"/>
        <v>0</v>
      </c>
      <c r="Y15" s="91" t="str">
        <f t="shared" si="14"/>
        <v>50-54</v>
      </c>
      <c r="Z15" s="189">
        <f t="shared" si="15"/>
        <v>252.37047905418916</v>
      </c>
      <c r="AA15" s="189">
        <f t="shared" si="15"/>
        <v>261.89041594407234</v>
      </c>
      <c r="AB15" s="189">
        <f t="shared" si="15"/>
        <v>299.71030873183417</v>
      </c>
      <c r="AC15" s="189">
        <f t="shared" si="15"/>
        <v>315.46818569365763</v>
      </c>
      <c r="AD15" s="189">
        <f t="shared" si="15"/>
        <v>326.48805608055682</v>
      </c>
      <c r="AE15" s="188"/>
      <c r="AF15" s="189">
        <f t="shared" si="16"/>
        <v>240.43095817773155</v>
      </c>
      <c r="AG15" s="189">
        <f t="shared" si="16"/>
        <v>249.49009896266847</v>
      </c>
      <c r="AH15" s="189">
        <f t="shared" si="16"/>
        <v>285.51870262738919</v>
      </c>
      <c r="AI15" s="189">
        <f t="shared" si="16"/>
        <v>300.52266588791969</v>
      </c>
      <c r="AJ15" s="189">
        <f t="shared" si="16"/>
        <v>311.01138512295665</v>
      </c>
      <c r="AK15" s="188"/>
      <c r="AL15" s="189">
        <f t="shared" si="17"/>
        <v>11.939520876457582</v>
      </c>
      <c r="AM15" s="189">
        <f t="shared" si="17"/>
        <v>12.400316981403893</v>
      </c>
      <c r="AN15" s="189">
        <f t="shared" si="17"/>
        <v>14.191606104444997</v>
      </c>
      <c r="AO15" s="189">
        <f t="shared" si="17"/>
        <v>14.945519805737941</v>
      </c>
      <c r="AP15" s="189">
        <f t="shared" si="17"/>
        <v>15.476670957600156</v>
      </c>
      <c r="AQ15" s="91" t="str">
        <f t="shared" si="18"/>
        <v>50-54</v>
      </c>
      <c r="AR15" s="189">
        <f t="shared" si="19"/>
        <v>192.52176906645971</v>
      </c>
      <c r="AS15" s="189">
        <f t="shared" si="19"/>
        <v>218.63836580140344</v>
      </c>
      <c r="AT15" s="189">
        <f t="shared" si="19"/>
        <v>269.43387034365321</v>
      </c>
      <c r="AU15" s="189">
        <f t="shared" si="19"/>
        <v>285.28301950944933</v>
      </c>
      <c r="AV15" s="189">
        <f t="shared" si="19"/>
        <v>297.31139589370531</v>
      </c>
      <c r="AW15" s="188"/>
      <c r="AX15" s="189">
        <f t="shared" si="20"/>
        <v>188.73862621744155</v>
      </c>
      <c r="AY15" s="189">
        <f t="shared" si="20"/>
        <v>214.45420550224321</v>
      </c>
      <c r="AZ15" s="189">
        <f t="shared" si="20"/>
        <v>264.30480604656157</v>
      </c>
      <c r="BA15" s="189">
        <f t="shared" si="20"/>
        <v>279.90450448189154</v>
      </c>
      <c r="BB15" s="189">
        <f t="shared" si="20"/>
        <v>291.76093520892465</v>
      </c>
      <c r="BC15" s="188"/>
      <c r="BD15" s="189">
        <f t="shared" si="21"/>
        <v>3.7831428490181196</v>
      </c>
      <c r="BE15" s="189">
        <f t="shared" si="21"/>
        <v>4.1841602991602418</v>
      </c>
      <c r="BF15" s="189">
        <f t="shared" si="21"/>
        <v>5.1290642970916389</v>
      </c>
      <c r="BG15" s="189">
        <f t="shared" si="21"/>
        <v>5.3785150275577474</v>
      </c>
      <c r="BH15" s="189">
        <f t="shared" si="21"/>
        <v>5.5504606847806457</v>
      </c>
    </row>
    <row r="16" spans="1:60" x14ac:dyDescent="0.2">
      <c r="A16" s="91" t="s">
        <v>121</v>
      </c>
      <c r="B16" s="189">
        <f t="shared" si="10"/>
        <v>306.08926780144049</v>
      </c>
      <c r="C16" s="189">
        <f t="shared" si="10"/>
        <v>294.14842701950209</v>
      </c>
      <c r="D16" s="189">
        <f t="shared" si="10"/>
        <v>278.7696849113002</v>
      </c>
      <c r="E16" s="189">
        <f t="shared" si="10"/>
        <v>248.77345263961809</v>
      </c>
      <c r="F16" s="189">
        <f t="shared" si="10"/>
        <v>193.72538705183911</v>
      </c>
      <c r="G16" s="188"/>
      <c r="H16" s="189">
        <f t="shared" si="11"/>
        <v>148.94385811824938</v>
      </c>
      <c r="I16" s="189">
        <f t="shared" si="11"/>
        <v>142.80048229460601</v>
      </c>
      <c r="J16" s="189">
        <f t="shared" si="11"/>
        <v>135.1816907077864</v>
      </c>
      <c r="K16" s="189">
        <f t="shared" si="11"/>
        <v>120.20919098393057</v>
      </c>
      <c r="L16" s="189">
        <f t="shared" si="11"/>
        <v>93.347075058771225</v>
      </c>
      <c r="M16" s="188"/>
      <c r="N16" s="189">
        <f t="shared" si="12"/>
        <v>157.14540968319108</v>
      </c>
      <c r="O16" s="189">
        <f t="shared" si="12"/>
        <v>151.34794472489608</v>
      </c>
      <c r="P16" s="189">
        <f t="shared" si="12"/>
        <v>143.5879942035138</v>
      </c>
      <c r="Q16" s="189">
        <f t="shared" si="12"/>
        <v>128.56426165568749</v>
      </c>
      <c r="R16" s="189">
        <f t="shared" si="12"/>
        <v>100.37831199306788</v>
      </c>
      <c r="S16" s="188"/>
      <c r="T16" s="189">
        <f t="shared" si="13"/>
        <v>0</v>
      </c>
      <c r="U16" s="189">
        <f t="shared" si="13"/>
        <v>0</v>
      </c>
      <c r="V16" s="189">
        <f t="shared" si="13"/>
        <v>0</v>
      </c>
      <c r="W16" s="189">
        <f t="shared" si="13"/>
        <v>0</v>
      </c>
      <c r="X16" s="189">
        <f t="shared" si="13"/>
        <v>0</v>
      </c>
      <c r="Y16" s="91" t="str">
        <f t="shared" si="14"/>
        <v>55-59</v>
      </c>
      <c r="Z16" s="189">
        <f t="shared" si="15"/>
        <v>212.90735173400915</v>
      </c>
      <c r="AA16" s="189">
        <f t="shared" si="15"/>
        <v>208.34374328055009</v>
      </c>
      <c r="AB16" s="189">
        <f t="shared" si="15"/>
        <v>259.24373379880308</v>
      </c>
      <c r="AC16" s="189">
        <f t="shared" si="15"/>
        <v>305.1432760109069</v>
      </c>
      <c r="AD16" s="189">
        <f t="shared" si="15"/>
        <v>322.49455355236876</v>
      </c>
      <c r="AE16" s="188"/>
      <c r="AF16" s="189">
        <f t="shared" si="16"/>
        <v>201.39475054266842</v>
      </c>
      <c r="AG16" s="189">
        <f t="shared" si="16"/>
        <v>197.03624221177998</v>
      </c>
      <c r="AH16" s="189">
        <f t="shared" si="16"/>
        <v>245.14463767909808</v>
      </c>
      <c r="AI16" s="189">
        <f t="shared" si="16"/>
        <v>288.53398269710931</v>
      </c>
      <c r="AJ16" s="189">
        <f t="shared" si="16"/>
        <v>304.93914690919075</v>
      </c>
      <c r="AK16" s="188"/>
      <c r="AL16" s="189">
        <f t="shared" si="17"/>
        <v>11.512601191340718</v>
      </c>
      <c r="AM16" s="189">
        <f t="shared" si="17"/>
        <v>11.30750106877008</v>
      </c>
      <c r="AN16" s="189">
        <f t="shared" si="17"/>
        <v>14.099096119705006</v>
      </c>
      <c r="AO16" s="189">
        <f t="shared" si="17"/>
        <v>16.609293313797622</v>
      </c>
      <c r="AP16" s="189">
        <f t="shared" si="17"/>
        <v>17.555406643178003</v>
      </c>
      <c r="AQ16" s="91" t="str">
        <f t="shared" si="18"/>
        <v>55-59</v>
      </c>
      <c r="AR16" s="189">
        <f t="shared" si="19"/>
        <v>157.97838046455036</v>
      </c>
      <c r="AS16" s="189">
        <f t="shared" si="19"/>
        <v>186.95882969994784</v>
      </c>
      <c r="AT16" s="189">
        <f t="shared" si="19"/>
        <v>217.65058128989665</v>
      </c>
      <c r="AU16" s="189">
        <f t="shared" si="19"/>
        <v>252.64427134947505</v>
      </c>
      <c r="AV16" s="189">
        <f t="shared" si="19"/>
        <v>271.26605939579213</v>
      </c>
      <c r="AW16" s="188"/>
      <c r="AX16" s="189">
        <f t="shared" si="20"/>
        <v>154.50769225162065</v>
      </c>
      <c r="AY16" s="189">
        <f t="shared" si="20"/>
        <v>182.97075166245719</v>
      </c>
      <c r="AZ16" s="189">
        <f t="shared" si="20"/>
        <v>213.04788309462984</v>
      </c>
      <c r="BA16" s="189">
        <f t="shared" si="20"/>
        <v>247.41376136943245</v>
      </c>
      <c r="BB16" s="189">
        <f t="shared" si="20"/>
        <v>265.66983752581206</v>
      </c>
      <c r="BC16" s="188"/>
      <c r="BD16" s="189">
        <f t="shared" si="21"/>
        <v>3.470688212929685</v>
      </c>
      <c r="BE16" s="189">
        <f t="shared" si="21"/>
        <v>3.9880780374906122</v>
      </c>
      <c r="BF16" s="189">
        <f t="shared" si="21"/>
        <v>4.6026981952668296</v>
      </c>
      <c r="BG16" s="189">
        <f t="shared" si="21"/>
        <v>5.2305099800425978</v>
      </c>
      <c r="BH16" s="189">
        <f t="shared" si="21"/>
        <v>5.5962218699800657</v>
      </c>
    </row>
    <row r="17" spans="1:60" x14ac:dyDescent="0.2">
      <c r="A17" s="91" t="s">
        <v>122</v>
      </c>
      <c r="B17" s="189">
        <f t="shared" si="10"/>
        <v>300.27408615273544</v>
      </c>
      <c r="C17" s="189">
        <f t="shared" si="10"/>
        <v>307.02902619700649</v>
      </c>
      <c r="D17" s="189">
        <f t="shared" si="10"/>
        <v>275.57160817400484</v>
      </c>
      <c r="E17" s="189">
        <f t="shared" si="10"/>
        <v>242.50355927772591</v>
      </c>
      <c r="F17" s="189">
        <f t="shared" si="10"/>
        <v>196.62341104090149</v>
      </c>
      <c r="G17" s="188"/>
      <c r="H17" s="189">
        <f t="shared" si="11"/>
        <v>163.84239820508242</v>
      </c>
      <c r="I17" s="189">
        <f t="shared" si="11"/>
        <v>167.48634018543549</v>
      </c>
      <c r="J17" s="189">
        <f t="shared" si="11"/>
        <v>150.0793901711946</v>
      </c>
      <c r="K17" s="189">
        <f t="shared" si="11"/>
        <v>131.95757743155312</v>
      </c>
      <c r="L17" s="189">
        <f t="shared" si="11"/>
        <v>106.85061904727925</v>
      </c>
      <c r="M17" s="188"/>
      <c r="N17" s="189">
        <f t="shared" si="12"/>
        <v>136.43168794765302</v>
      </c>
      <c r="O17" s="189">
        <f t="shared" si="12"/>
        <v>139.54268601157099</v>
      </c>
      <c r="P17" s="189">
        <f t="shared" si="12"/>
        <v>125.49221800281023</v>
      </c>
      <c r="Q17" s="189">
        <f t="shared" si="12"/>
        <v>110.54598184617279</v>
      </c>
      <c r="R17" s="189">
        <f t="shared" si="12"/>
        <v>89.772791993622235</v>
      </c>
      <c r="S17" s="188"/>
      <c r="T17" s="189">
        <f t="shared" si="13"/>
        <v>0</v>
      </c>
      <c r="U17" s="189">
        <f t="shared" si="13"/>
        <v>0</v>
      </c>
      <c r="V17" s="189">
        <f t="shared" si="13"/>
        <v>0</v>
      </c>
      <c r="W17" s="189">
        <f t="shared" si="13"/>
        <v>0</v>
      </c>
      <c r="X17" s="189">
        <f t="shared" si="13"/>
        <v>0</v>
      </c>
      <c r="Y17" s="91" t="str">
        <f t="shared" si="14"/>
        <v>60-64</v>
      </c>
      <c r="Z17" s="189">
        <f t="shared" si="15"/>
        <v>164.67698820651987</v>
      </c>
      <c r="AA17" s="189">
        <f t="shared" si="15"/>
        <v>173.02754429415353</v>
      </c>
      <c r="AB17" s="189">
        <f t="shared" si="15"/>
        <v>211.64420247686218</v>
      </c>
      <c r="AC17" s="189">
        <f t="shared" si="15"/>
        <v>262.32745519640429</v>
      </c>
      <c r="AD17" s="189">
        <f t="shared" si="15"/>
        <v>307.19809774569194</v>
      </c>
      <c r="AE17" s="188"/>
      <c r="AF17" s="189">
        <f t="shared" si="16"/>
        <v>156.364761045058</v>
      </c>
      <c r="AG17" s="189">
        <f t="shared" si="16"/>
        <v>164.2583318854096</v>
      </c>
      <c r="AH17" s="189">
        <f t="shared" si="16"/>
        <v>200.85031018974644</v>
      </c>
      <c r="AI17" s="189">
        <f t="shared" si="16"/>
        <v>248.92153917613587</v>
      </c>
      <c r="AJ17" s="189">
        <f t="shared" si="16"/>
        <v>291.50729249745882</v>
      </c>
      <c r="AK17" s="188"/>
      <c r="AL17" s="189">
        <f t="shared" si="17"/>
        <v>8.3122271614618572</v>
      </c>
      <c r="AM17" s="189">
        <f t="shared" si="17"/>
        <v>8.7692124087439236</v>
      </c>
      <c r="AN17" s="189">
        <f t="shared" si="17"/>
        <v>10.793892287115703</v>
      </c>
      <c r="AO17" s="189">
        <f t="shared" si="17"/>
        <v>13.405916020268418</v>
      </c>
      <c r="AP17" s="189">
        <f t="shared" si="17"/>
        <v>15.690805248233143</v>
      </c>
      <c r="AQ17" s="91" t="str">
        <f t="shared" si="18"/>
        <v>60-64</v>
      </c>
      <c r="AR17" s="189">
        <f t="shared" si="19"/>
        <v>124.1659256407448</v>
      </c>
      <c r="AS17" s="189">
        <f t="shared" si="19"/>
        <v>151.81542950884</v>
      </c>
      <c r="AT17" s="189">
        <f t="shared" si="19"/>
        <v>179.49318934913299</v>
      </c>
      <c r="AU17" s="189">
        <f t="shared" si="19"/>
        <v>229.32198552586985</v>
      </c>
      <c r="AV17" s="189">
        <f t="shared" si="19"/>
        <v>282.2344912134065</v>
      </c>
      <c r="AW17" s="188"/>
      <c r="AX17" s="189">
        <f t="shared" si="20"/>
        <v>120.47353378485059</v>
      </c>
      <c r="AY17" s="189">
        <f t="shared" si="20"/>
        <v>147.28380768694541</v>
      </c>
      <c r="AZ17" s="189">
        <f t="shared" si="20"/>
        <v>174.20095676665699</v>
      </c>
      <c r="BA17" s="189">
        <f t="shared" si="20"/>
        <v>222.61021872219823</v>
      </c>
      <c r="BB17" s="189">
        <f t="shared" si="20"/>
        <v>274.01688935790713</v>
      </c>
      <c r="BC17" s="188"/>
      <c r="BD17" s="189">
        <f t="shared" si="21"/>
        <v>3.6923918558942086</v>
      </c>
      <c r="BE17" s="189">
        <f t="shared" si="21"/>
        <v>4.5316218218945803</v>
      </c>
      <c r="BF17" s="189">
        <f t="shared" si="21"/>
        <v>5.2922325824760046</v>
      </c>
      <c r="BG17" s="189">
        <f t="shared" si="21"/>
        <v>6.7117668036716331</v>
      </c>
      <c r="BH17" s="189">
        <f t="shared" si="21"/>
        <v>8.2176018554993142</v>
      </c>
    </row>
    <row r="18" spans="1:60" x14ac:dyDescent="0.2">
      <c r="A18" s="91" t="s">
        <v>109</v>
      </c>
      <c r="B18" s="189">
        <f t="shared" si="10"/>
        <v>1097.4936778000333</v>
      </c>
      <c r="C18" s="189">
        <f t="shared" si="10"/>
        <v>1072.9440531401806</v>
      </c>
      <c r="D18" s="189">
        <f t="shared" si="10"/>
        <v>980.11410948496587</v>
      </c>
      <c r="E18" s="189">
        <f t="shared" si="10"/>
        <v>860.70692539466086</v>
      </c>
      <c r="F18" s="189">
        <f t="shared" si="10"/>
        <v>731.94096038103203</v>
      </c>
      <c r="G18" s="188"/>
      <c r="H18" s="189">
        <f t="shared" si="11"/>
        <v>770.71351120273471</v>
      </c>
      <c r="I18" s="189">
        <f t="shared" si="11"/>
        <v>753.1395408366011</v>
      </c>
      <c r="J18" s="189">
        <f t="shared" si="11"/>
        <v>687.79876078330381</v>
      </c>
      <c r="K18" s="189">
        <f t="shared" si="11"/>
        <v>603.69792908410795</v>
      </c>
      <c r="L18" s="189">
        <f t="shared" si="11"/>
        <v>513.13110481139574</v>
      </c>
      <c r="M18" s="188"/>
      <c r="N18" s="189">
        <f t="shared" si="12"/>
        <v>326.78016659729855</v>
      </c>
      <c r="O18" s="189">
        <f t="shared" si="12"/>
        <v>319.80451230357949</v>
      </c>
      <c r="P18" s="189">
        <f t="shared" si="12"/>
        <v>292.31534870166195</v>
      </c>
      <c r="Q18" s="189">
        <f t="shared" si="12"/>
        <v>257.0089963105529</v>
      </c>
      <c r="R18" s="189">
        <f t="shared" si="12"/>
        <v>218.80985556963645</v>
      </c>
      <c r="S18" s="188"/>
      <c r="T18" s="189">
        <f t="shared" si="13"/>
        <v>0</v>
      </c>
      <c r="U18" s="189">
        <f t="shared" si="13"/>
        <v>0</v>
      </c>
      <c r="V18" s="189">
        <f t="shared" si="13"/>
        <v>0</v>
      </c>
      <c r="W18" s="189">
        <f t="shared" si="13"/>
        <v>0</v>
      </c>
      <c r="X18" s="189">
        <f t="shared" si="13"/>
        <v>0</v>
      </c>
      <c r="Y18" s="91" t="str">
        <f t="shared" si="14"/>
        <v>65+</v>
      </c>
      <c r="Z18" s="189">
        <f t="shared" si="15"/>
        <v>412.59519957455325</v>
      </c>
      <c r="AA18" s="189">
        <f t="shared" si="15"/>
        <v>441.80478171374187</v>
      </c>
      <c r="AB18" s="189">
        <f t="shared" si="15"/>
        <v>588.92141161742438</v>
      </c>
      <c r="AC18" s="189">
        <f t="shared" si="15"/>
        <v>717.19301187685096</v>
      </c>
      <c r="AD18" s="189">
        <f t="shared" si="15"/>
        <v>861.73238046119513</v>
      </c>
      <c r="AE18" s="188"/>
      <c r="AF18" s="189">
        <f t="shared" si="16"/>
        <v>391.95319027138726</v>
      </c>
      <c r="AG18" s="189">
        <f t="shared" si="16"/>
        <v>419.72502641576881</v>
      </c>
      <c r="AH18" s="189">
        <f t="shared" si="16"/>
        <v>559.48677128208897</v>
      </c>
      <c r="AI18" s="189">
        <f t="shared" si="16"/>
        <v>681.36315392476172</v>
      </c>
      <c r="AJ18" s="189">
        <f t="shared" si="16"/>
        <v>818.69055459842366</v>
      </c>
      <c r="AK18" s="188"/>
      <c r="AL18" s="189">
        <f t="shared" si="17"/>
        <v>20.642009303165985</v>
      </c>
      <c r="AM18" s="189">
        <f t="shared" si="17"/>
        <v>22.079755297973087</v>
      </c>
      <c r="AN18" s="189">
        <f t="shared" si="17"/>
        <v>29.434640335335327</v>
      </c>
      <c r="AO18" s="189">
        <f t="shared" si="17"/>
        <v>35.82985795208927</v>
      </c>
      <c r="AP18" s="189">
        <f t="shared" si="17"/>
        <v>43.041825862771589</v>
      </c>
      <c r="AQ18" s="91" t="str">
        <f t="shared" si="18"/>
        <v>65+</v>
      </c>
      <c r="AR18" s="189">
        <f t="shared" si="19"/>
        <v>309.63712262541355</v>
      </c>
      <c r="AS18" s="189">
        <f t="shared" si="19"/>
        <v>345.41016514607776</v>
      </c>
      <c r="AT18" s="189">
        <f t="shared" si="19"/>
        <v>465.83547889760985</v>
      </c>
      <c r="AU18" s="189">
        <f t="shared" si="19"/>
        <v>642.09606272848828</v>
      </c>
      <c r="AV18" s="189">
        <f t="shared" si="19"/>
        <v>863.68565915777276</v>
      </c>
      <c r="AW18" s="188"/>
      <c r="AX18" s="189">
        <f t="shared" si="20"/>
        <v>301.40115633884841</v>
      </c>
      <c r="AY18" s="189">
        <f t="shared" si="20"/>
        <v>336.56314669404765</v>
      </c>
      <c r="AZ18" s="189">
        <f t="shared" si="20"/>
        <v>453.89786151814837</v>
      </c>
      <c r="BA18" s="189">
        <f t="shared" si="20"/>
        <v>625.97097807950172</v>
      </c>
      <c r="BB18" s="189">
        <f t="shared" si="20"/>
        <v>842.26455696727317</v>
      </c>
      <c r="BC18" s="188"/>
      <c r="BD18" s="189">
        <f t="shared" si="21"/>
        <v>8.2359662865651462</v>
      </c>
      <c r="BE18" s="189">
        <f t="shared" si="21"/>
        <v>8.847018452030122</v>
      </c>
      <c r="BF18" s="189">
        <f t="shared" si="21"/>
        <v>11.937617379461411</v>
      </c>
      <c r="BG18" s="189">
        <f t="shared" si="21"/>
        <v>16.125084648986547</v>
      </c>
      <c r="BH18" s="189">
        <f t="shared" si="21"/>
        <v>21.421102190499685</v>
      </c>
    </row>
    <row r="19" spans="1:60" x14ac:dyDescent="0.2">
      <c r="B19" s="189"/>
      <c r="C19" s="189"/>
      <c r="D19" s="188"/>
      <c r="E19" s="188"/>
      <c r="F19" s="188"/>
      <c r="G19" s="188"/>
      <c r="H19" s="188"/>
      <c r="I19" s="188"/>
      <c r="J19" s="188"/>
      <c r="K19" s="188"/>
      <c r="L19" s="188"/>
      <c r="M19" s="188"/>
      <c r="N19" s="188"/>
      <c r="O19" s="188"/>
      <c r="P19" s="188"/>
      <c r="Q19" s="188"/>
      <c r="R19" s="188"/>
      <c r="S19" s="188"/>
      <c r="T19" s="94"/>
      <c r="U19" s="94"/>
      <c r="V19" s="94"/>
      <c r="W19" s="94"/>
      <c r="X19" s="94"/>
      <c r="Z19" s="189"/>
      <c r="AA19" s="189"/>
      <c r="AB19" s="188"/>
      <c r="AC19" s="188"/>
      <c r="AD19" s="188"/>
      <c r="AE19" s="188"/>
      <c r="AF19" s="188"/>
      <c r="AG19" s="188"/>
      <c r="AH19" s="188"/>
      <c r="AI19" s="188"/>
      <c r="AJ19" s="188"/>
      <c r="AK19" s="188"/>
      <c r="AL19" s="188"/>
      <c r="AM19" s="188"/>
      <c r="AN19" s="188"/>
      <c r="AO19" s="188"/>
      <c r="AP19" s="188"/>
      <c r="AR19" s="189"/>
      <c r="AS19" s="189"/>
      <c r="AT19" s="188"/>
      <c r="AU19" s="188"/>
      <c r="AV19" s="188"/>
      <c r="AW19" s="188"/>
      <c r="AX19" s="188"/>
      <c r="AY19" s="188"/>
      <c r="AZ19" s="188"/>
      <c r="BA19" s="188"/>
      <c r="BB19" s="188"/>
      <c r="BC19" s="188"/>
      <c r="BD19" s="188"/>
      <c r="BE19" s="188"/>
      <c r="BF19" s="188"/>
      <c r="BG19" s="188"/>
      <c r="BH19" s="188"/>
    </row>
    <row r="20" spans="1:60" x14ac:dyDescent="0.2">
      <c r="A20" s="114" t="s">
        <v>104</v>
      </c>
      <c r="B20" s="94"/>
      <c r="C20" s="94"/>
      <c r="D20" s="94"/>
      <c r="E20" s="94"/>
      <c r="F20" s="189"/>
      <c r="G20" s="189"/>
      <c r="H20" s="189"/>
      <c r="I20" s="189"/>
      <c r="J20" s="189"/>
      <c r="K20" s="189"/>
      <c r="L20" s="189"/>
      <c r="M20" s="189"/>
      <c r="N20" s="189"/>
      <c r="O20" s="189"/>
      <c r="P20" s="189"/>
      <c r="Q20" s="189"/>
      <c r="R20" s="189"/>
      <c r="S20" s="189"/>
      <c r="T20" s="94"/>
      <c r="U20" s="94"/>
      <c r="V20" s="94"/>
      <c r="W20" s="94"/>
      <c r="X20" s="94"/>
      <c r="Y20" s="114" t="str">
        <f t="shared" si="14"/>
        <v>Males</v>
      </c>
      <c r="Z20" s="94"/>
      <c r="AA20" s="94"/>
      <c r="AB20" s="94"/>
      <c r="AC20" s="94"/>
      <c r="AD20" s="189"/>
      <c r="AE20" s="189"/>
      <c r="AF20" s="189"/>
      <c r="AG20" s="189"/>
      <c r="AH20" s="189"/>
      <c r="AI20" s="189"/>
      <c r="AJ20" s="189"/>
      <c r="AK20" s="189"/>
      <c r="AL20" s="189"/>
      <c r="AM20" s="189"/>
      <c r="AN20" s="189"/>
      <c r="AO20" s="189"/>
      <c r="AP20" s="189"/>
      <c r="AQ20" s="114" t="str">
        <f>A20</f>
        <v>Males</v>
      </c>
      <c r="AR20" s="94"/>
      <c r="AS20" s="94"/>
      <c r="AT20" s="94"/>
      <c r="AU20" s="94"/>
      <c r="AV20" s="189"/>
      <c r="AW20" s="189"/>
      <c r="AX20" s="189"/>
      <c r="AY20" s="189"/>
      <c r="AZ20" s="189"/>
      <c r="BA20" s="189"/>
      <c r="BB20" s="189"/>
      <c r="BC20" s="189"/>
      <c r="BD20" s="189"/>
      <c r="BE20" s="189"/>
      <c r="BF20" s="189"/>
      <c r="BG20" s="189"/>
      <c r="BH20" s="189"/>
    </row>
    <row r="21" spans="1:60" x14ac:dyDescent="0.2">
      <c r="A21" s="91" t="str">
        <f>$A$7</f>
        <v>15+</v>
      </c>
      <c r="B21" s="189">
        <f>SUM(B22:B32)</f>
        <v>1620.2473852146525</v>
      </c>
      <c r="C21" s="189">
        <f t="shared" ref="C21:F21" si="22">SUM(C22:C32)</f>
        <v>1614.229579565203</v>
      </c>
      <c r="D21" s="189">
        <f t="shared" si="22"/>
        <v>1473.336267790763</v>
      </c>
      <c r="E21" s="189">
        <f t="shared" si="22"/>
        <v>1328.0088879474006</v>
      </c>
      <c r="F21" s="189">
        <f t="shared" si="22"/>
        <v>1173.6897154992268</v>
      </c>
      <c r="G21" s="189"/>
      <c r="H21" s="189">
        <f>SUM(H22:H32)</f>
        <v>716.1464894810149</v>
      </c>
      <c r="I21" s="189">
        <f t="shared" ref="I21:L21" si="23">SUM(I22:I32)</f>
        <v>715.64405967986499</v>
      </c>
      <c r="J21" s="189">
        <f t="shared" si="23"/>
        <v>655.33170359679184</v>
      </c>
      <c r="K21" s="189">
        <f t="shared" si="23"/>
        <v>588.71852138985469</v>
      </c>
      <c r="L21" s="189">
        <f t="shared" si="23"/>
        <v>511.80228655523888</v>
      </c>
      <c r="M21" s="189"/>
      <c r="N21" s="189">
        <f>SUM(N22:N32)</f>
        <v>904.1008957336378</v>
      </c>
      <c r="O21" s="189">
        <f t="shared" ref="O21:R21" si="24">SUM(O22:O32)</f>
        <v>898.5855198853385</v>
      </c>
      <c r="P21" s="189">
        <f t="shared" si="24"/>
        <v>818.00456419397131</v>
      </c>
      <c r="Q21" s="189">
        <f t="shared" si="24"/>
        <v>739.29036655754555</v>
      </c>
      <c r="R21" s="189">
        <f t="shared" si="24"/>
        <v>661.88742894398808</v>
      </c>
      <c r="S21" s="189"/>
      <c r="T21" s="189">
        <f>SUM(T22:T32)</f>
        <v>0</v>
      </c>
      <c r="U21" s="189">
        <f t="shared" ref="U21:X21" si="25">SUM(U22:U32)</f>
        <v>0</v>
      </c>
      <c r="V21" s="189">
        <f t="shared" si="25"/>
        <v>0</v>
      </c>
      <c r="W21" s="189">
        <f t="shared" si="25"/>
        <v>0</v>
      </c>
      <c r="X21" s="189">
        <f t="shared" si="25"/>
        <v>0</v>
      </c>
      <c r="Y21" s="91" t="str">
        <f>$A$7</f>
        <v>15+</v>
      </c>
      <c r="Z21" s="189">
        <f>SUM(Z22:Z32)</f>
        <v>1577.3024491368396</v>
      </c>
      <c r="AA21" s="189">
        <f t="shared" ref="AA21:AD21" si="26">SUM(AA22:AA32)</f>
        <v>1562.2040994555152</v>
      </c>
      <c r="AB21" s="189">
        <f t="shared" si="26"/>
        <v>1749.398715210659</v>
      </c>
      <c r="AC21" s="189">
        <f t="shared" si="26"/>
        <v>1909.488504579884</v>
      </c>
      <c r="AD21" s="189">
        <f t="shared" si="26"/>
        <v>2081.0684990931632</v>
      </c>
      <c r="AE21" s="189"/>
      <c r="AF21" s="189">
        <f>SUM(AF22:AF32)</f>
        <v>1499.7774540648427</v>
      </c>
      <c r="AG21" s="189">
        <f t="shared" ref="AG21:AJ21" si="27">SUM(AG22:AG32)</f>
        <v>1486.1007164675289</v>
      </c>
      <c r="AH21" s="189">
        <f t="shared" si="27"/>
        <v>1664.4597911861424</v>
      </c>
      <c r="AI21" s="189">
        <f t="shared" si="27"/>
        <v>1816.8390130222895</v>
      </c>
      <c r="AJ21" s="189">
        <f t="shared" si="27"/>
        <v>1980.4678395589967</v>
      </c>
      <c r="AK21" s="189"/>
      <c r="AL21" s="189">
        <f>SUM(AL22:AL32)</f>
        <v>77.524995071996941</v>
      </c>
      <c r="AM21" s="189">
        <f t="shared" ref="AM21:AP21" si="28">SUM(AM22:AM32)</f>
        <v>76.103382987986208</v>
      </c>
      <c r="AN21" s="189">
        <f t="shared" si="28"/>
        <v>84.938924024516524</v>
      </c>
      <c r="AO21" s="189">
        <f t="shared" si="28"/>
        <v>92.649491557594388</v>
      </c>
      <c r="AP21" s="189">
        <f t="shared" si="28"/>
        <v>100.60065953416633</v>
      </c>
      <c r="AQ21" s="91" t="str">
        <f>A21</f>
        <v>15+</v>
      </c>
      <c r="AR21" s="189">
        <f>SUM(AR22:AR32)</f>
        <v>1106.6731656485081</v>
      </c>
      <c r="AS21" s="189">
        <f t="shared" ref="AS21:AV21" si="29">SUM(AS22:AS32)</f>
        <v>1199.3363209792817</v>
      </c>
      <c r="AT21" s="189">
        <f t="shared" si="29"/>
        <v>1365.5690169985778</v>
      </c>
      <c r="AU21" s="189">
        <f t="shared" si="29"/>
        <v>1541.874607472716</v>
      </c>
      <c r="AV21" s="189">
        <f t="shared" si="29"/>
        <v>1748.1917854076103</v>
      </c>
      <c r="AW21" s="189"/>
      <c r="AX21" s="189">
        <f>SUM(AX22:AX32)</f>
        <v>1077.4599726477079</v>
      </c>
      <c r="AY21" s="189">
        <f t="shared" ref="AY21:BB21" si="30">SUM(AY22:AY32)</f>
        <v>1167.5793096493508</v>
      </c>
      <c r="AZ21" s="189">
        <f t="shared" si="30"/>
        <v>1328.8583394486275</v>
      </c>
      <c r="BA21" s="189">
        <f t="shared" si="30"/>
        <v>1499.4805167904162</v>
      </c>
      <c r="BB21" s="189">
        <f t="shared" si="30"/>
        <v>1698.9799024688193</v>
      </c>
      <c r="BC21" s="189"/>
      <c r="BD21" s="189">
        <f>SUM(BD22:BD32)</f>
        <v>29.213193000800217</v>
      </c>
      <c r="BE21" s="189">
        <f t="shared" ref="BE21:BH21" si="31">SUM(BE22:BE32)</f>
        <v>31.757011329930545</v>
      </c>
      <c r="BF21" s="189">
        <f t="shared" si="31"/>
        <v>36.710677549950461</v>
      </c>
      <c r="BG21" s="189">
        <f t="shared" si="31"/>
        <v>42.394090682299776</v>
      </c>
      <c r="BH21" s="189">
        <f t="shared" si="31"/>
        <v>49.211882938790794</v>
      </c>
    </row>
    <row r="22" spans="1:60" x14ac:dyDescent="0.2">
      <c r="A22" s="91" t="str">
        <f>$A$8</f>
        <v>15-19</v>
      </c>
      <c r="B22" s="189">
        <v>265.87910321369338</v>
      </c>
      <c r="C22" s="189">
        <v>258.0443726840308</v>
      </c>
      <c r="D22" s="189">
        <v>243.141770298518</v>
      </c>
      <c r="E22" s="189">
        <v>242.0329033496289</v>
      </c>
      <c r="F22" s="188">
        <v>259.48953414978911</v>
      </c>
      <c r="G22" s="189"/>
      <c r="H22" s="189">
        <v>65.502301380201217</v>
      </c>
      <c r="I22" s="189">
        <v>63.57213501074979</v>
      </c>
      <c r="J22" s="189">
        <v>59.900673398189532</v>
      </c>
      <c r="K22" s="189">
        <v>59.627470660231161</v>
      </c>
      <c r="L22" s="188">
        <v>63.928125917066254</v>
      </c>
      <c r="M22" s="189"/>
      <c r="N22" s="189">
        <v>200.37680183349218</v>
      </c>
      <c r="O22" s="189">
        <v>194.47223767328106</v>
      </c>
      <c r="P22" s="189">
        <v>183.2410969003285</v>
      </c>
      <c r="Q22" s="189">
        <v>182.40543268939777</v>
      </c>
      <c r="R22" s="188">
        <v>195.56140823272287</v>
      </c>
      <c r="S22" s="189"/>
      <c r="T22" s="189">
        <v>0</v>
      </c>
      <c r="U22" s="189">
        <v>0</v>
      </c>
      <c r="V22" s="189">
        <v>0</v>
      </c>
      <c r="W22" s="189">
        <v>0</v>
      </c>
      <c r="X22" s="188">
        <v>0</v>
      </c>
      <c r="Y22" s="91" t="str">
        <f>$A$8</f>
        <v>15-19</v>
      </c>
      <c r="Z22" s="189">
        <v>66.511132470586716</v>
      </c>
      <c r="AA22" s="189">
        <v>73.411299772273082</v>
      </c>
      <c r="AB22" s="189">
        <v>80.502722532222251</v>
      </c>
      <c r="AC22" s="189">
        <v>87.416701640226961</v>
      </c>
      <c r="AD22" s="188">
        <v>102.22230692001014</v>
      </c>
      <c r="AE22" s="189"/>
      <c r="AF22" s="189">
        <v>65.408785510809949</v>
      </c>
      <c r="AG22" s="189">
        <v>72.194629595921498</v>
      </c>
      <c r="AH22" s="189">
        <v>79.16853183013346</v>
      </c>
      <c r="AI22" s="189">
        <v>85.967955058277127</v>
      </c>
      <c r="AJ22" s="188">
        <v>100.52812602924274</v>
      </c>
      <c r="AK22" s="189"/>
      <c r="AL22" s="189">
        <v>1.1023469597767663</v>
      </c>
      <c r="AM22" s="189">
        <v>1.2166701763515873</v>
      </c>
      <c r="AN22" s="189">
        <v>1.3341907020887731</v>
      </c>
      <c r="AO22" s="189">
        <v>1.4487465819498317</v>
      </c>
      <c r="AP22" s="188">
        <v>1.6941808907673945</v>
      </c>
      <c r="AQ22" s="91" t="str">
        <f t="shared" ref="AQ22:AQ32" si="32">A22</f>
        <v>15-19</v>
      </c>
      <c r="AR22" s="189">
        <v>0.47976431571996198</v>
      </c>
      <c r="AS22" s="189">
        <v>0.72732754369609554</v>
      </c>
      <c r="AT22" s="189">
        <v>0.48550716925975612</v>
      </c>
      <c r="AU22" s="189">
        <v>0.49439501014410386</v>
      </c>
      <c r="AV22" s="188">
        <v>0.54315893020071748</v>
      </c>
      <c r="AW22" s="189"/>
      <c r="AX22" s="189">
        <v>0.424231447426622</v>
      </c>
      <c r="AY22" s="189">
        <v>0.64301397638445978</v>
      </c>
      <c r="AZ22" s="189">
        <v>0.4293477578901575</v>
      </c>
      <c r="BA22" s="189">
        <v>0.43712398467357205</v>
      </c>
      <c r="BB22" s="188">
        <v>0.4802635949877026</v>
      </c>
      <c r="BC22" s="189"/>
      <c r="BD22" s="189">
        <v>5.5532868293339949E-2</v>
      </c>
      <c r="BE22" s="189">
        <v>8.4313567311635793E-2</v>
      </c>
      <c r="BF22" s="189">
        <v>5.6159411369598657E-2</v>
      </c>
      <c r="BG22" s="189">
        <v>5.7271025470531763E-2</v>
      </c>
      <c r="BH22" s="188">
        <v>6.2895335213014894E-2</v>
      </c>
    </row>
    <row r="23" spans="1:60" x14ac:dyDescent="0.2">
      <c r="A23" s="91" t="str">
        <f>$A$9</f>
        <v>20-24</v>
      </c>
      <c r="B23" s="189">
        <v>62.563891293376557</v>
      </c>
      <c r="C23" s="189">
        <v>65.325512781581011</v>
      </c>
      <c r="D23" s="189">
        <v>67.029010553797633</v>
      </c>
      <c r="E23" s="189">
        <v>59.464637575430878</v>
      </c>
      <c r="F23" s="188">
        <v>54.38972351131563</v>
      </c>
      <c r="G23" s="189"/>
      <c r="H23" s="189">
        <v>17.754171051225015</v>
      </c>
      <c r="I23" s="189">
        <v>18.537831805843624</v>
      </c>
      <c r="J23" s="189">
        <v>19.021243659623707</v>
      </c>
      <c r="K23" s="189">
        <v>16.874679665555647</v>
      </c>
      <c r="L23" s="188">
        <v>15.434495406960504</v>
      </c>
      <c r="M23" s="189"/>
      <c r="N23" s="189">
        <v>44.809720242151542</v>
      </c>
      <c r="O23" s="189">
        <v>46.787680975737388</v>
      </c>
      <c r="P23" s="189">
        <v>48.00776689417394</v>
      </c>
      <c r="Q23" s="189">
        <v>42.589957909875231</v>
      </c>
      <c r="R23" s="188">
        <v>38.955228104355122</v>
      </c>
      <c r="S23" s="189"/>
      <c r="T23" s="189">
        <v>0</v>
      </c>
      <c r="U23" s="189">
        <v>0</v>
      </c>
      <c r="V23" s="189">
        <v>0</v>
      </c>
      <c r="W23" s="189">
        <v>0</v>
      </c>
      <c r="X23" s="188">
        <v>0</v>
      </c>
      <c r="Y23" s="91" t="str">
        <f>$A$9</f>
        <v>20-24</v>
      </c>
      <c r="Z23" s="189">
        <v>203.50469894139783</v>
      </c>
      <c r="AA23" s="189">
        <v>206.78831948241526</v>
      </c>
      <c r="AB23" s="189">
        <v>217.16688614689699</v>
      </c>
      <c r="AC23" s="189">
        <v>213.03529301815917</v>
      </c>
      <c r="AD23" s="188">
        <v>215.87448968593148</v>
      </c>
      <c r="AE23" s="189"/>
      <c r="AF23" s="189">
        <v>194.19340573185747</v>
      </c>
      <c r="AG23" s="189">
        <v>197.32683079971491</v>
      </c>
      <c r="AH23" s="189">
        <v>207.23048265883725</v>
      </c>
      <c r="AI23" s="189">
        <v>203.2879208070558</v>
      </c>
      <c r="AJ23" s="188">
        <v>205.99720170925298</v>
      </c>
      <c r="AK23" s="189"/>
      <c r="AL23" s="189">
        <v>9.3112932095403682</v>
      </c>
      <c r="AM23" s="189">
        <v>9.4614886827003613</v>
      </c>
      <c r="AN23" s="189">
        <v>9.936403488059721</v>
      </c>
      <c r="AO23" s="189">
        <v>9.7473722111033432</v>
      </c>
      <c r="AP23" s="188">
        <v>9.8772879766784918</v>
      </c>
      <c r="AQ23" s="91" t="str">
        <f t="shared" si="32"/>
        <v>20-24</v>
      </c>
      <c r="AR23" s="189">
        <v>55.35540976522563</v>
      </c>
      <c r="AS23" s="189">
        <v>59.428167736003701</v>
      </c>
      <c r="AT23" s="189">
        <v>76.351103299305365</v>
      </c>
      <c r="AU23" s="189">
        <v>82.69706940640998</v>
      </c>
      <c r="AV23" s="188">
        <v>92.251786802752903</v>
      </c>
      <c r="AW23" s="189"/>
      <c r="AX23" s="189">
        <v>55.171502233744391</v>
      </c>
      <c r="AY23" s="189">
        <v>59.230692610728923</v>
      </c>
      <c r="AZ23" s="189">
        <v>76.097464300047577</v>
      </c>
      <c r="BA23" s="189">
        <v>82.422307619001344</v>
      </c>
      <c r="BB23" s="188">
        <v>91.945269557157303</v>
      </c>
      <c r="BC23" s="189"/>
      <c r="BD23" s="189">
        <v>0.18390753148124411</v>
      </c>
      <c r="BE23" s="189">
        <v>0.19747512527477654</v>
      </c>
      <c r="BF23" s="189">
        <v>0.2536389992577906</v>
      </c>
      <c r="BG23" s="189">
        <v>0.27476178740863866</v>
      </c>
      <c r="BH23" s="188">
        <v>0.30651724559561289</v>
      </c>
    </row>
    <row r="24" spans="1:60" x14ac:dyDescent="0.2">
      <c r="A24" s="91" t="str">
        <f>$A$10</f>
        <v>25-29</v>
      </c>
      <c r="B24" s="189">
        <v>66.398736675349255</v>
      </c>
      <c r="C24" s="189">
        <v>69.045212178063281</v>
      </c>
      <c r="D24" s="189">
        <v>66.627042081793974</v>
      </c>
      <c r="E24" s="189">
        <v>68.686692459413791</v>
      </c>
      <c r="F24" s="188">
        <v>61.118016987628771</v>
      </c>
      <c r="G24" s="189"/>
      <c r="H24" s="189">
        <v>22.566174767142297</v>
      </c>
      <c r="I24" s="189">
        <v>23.465649013403809</v>
      </c>
      <c r="J24" s="189">
        <v>22.643783635613381</v>
      </c>
      <c r="K24" s="189">
        <v>23.343782133688464</v>
      </c>
      <c r="L24" s="188">
        <v>20.771486527956</v>
      </c>
      <c r="M24" s="189"/>
      <c r="N24" s="189">
        <v>43.832561908206955</v>
      </c>
      <c r="O24" s="189">
        <v>45.579563164659476</v>
      </c>
      <c r="P24" s="189">
        <v>43.983258446180592</v>
      </c>
      <c r="Q24" s="189">
        <v>45.342910325725327</v>
      </c>
      <c r="R24" s="188">
        <v>40.346530459672763</v>
      </c>
      <c r="S24" s="189"/>
      <c r="T24" s="189">
        <v>0</v>
      </c>
      <c r="U24" s="189">
        <v>0</v>
      </c>
      <c r="V24" s="189">
        <v>0</v>
      </c>
      <c r="W24" s="189">
        <v>0</v>
      </c>
      <c r="X24" s="188">
        <v>0</v>
      </c>
      <c r="Y24" s="91" t="str">
        <f>$A$10</f>
        <v>25-29</v>
      </c>
      <c r="Z24" s="189">
        <v>157.53682636123301</v>
      </c>
      <c r="AA24" s="189">
        <v>146.82469164415315</v>
      </c>
      <c r="AB24" s="189">
        <v>162.09459077138558</v>
      </c>
      <c r="AC24" s="189">
        <v>176.76412293200428</v>
      </c>
      <c r="AD24" s="188">
        <v>178.0449747242445</v>
      </c>
      <c r="AE24" s="189"/>
      <c r="AF24" s="189">
        <v>147.64849438417414</v>
      </c>
      <c r="AG24" s="189">
        <v>137.60882551682283</v>
      </c>
      <c r="AH24" s="189">
        <v>151.92024178805138</v>
      </c>
      <c r="AI24" s="189">
        <v>165.66900835507411</v>
      </c>
      <c r="AJ24" s="188">
        <v>166.86940114891388</v>
      </c>
      <c r="AK24" s="189"/>
      <c r="AL24" s="189">
        <v>9.8883319770588862</v>
      </c>
      <c r="AM24" s="189">
        <v>9.21586612733031</v>
      </c>
      <c r="AN24" s="189">
        <v>10.174348983334211</v>
      </c>
      <c r="AO24" s="189">
        <v>11.095114576930154</v>
      </c>
      <c r="AP24" s="188">
        <v>11.175573575330596</v>
      </c>
      <c r="AQ24" s="91" t="str">
        <f t="shared" si="32"/>
        <v>25-29</v>
      </c>
      <c r="AR24" s="189">
        <v>119.99943696341774</v>
      </c>
      <c r="AS24" s="189">
        <v>129.39109617778351</v>
      </c>
      <c r="AT24" s="189">
        <v>137.02936714682045</v>
      </c>
      <c r="AU24" s="189">
        <v>151.42218460858194</v>
      </c>
      <c r="AV24" s="188">
        <v>154.61300828812676</v>
      </c>
      <c r="AW24" s="189"/>
      <c r="AX24" s="189">
        <v>118.70993980899782</v>
      </c>
      <c r="AY24" s="189">
        <v>128.00063464065943</v>
      </c>
      <c r="AZ24" s="189">
        <v>135.5567932955843</v>
      </c>
      <c r="BA24" s="189">
        <v>149.7950052068511</v>
      </c>
      <c r="BB24" s="188">
        <v>152.9514745672883</v>
      </c>
      <c r="BC24" s="189"/>
      <c r="BD24" s="189">
        <v>1.2894971544199207</v>
      </c>
      <c r="BE24" s="189">
        <v>1.3904615371240769</v>
      </c>
      <c r="BF24" s="189">
        <v>1.4725738512361566</v>
      </c>
      <c r="BG24" s="189">
        <v>1.6271794017308401</v>
      </c>
      <c r="BH24" s="188">
        <v>1.6615337208384582</v>
      </c>
    </row>
    <row r="25" spans="1:60" x14ac:dyDescent="0.2">
      <c r="A25" s="91" t="str">
        <f>$A$11</f>
        <v>30-34</v>
      </c>
      <c r="B25" s="189">
        <v>68.283196879250426</v>
      </c>
      <c r="C25" s="189">
        <v>66.945802724107253</v>
      </c>
      <c r="D25" s="189">
        <v>66.03723253213704</v>
      </c>
      <c r="E25" s="189">
        <v>61.74876482433028</v>
      </c>
      <c r="F25" s="188">
        <v>53.450029841365982</v>
      </c>
      <c r="G25" s="189"/>
      <c r="H25" s="189">
        <v>24.544039774496266</v>
      </c>
      <c r="I25" s="189">
        <v>24.063322041545216</v>
      </c>
      <c r="J25" s="189">
        <v>23.736795331659089</v>
      </c>
      <c r="K25" s="189">
        <v>22.195343632842444</v>
      </c>
      <c r="L25" s="188">
        <v>19.212368288465317</v>
      </c>
      <c r="M25" s="189"/>
      <c r="N25" s="189">
        <v>43.739157104754149</v>
      </c>
      <c r="O25" s="189">
        <v>42.88248068256204</v>
      </c>
      <c r="P25" s="189">
        <v>42.300437200477958</v>
      </c>
      <c r="Q25" s="189">
        <v>39.553421191487843</v>
      </c>
      <c r="R25" s="188">
        <v>34.237661552900661</v>
      </c>
      <c r="S25" s="189"/>
      <c r="T25" s="189">
        <v>0</v>
      </c>
      <c r="U25" s="189">
        <v>0</v>
      </c>
      <c r="V25" s="189">
        <v>0</v>
      </c>
      <c r="W25" s="189">
        <v>0</v>
      </c>
      <c r="X25" s="188">
        <v>0</v>
      </c>
      <c r="Y25" s="91" t="str">
        <f>$A$11</f>
        <v>30-34</v>
      </c>
      <c r="Z25" s="189">
        <v>148.60780472425301</v>
      </c>
      <c r="AA25" s="189">
        <v>147.31893427815288</v>
      </c>
      <c r="AB25" s="189">
        <v>161.47366094590328</v>
      </c>
      <c r="AC25" s="189">
        <v>172.47340823028688</v>
      </c>
      <c r="AD25" s="188">
        <v>191.95713844294832</v>
      </c>
      <c r="AE25" s="189"/>
      <c r="AF25" s="189">
        <v>138.80683308840062</v>
      </c>
      <c r="AG25" s="189">
        <v>137.60298665378525</v>
      </c>
      <c r="AH25" s="189">
        <v>150.82413863510811</v>
      </c>
      <c r="AI25" s="189">
        <v>161.09845641798645</v>
      </c>
      <c r="AJ25" s="188">
        <v>179.29720884021523</v>
      </c>
      <c r="AK25" s="189"/>
      <c r="AL25" s="189">
        <v>9.8009716358523953</v>
      </c>
      <c r="AM25" s="189">
        <v>9.7159476243676277</v>
      </c>
      <c r="AN25" s="189">
        <v>10.649522310795193</v>
      </c>
      <c r="AO25" s="189">
        <v>11.374951812300438</v>
      </c>
      <c r="AP25" s="188">
        <v>12.659929602733092</v>
      </c>
      <c r="AQ25" s="91" t="str">
        <f t="shared" si="32"/>
        <v>30-34</v>
      </c>
      <c r="AR25" s="189">
        <v>129.43499839649661</v>
      </c>
      <c r="AS25" s="189">
        <v>136.9352629977399</v>
      </c>
      <c r="AT25" s="189">
        <v>146.86710652195967</v>
      </c>
      <c r="AU25" s="189">
        <v>156.94682694538284</v>
      </c>
      <c r="AV25" s="188">
        <v>178.67283171568567</v>
      </c>
      <c r="AW25" s="189"/>
      <c r="AX25" s="189">
        <v>126.08382142150504</v>
      </c>
      <c r="AY25" s="189">
        <v>133.38988826824271</v>
      </c>
      <c r="AZ25" s="189">
        <v>143.06466319041809</v>
      </c>
      <c r="BA25" s="189">
        <v>152.88342672901697</v>
      </c>
      <c r="BB25" s="188">
        <v>174.04687249714561</v>
      </c>
      <c r="BC25" s="189"/>
      <c r="BD25" s="189">
        <v>3.3511769749915721</v>
      </c>
      <c r="BE25" s="189">
        <v>3.5453747294971758</v>
      </c>
      <c r="BF25" s="189">
        <v>3.8024433315415691</v>
      </c>
      <c r="BG25" s="189">
        <v>4.0634002163658671</v>
      </c>
      <c r="BH25" s="188">
        <v>4.625959218540066</v>
      </c>
    </row>
    <row r="26" spans="1:60" x14ac:dyDescent="0.2">
      <c r="A26" s="91" t="str">
        <f>$A$12</f>
        <v>35-39</v>
      </c>
      <c r="B26" s="189">
        <v>81.570107580789099</v>
      </c>
      <c r="C26" s="189">
        <v>83.089506586868126</v>
      </c>
      <c r="D26" s="189">
        <v>69.396955766521813</v>
      </c>
      <c r="E26" s="189">
        <v>57.477476782623199</v>
      </c>
      <c r="F26" s="188">
        <v>45.376437261099497</v>
      </c>
      <c r="G26" s="189"/>
      <c r="H26" s="189">
        <v>27.823839481647656</v>
      </c>
      <c r="I26" s="189">
        <v>28.342149363665129</v>
      </c>
      <c r="J26" s="189">
        <v>23.671532314933994</v>
      </c>
      <c r="K26" s="189">
        <v>19.605797942974593</v>
      </c>
      <c r="L26" s="188">
        <v>15.478099602590135</v>
      </c>
      <c r="M26" s="189"/>
      <c r="N26" s="189">
        <v>53.746268099141446</v>
      </c>
      <c r="O26" s="189">
        <v>54.747357223203004</v>
      </c>
      <c r="P26" s="189">
        <v>45.725423451587815</v>
      </c>
      <c r="Q26" s="189">
        <v>37.871678839648609</v>
      </c>
      <c r="R26" s="188">
        <v>29.898337658509362</v>
      </c>
      <c r="S26" s="189"/>
      <c r="T26" s="189">
        <v>0</v>
      </c>
      <c r="U26" s="189">
        <v>0</v>
      </c>
      <c r="V26" s="189">
        <v>0</v>
      </c>
      <c r="W26" s="189">
        <v>0</v>
      </c>
      <c r="X26" s="188">
        <v>0</v>
      </c>
      <c r="Y26" s="91" t="str">
        <f>$A$12</f>
        <v>35-39</v>
      </c>
      <c r="Z26" s="189">
        <v>172.87314170144836</v>
      </c>
      <c r="AA26" s="189">
        <v>151.81746175182639</v>
      </c>
      <c r="AB26" s="189">
        <v>156.19921187888309</v>
      </c>
      <c r="AC26" s="189">
        <v>170.06847351368867</v>
      </c>
      <c r="AD26" s="188">
        <v>183.91916269923121</v>
      </c>
      <c r="AE26" s="189"/>
      <c r="AF26" s="189">
        <v>162.99555148006215</v>
      </c>
      <c r="AG26" s="189">
        <v>143.14291162441359</v>
      </c>
      <c r="AH26" s="189">
        <v>147.27436031165053</v>
      </c>
      <c r="AI26" s="189">
        <v>160.35109660117249</v>
      </c>
      <c r="AJ26" s="188">
        <v>173.41038032330772</v>
      </c>
      <c r="AK26" s="189"/>
      <c r="AL26" s="189">
        <v>9.8775902213862175</v>
      </c>
      <c r="AM26" s="189">
        <v>8.6745501274128145</v>
      </c>
      <c r="AN26" s="189">
        <v>8.9248515672325688</v>
      </c>
      <c r="AO26" s="189">
        <v>9.7173769125161513</v>
      </c>
      <c r="AP26" s="188">
        <v>10.508782375923495</v>
      </c>
      <c r="AQ26" s="91" t="str">
        <f t="shared" si="32"/>
        <v>35-39</v>
      </c>
      <c r="AR26" s="189">
        <v>130.84375071776253</v>
      </c>
      <c r="AS26" s="189">
        <v>143.10303166130547</v>
      </c>
      <c r="AT26" s="189">
        <v>145.7508323545951</v>
      </c>
      <c r="AU26" s="189">
        <v>161.80904970368815</v>
      </c>
      <c r="AV26" s="188">
        <v>178.15540003966933</v>
      </c>
      <c r="AW26" s="189"/>
      <c r="AX26" s="189">
        <v>127.60652595957404</v>
      </c>
      <c r="AY26" s="189">
        <v>139.56251449676819</v>
      </c>
      <c r="AZ26" s="189">
        <v>142.14475173688641</v>
      </c>
      <c r="BA26" s="189">
        <v>157.80566912987618</v>
      </c>
      <c r="BB26" s="188">
        <v>173.74761952873018</v>
      </c>
      <c r="BC26" s="189"/>
      <c r="BD26" s="189">
        <v>3.237224758188491</v>
      </c>
      <c r="BE26" s="189">
        <v>3.5405171645372788</v>
      </c>
      <c r="BF26" s="189">
        <v>3.6060806177086793</v>
      </c>
      <c r="BG26" s="189">
        <v>4.003380573811949</v>
      </c>
      <c r="BH26" s="188">
        <v>4.4077805109391317</v>
      </c>
    </row>
    <row r="27" spans="1:60" x14ac:dyDescent="0.2">
      <c r="A27" s="91" t="str">
        <f>$A$13</f>
        <v>40-44</v>
      </c>
      <c r="B27" s="189">
        <v>109.36258023994721</v>
      </c>
      <c r="C27" s="189">
        <v>100.65735353635027</v>
      </c>
      <c r="D27" s="189">
        <v>79.894996074335893</v>
      </c>
      <c r="E27" s="189">
        <v>58.266248681924139</v>
      </c>
      <c r="F27" s="188">
        <v>44.943691641188508</v>
      </c>
      <c r="G27" s="189"/>
      <c r="H27" s="189">
        <v>37.497201603751407</v>
      </c>
      <c r="I27" s="189">
        <v>34.512468517177361</v>
      </c>
      <c r="J27" s="189">
        <v>27.393678246007219</v>
      </c>
      <c r="K27" s="189">
        <v>19.977808097422283</v>
      </c>
      <c r="L27" s="188">
        <v>15.409876741628949</v>
      </c>
      <c r="M27" s="189"/>
      <c r="N27" s="189">
        <v>71.8653786361958</v>
      </c>
      <c r="O27" s="189">
        <v>66.144885019172918</v>
      </c>
      <c r="P27" s="189">
        <v>52.501317828328666</v>
      </c>
      <c r="Q27" s="189">
        <v>38.288440584501856</v>
      </c>
      <c r="R27" s="188">
        <v>29.533814899559559</v>
      </c>
      <c r="S27" s="189"/>
      <c r="T27" s="189">
        <v>0</v>
      </c>
      <c r="U27" s="189">
        <v>0</v>
      </c>
      <c r="V27" s="189">
        <v>0</v>
      </c>
      <c r="W27" s="189">
        <v>0</v>
      </c>
      <c r="X27" s="188">
        <v>0</v>
      </c>
      <c r="Y27" s="91" t="str">
        <f>$A$13</f>
        <v>40-44</v>
      </c>
      <c r="Z27" s="189">
        <v>173.78731454334542</v>
      </c>
      <c r="AA27" s="189">
        <v>163.77527356450886</v>
      </c>
      <c r="AB27" s="189">
        <v>162.60647900072252</v>
      </c>
      <c r="AC27" s="189">
        <v>166.47427183086532</v>
      </c>
      <c r="AD27" s="188">
        <v>181.69643068872716</v>
      </c>
      <c r="AE27" s="189"/>
      <c r="AF27" s="189">
        <v>165.32689297611799</v>
      </c>
      <c r="AG27" s="189">
        <v>155.80222756557217</v>
      </c>
      <c r="AH27" s="189">
        <v>154.69035923872957</v>
      </c>
      <c r="AI27" s="189">
        <v>158.36986274844344</v>
      </c>
      <c r="AJ27" s="188">
        <v>172.85093659793318</v>
      </c>
      <c r="AK27" s="189"/>
      <c r="AL27" s="189">
        <v>8.4604215672274528</v>
      </c>
      <c r="AM27" s="189">
        <v>7.9730459989366764</v>
      </c>
      <c r="AN27" s="189">
        <v>7.9161197619929249</v>
      </c>
      <c r="AO27" s="189">
        <v>8.1044090824218635</v>
      </c>
      <c r="AP27" s="188">
        <v>8.8454940907939719</v>
      </c>
      <c r="AQ27" s="91" t="str">
        <f t="shared" si="32"/>
        <v>40-44</v>
      </c>
      <c r="AR27" s="189">
        <v>128.62610521670734</v>
      </c>
      <c r="AS27" s="189">
        <v>136.39037289914091</v>
      </c>
      <c r="AT27" s="189">
        <v>148.07052492494154</v>
      </c>
      <c r="AU27" s="189">
        <v>154.31647948721056</v>
      </c>
      <c r="AV27" s="188">
        <v>171.30987767008435</v>
      </c>
      <c r="AW27" s="189"/>
      <c r="AX27" s="189">
        <v>125.76772964125814</v>
      </c>
      <c r="AY27" s="189">
        <v>133.35947800784845</v>
      </c>
      <c r="AZ27" s="189">
        <v>144.78005921667193</v>
      </c>
      <c r="BA27" s="189">
        <v>150.88727091047099</v>
      </c>
      <c r="BB27" s="188">
        <v>167.50296624498654</v>
      </c>
      <c r="BC27" s="189"/>
      <c r="BD27" s="189">
        <v>2.8583755754492008</v>
      </c>
      <c r="BE27" s="189">
        <v>3.030894891292423</v>
      </c>
      <c r="BF27" s="189">
        <v>3.2904657082695943</v>
      </c>
      <c r="BG27" s="189">
        <v>3.4292085767395757</v>
      </c>
      <c r="BH27" s="188">
        <v>3.8069114250978413</v>
      </c>
    </row>
    <row r="28" spans="1:60" x14ac:dyDescent="0.2">
      <c r="A28" s="91" t="str">
        <f>$A$14</f>
        <v>45-49</v>
      </c>
      <c r="B28" s="189">
        <v>133.05883203982552</v>
      </c>
      <c r="C28" s="189">
        <v>130.62922404585686</v>
      </c>
      <c r="D28" s="189">
        <v>99.593963362259984</v>
      </c>
      <c r="E28" s="189">
        <v>77.436632042573009</v>
      </c>
      <c r="F28" s="188">
        <v>59.492715137111858</v>
      </c>
      <c r="G28" s="189"/>
      <c r="H28" s="189">
        <v>45.027200591392536</v>
      </c>
      <c r="I28" s="189">
        <v>44.204981813015024</v>
      </c>
      <c r="J28" s="189">
        <v>33.702642640591492</v>
      </c>
      <c r="K28" s="189">
        <v>26.204594261379921</v>
      </c>
      <c r="L28" s="188">
        <v>20.132393786098973</v>
      </c>
      <c r="M28" s="189"/>
      <c r="N28" s="189">
        <v>88.031631448432989</v>
      </c>
      <c r="O28" s="189">
        <v>86.424242232841848</v>
      </c>
      <c r="P28" s="189">
        <v>65.891320721668478</v>
      </c>
      <c r="Q28" s="189">
        <v>51.232037781193085</v>
      </c>
      <c r="R28" s="188">
        <v>39.360321351012892</v>
      </c>
      <c r="S28" s="189"/>
      <c r="T28" s="189">
        <v>0</v>
      </c>
      <c r="U28" s="189">
        <v>0</v>
      </c>
      <c r="V28" s="189">
        <v>0</v>
      </c>
      <c r="W28" s="189">
        <v>0</v>
      </c>
      <c r="X28" s="188">
        <v>0</v>
      </c>
      <c r="Y28" s="91" t="str">
        <f>$A$14</f>
        <v>45-49</v>
      </c>
      <c r="Z28" s="189">
        <v>147.70040930140374</v>
      </c>
      <c r="AA28" s="189">
        <v>150.78309476094216</v>
      </c>
      <c r="AB28" s="189">
        <v>165.92406107867228</v>
      </c>
      <c r="AC28" s="189">
        <v>170.02775905499576</v>
      </c>
      <c r="AD28" s="188">
        <v>173.29143493241449</v>
      </c>
      <c r="AE28" s="189"/>
      <c r="AF28" s="189">
        <v>141.54694322175274</v>
      </c>
      <c r="AG28" s="189">
        <v>144.50116492117996</v>
      </c>
      <c r="AH28" s="189">
        <v>159.01136074679223</v>
      </c>
      <c r="AI28" s="189">
        <v>162.94414401206637</v>
      </c>
      <c r="AJ28" s="188">
        <v>166.07180166684751</v>
      </c>
      <c r="AK28" s="189"/>
      <c r="AL28" s="189">
        <v>6.1534660796509844</v>
      </c>
      <c r="AM28" s="189">
        <v>6.2819298397621735</v>
      </c>
      <c r="AN28" s="189">
        <v>6.9127003318800542</v>
      </c>
      <c r="AO28" s="189">
        <v>7.0836150429293721</v>
      </c>
      <c r="AP28" s="188">
        <v>7.2196332655670084</v>
      </c>
      <c r="AQ28" s="91" t="str">
        <f t="shared" si="32"/>
        <v>45-49</v>
      </c>
      <c r="AR28" s="189">
        <v>123.31275865877076</v>
      </c>
      <c r="AS28" s="189">
        <v>132.41368119320103</v>
      </c>
      <c r="AT28" s="189">
        <v>140.53797555906777</v>
      </c>
      <c r="AU28" s="189">
        <v>145.28260890243126</v>
      </c>
      <c r="AV28" s="188">
        <v>149.41884993047367</v>
      </c>
      <c r="AW28" s="189"/>
      <c r="AX28" s="189">
        <v>120.05066515719325</v>
      </c>
      <c r="AY28" s="189">
        <v>128.91090449693274</v>
      </c>
      <c r="AZ28" s="189">
        <v>136.82028565996129</v>
      </c>
      <c r="BA28" s="189">
        <v>141.4394248982336</v>
      </c>
      <c r="BB28" s="188">
        <v>145.46618310656098</v>
      </c>
      <c r="BC28" s="189"/>
      <c r="BD28" s="189">
        <v>3.2620935015775157</v>
      </c>
      <c r="BE28" s="189">
        <v>3.5027766962682798</v>
      </c>
      <c r="BF28" s="189">
        <v>3.7176898991064919</v>
      </c>
      <c r="BG28" s="189">
        <v>3.8431840041976795</v>
      </c>
      <c r="BH28" s="188">
        <v>3.952666823912681</v>
      </c>
    </row>
    <row r="29" spans="1:60" x14ac:dyDescent="0.2">
      <c r="A29" s="91" t="str">
        <f>$A$15</f>
        <v>50-54</v>
      </c>
      <c r="B29" s="189">
        <v>142.62528866518252</v>
      </c>
      <c r="C29" s="189">
        <v>144.67879652164194</v>
      </c>
      <c r="D29" s="189">
        <v>129.89288976403338</v>
      </c>
      <c r="E29" s="189">
        <v>108.5906384249285</v>
      </c>
      <c r="F29" s="188">
        <v>88.797023806023716</v>
      </c>
      <c r="G29" s="189"/>
      <c r="H29" s="189">
        <v>58.809677206890292</v>
      </c>
      <c r="I29" s="189">
        <v>59.656444402939428</v>
      </c>
      <c r="J29" s="189">
        <v>53.559622114055813</v>
      </c>
      <c r="K29" s="189">
        <v>44.77589197427843</v>
      </c>
      <c r="L29" s="188">
        <v>36.614290916009523</v>
      </c>
      <c r="M29" s="189"/>
      <c r="N29" s="189">
        <v>83.815611458292224</v>
      </c>
      <c r="O29" s="189">
        <v>85.022352118702528</v>
      </c>
      <c r="P29" s="189">
        <v>76.333267649977572</v>
      </c>
      <c r="Q29" s="189">
        <v>63.814746450650077</v>
      </c>
      <c r="R29" s="188">
        <v>52.182732890014194</v>
      </c>
      <c r="S29" s="189"/>
      <c r="T29" s="189">
        <v>0</v>
      </c>
      <c r="U29" s="189">
        <v>0</v>
      </c>
      <c r="V29" s="189">
        <v>0</v>
      </c>
      <c r="W29" s="189">
        <v>0</v>
      </c>
      <c r="X29" s="188">
        <v>0</v>
      </c>
      <c r="Y29" s="91" t="str">
        <f>$A$15</f>
        <v>50-54</v>
      </c>
      <c r="Z29" s="189">
        <v>128.12433076039389</v>
      </c>
      <c r="AA29" s="189">
        <v>131.63132793945925</v>
      </c>
      <c r="AB29" s="189">
        <v>150.56527705284162</v>
      </c>
      <c r="AC29" s="189">
        <v>157.47681805010433</v>
      </c>
      <c r="AD29" s="188">
        <v>161.81424705237774</v>
      </c>
      <c r="AE29" s="189"/>
      <c r="AF29" s="189">
        <v>122.55278649675924</v>
      </c>
      <c r="AG29" s="189">
        <v>125.90722170135525</v>
      </c>
      <c r="AH29" s="189">
        <v>144.01786562915689</v>
      </c>
      <c r="AI29" s="189">
        <v>150.62881683229153</v>
      </c>
      <c r="AJ29" s="188">
        <v>154.77764225506792</v>
      </c>
      <c r="AK29" s="189"/>
      <c r="AL29" s="189">
        <v>5.5715442636346637</v>
      </c>
      <c r="AM29" s="189">
        <v>5.7241062381040022</v>
      </c>
      <c r="AN29" s="189">
        <v>6.5474114236847223</v>
      </c>
      <c r="AO29" s="189">
        <v>6.848001217812798</v>
      </c>
      <c r="AP29" s="188">
        <v>7.0366047973098143</v>
      </c>
      <c r="AQ29" s="91" t="str">
        <f t="shared" si="32"/>
        <v>50-54</v>
      </c>
      <c r="AR29" s="189">
        <v>99.533380574423589</v>
      </c>
      <c r="AS29" s="189">
        <v>107.85887553889877</v>
      </c>
      <c r="AT29" s="189">
        <v>131.66083318312499</v>
      </c>
      <c r="AU29" s="189">
        <v>136.99154352496717</v>
      </c>
      <c r="AV29" s="188">
        <v>140.23672914159854</v>
      </c>
      <c r="AW29" s="189"/>
      <c r="AX29" s="189">
        <v>96.536032850777929</v>
      </c>
      <c r="AY29" s="189">
        <v>104.61089167560138</v>
      </c>
      <c r="AZ29" s="189">
        <v>127.6960784524572</v>
      </c>
      <c r="BA29" s="189">
        <v>132.86627000855998</v>
      </c>
      <c r="BB29" s="188">
        <v>136.01369492085831</v>
      </c>
      <c r="BC29" s="189"/>
      <c r="BD29" s="189">
        <v>2.9973477236456505</v>
      </c>
      <c r="BE29" s="189">
        <v>3.2479838632974087</v>
      </c>
      <c r="BF29" s="189">
        <v>3.9647547306677895</v>
      </c>
      <c r="BG29" s="189">
        <v>4.1252735164071801</v>
      </c>
      <c r="BH29" s="188">
        <v>4.2230342207402218</v>
      </c>
    </row>
    <row r="30" spans="1:60" x14ac:dyDescent="0.2">
      <c r="A30" s="91" t="str">
        <f>$A$16</f>
        <v>55-59</v>
      </c>
      <c r="B30" s="189">
        <v>142.02345355885194</v>
      </c>
      <c r="C30" s="189">
        <v>143.44952230302076</v>
      </c>
      <c r="D30" s="189">
        <v>139.14959212331905</v>
      </c>
      <c r="E30" s="189">
        <v>133.10606492478584</v>
      </c>
      <c r="F30" s="188">
        <v>109.14650779855604</v>
      </c>
      <c r="G30" s="189"/>
      <c r="H30" s="189">
        <v>65.471577847382605</v>
      </c>
      <c r="I30" s="189">
        <v>66.128938994656224</v>
      </c>
      <c r="J30" s="189">
        <v>64.146760401718026</v>
      </c>
      <c r="K30" s="189">
        <v>61.360743377948751</v>
      </c>
      <c r="L30" s="188">
        <v>50.315564885494574</v>
      </c>
      <c r="M30" s="189"/>
      <c r="N30" s="189">
        <v>76.551875711469307</v>
      </c>
      <c r="O30" s="189">
        <v>77.320583308364533</v>
      </c>
      <c r="P30" s="189">
        <v>75.002831721601012</v>
      </c>
      <c r="Q30" s="189">
        <v>71.74532154683709</v>
      </c>
      <c r="R30" s="188">
        <v>58.830942913061456</v>
      </c>
      <c r="S30" s="189"/>
      <c r="T30" s="189">
        <v>0</v>
      </c>
      <c r="U30" s="189">
        <v>0</v>
      </c>
      <c r="V30" s="189">
        <v>0</v>
      </c>
      <c r="W30" s="189">
        <v>0</v>
      </c>
      <c r="X30" s="188">
        <v>0</v>
      </c>
      <c r="Y30" s="91" t="str">
        <f>$A$16</f>
        <v>55-59</v>
      </c>
      <c r="Z30" s="189">
        <v>109.05588764571488</v>
      </c>
      <c r="AA30" s="189">
        <v>103.02668159053177</v>
      </c>
      <c r="AB30" s="189">
        <v>125.61808852626254</v>
      </c>
      <c r="AC30" s="189">
        <v>146.63086089061352</v>
      </c>
      <c r="AD30" s="188">
        <v>154.81770782548793</v>
      </c>
      <c r="AE30" s="189"/>
      <c r="AF30" s="189">
        <v>103.75944425598405</v>
      </c>
      <c r="AG30" s="189">
        <v>98.023014500202649</v>
      </c>
      <c r="AH30" s="189">
        <v>119.51727296970975</v>
      </c>
      <c r="AI30" s="189">
        <v>139.509472215926</v>
      </c>
      <c r="AJ30" s="188">
        <v>147.29874653579841</v>
      </c>
      <c r="AK30" s="189"/>
      <c r="AL30" s="189">
        <v>5.296443389730813</v>
      </c>
      <c r="AM30" s="189">
        <v>5.0036670903291043</v>
      </c>
      <c r="AN30" s="189">
        <v>6.1008155565527895</v>
      </c>
      <c r="AO30" s="189">
        <v>7.1213886746875295</v>
      </c>
      <c r="AP30" s="188">
        <v>7.5189612896894937</v>
      </c>
      <c r="AQ30" s="91" t="str">
        <f t="shared" si="32"/>
        <v>55-59</v>
      </c>
      <c r="AR30" s="189">
        <v>86.859658795433134</v>
      </c>
      <c r="AS30" s="189">
        <v>96.998796106447443</v>
      </c>
      <c r="AT30" s="189">
        <v>110.9803193504184</v>
      </c>
      <c r="AU30" s="189">
        <v>123.37107418460066</v>
      </c>
      <c r="AV30" s="188">
        <v>131.50178437595608</v>
      </c>
      <c r="AW30" s="189"/>
      <c r="AX30" s="189">
        <v>84.146035314499002</v>
      </c>
      <c r="AY30" s="189">
        <v>93.968368312463639</v>
      </c>
      <c r="AZ30" s="189">
        <v>107.5131451192468</v>
      </c>
      <c r="BA30" s="189">
        <v>119.51673817354288</v>
      </c>
      <c r="BB30" s="188">
        <v>127.3934508351265</v>
      </c>
      <c r="BC30" s="189"/>
      <c r="BD30" s="189">
        <v>2.7136234809341366</v>
      </c>
      <c r="BE30" s="189">
        <v>3.030427793983804</v>
      </c>
      <c r="BF30" s="189">
        <v>3.4671742311715938</v>
      </c>
      <c r="BG30" s="189">
        <v>3.8543360110577858</v>
      </c>
      <c r="BH30" s="188">
        <v>4.1083335408295882</v>
      </c>
    </row>
    <row r="31" spans="1:60" x14ac:dyDescent="0.2">
      <c r="A31" s="91" t="str">
        <f>$A$17</f>
        <v>60-64</v>
      </c>
      <c r="B31" s="189">
        <v>135.20871159850742</v>
      </c>
      <c r="C31" s="189">
        <v>139.14227803640441</v>
      </c>
      <c r="D31" s="189">
        <v>130.14619876262617</v>
      </c>
      <c r="E31" s="189">
        <v>116.92965912610188</v>
      </c>
      <c r="F31" s="188">
        <v>97.821165625616288</v>
      </c>
      <c r="G31" s="189"/>
      <c r="H31" s="189">
        <v>70.289274754240722</v>
      </c>
      <c r="I31" s="189">
        <v>72.334142210216811</v>
      </c>
      <c r="J31" s="189">
        <v>67.657493952962056</v>
      </c>
      <c r="K31" s="189">
        <v>60.786778379352796</v>
      </c>
      <c r="L31" s="188">
        <v>50.853075153050249</v>
      </c>
      <c r="M31" s="189"/>
      <c r="N31" s="189">
        <v>64.919436844266713</v>
      </c>
      <c r="O31" s="189">
        <v>66.808135826187581</v>
      </c>
      <c r="P31" s="189">
        <v>62.488704809664121</v>
      </c>
      <c r="Q31" s="189">
        <v>56.142880746749078</v>
      </c>
      <c r="R31" s="188">
        <v>46.968090472566033</v>
      </c>
      <c r="S31" s="189"/>
      <c r="T31" s="189">
        <v>0</v>
      </c>
      <c r="U31" s="189">
        <v>0</v>
      </c>
      <c r="V31" s="189">
        <v>0</v>
      </c>
      <c r="W31" s="189">
        <v>0</v>
      </c>
      <c r="X31" s="188">
        <v>0</v>
      </c>
      <c r="Y31" s="91" t="str">
        <f>$A$17</f>
        <v>60-64</v>
      </c>
      <c r="Z31" s="189">
        <v>86.312916170074814</v>
      </c>
      <c r="AA31" s="189">
        <v>87.978682675397692</v>
      </c>
      <c r="AB31" s="189">
        <v>102.45961005200583</v>
      </c>
      <c r="AC31" s="189">
        <v>124.91232684164649</v>
      </c>
      <c r="AD31" s="188">
        <v>146.90533839921289</v>
      </c>
      <c r="AE31" s="189"/>
      <c r="AF31" s="189">
        <v>82.494145323393639</v>
      </c>
      <c r="AG31" s="189">
        <v>84.086253978523061</v>
      </c>
      <c r="AH31" s="189">
        <v>97.926456664959204</v>
      </c>
      <c r="AI31" s="189">
        <v>119.38584315305835</v>
      </c>
      <c r="AJ31" s="188">
        <v>140.40583035374158</v>
      </c>
      <c r="AK31" s="189"/>
      <c r="AL31" s="189">
        <v>3.8187708466811769</v>
      </c>
      <c r="AM31" s="189">
        <v>3.8924286968746324</v>
      </c>
      <c r="AN31" s="189">
        <v>4.533153387046621</v>
      </c>
      <c r="AO31" s="189">
        <v>5.5264836885881472</v>
      </c>
      <c r="AP31" s="188">
        <v>6.4995080454712904</v>
      </c>
      <c r="AQ31" s="91" t="str">
        <f t="shared" si="32"/>
        <v>60-64</v>
      </c>
      <c r="AR31" s="189">
        <v>67.855372231417789</v>
      </c>
      <c r="AS31" s="189">
        <v>83.945039288197918</v>
      </c>
      <c r="AT31" s="189">
        <v>95.468191185367971</v>
      </c>
      <c r="AU31" s="189">
        <v>119.10401403225165</v>
      </c>
      <c r="AV31" s="188">
        <v>144.11749597517081</v>
      </c>
      <c r="AW31" s="189"/>
      <c r="AX31" s="189">
        <v>65.304426563134072</v>
      </c>
      <c r="AY31" s="189">
        <v>80.789147061586561</v>
      </c>
      <c r="AZ31" s="189">
        <v>91.879108865414764</v>
      </c>
      <c r="BA31" s="189">
        <v>114.62635921396409</v>
      </c>
      <c r="BB31" s="188">
        <v>138.69950783520864</v>
      </c>
      <c r="BC31" s="189"/>
      <c r="BD31" s="189">
        <v>2.5509456682837173</v>
      </c>
      <c r="BE31" s="189">
        <v>3.1558922266113782</v>
      </c>
      <c r="BF31" s="189">
        <v>3.5890823199532207</v>
      </c>
      <c r="BG31" s="189">
        <v>4.4776548182875615</v>
      </c>
      <c r="BH31" s="188">
        <v>5.4179881399621461</v>
      </c>
    </row>
    <row r="32" spans="1:60" x14ac:dyDescent="0.2">
      <c r="A32" s="91" t="str">
        <f>$A$18</f>
        <v>65+</v>
      </c>
      <c r="B32" s="189">
        <v>413.27348346987924</v>
      </c>
      <c r="C32" s="189">
        <v>413.22199816727857</v>
      </c>
      <c r="D32" s="189">
        <v>382.42661647142006</v>
      </c>
      <c r="E32" s="189">
        <v>344.26916975565996</v>
      </c>
      <c r="F32" s="188">
        <v>299.66486973953153</v>
      </c>
      <c r="G32" s="189"/>
      <c r="H32" s="189">
        <v>280.86103102264485</v>
      </c>
      <c r="I32" s="189">
        <v>280.82599650665259</v>
      </c>
      <c r="J32" s="189">
        <v>259.89747790143747</v>
      </c>
      <c r="K32" s="189">
        <v>233.96563126418033</v>
      </c>
      <c r="L32" s="188">
        <v>203.65250932991842</v>
      </c>
      <c r="M32" s="189"/>
      <c r="N32" s="189">
        <v>132.41245244723444</v>
      </c>
      <c r="O32" s="189">
        <v>132.39600166062604</v>
      </c>
      <c r="P32" s="189">
        <v>122.52913856998256</v>
      </c>
      <c r="Q32" s="189">
        <v>110.30353849147959</v>
      </c>
      <c r="R32" s="188">
        <v>96.012360409613152</v>
      </c>
      <c r="S32" s="189"/>
      <c r="T32" s="189">
        <v>0</v>
      </c>
      <c r="U32" s="189">
        <v>0</v>
      </c>
      <c r="V32" s="189">
        <v>0</v>
      </c>
      <c r="W32" s="189">
        <v>0</v>
      </c>
      <c r="X32" s="188">
        <v>0</v>
      </c>
      <c r="Y32" s="91" t="str">
        <f>$A$18</f>
        <v>65+</v>
      </c>
      <c r="Z32" s="189">
        <v>183.28798651698779</v>
      </c>
      <c r="AA32" s="189">
        <v>198.84833199585475</v>
      </c>
      <c r="AB32" s="189">
        <v>264.78812722486305</v>
      </c>
      <c r="AC32" s="189">
        <v>324.20846857729254</v>
      </c>
      <c r="AD32" s="188">
        <v>390.52526772257721</v>
      </c>
      <c r="AE32" s="189"/>
      <c r="AF32" s="189">
        <v>175.04417159553057</v>
      </c>
      <c r="AG32" s="189">
        <v>189.90464961003784</v>
      </c>
      <c r="AH32" s="189">
        <v>252.8787207130141</v>
      </c>
      <c r="AI32" s="189">
        <v>309.62643682093773</v>
      </c>
      <c r="AJ32" s="188">
        <v>372.96056409867555</v>
      </c>
      <c r="AK32" s="189"/>
      <c r="AL32" s="189">
        <v>8.243814921457215</v>
      </c>
      <c r="AM32" s="189">
        <v>8.9436823858169294</v>
      </c>
      <c r="AN32" s="189">
        <v>11.909406511848935</v>
      </c>
      <c r="AO32" s="189">
        <v>14.582031756354773</v>
      </c>
      <c r="AP32" s="188">
        <v>17.564703623901661</v>
      </c>
      <c r="AQ32" s="91" t="str">
        <f t="shared" si="32"/>
        <v>65+</v>
      </c>
      <c r="AR32" s="189">
        <v>164.37253001313297</v>
      </c>
      <c r="AS32" s="189">
        <v>172.14466983686671</v>
      </c>
      <c r="AT32" s="189">
        <v>232.36725630371686</v>
      </c>
      <c r="AU32" s="189">
        <v>309.43936166704759</v>
      </c>
      <c r="AV32" s="188">
        <v>407.37086253789136</v>
      </c>
      <c r="AW32" s="189"/>
      <c r="AX32" s="189">
        <v>157.65906224959758</v>
      </c>
      <c r="AY32" s="189">
        <v>165.11377610213441</v>
      </c>
      <c r="AZ32" s="189">
        <v>222.87664185404887</v>
      </c>
      <c r="BA32" s="189">
        <v>296.80092091622549</v>
      </c>
      <c r="BB32" s="188">
        <v>390.73259978076936</v>
      </c>
      <c r="BC32" s="189"/>
      <c r="BD32" s="189">
        <v>6.7134677635354318</v>
      </c>
      <c r="BE32" s="189">
        <v>7.0308937347323051</v>
      </c>
      <c r="BF32" s="189">
        <v>9.4906144496679747</v>
      </c>
      <c r="BG32" s="189">
        <v>12.63844075082217</v>
      </c>
      <c r="BH32" s="188">
        <v>16.638262757122035</v>
      </c>
    </row>
    <row r="33" spans="1:60" x14ac:dyDescent="0.2">
      <c r="B33" s="189"/>
      <c r="C33" s="189"/>
      <c r="D33" s="189"/>
      <c r="E33" s="189"/>
      <c r="F33" s="188"/>
      <c r="G33" s="188"/>
      <c r="H33" s="188"/>
      <c r="I33" s="188"/>
      <c r="J33" s="188"/>
      <c r="K33" s="188"/>
      <c r="L33" s="188"/>
      <c r="M33" s="188"/>
      <c r="N33" s="188"/>
      <c r="O33" s="188"/>
      <c r="P33" s="188"/>
      <c r="Q33" s="188"/>
      <c r="R33" s="188"/>
      <c r="S33" s="188"/>
      <c r="T33" s="94"/>
      <c r="U33" s="94"/>
      <c r="V33" s="94"/>
      <c r="W33" s="94"/>
      <c r="X33" s="94"/>
      <c r="Z33" s="189"/>
      <c r="AA33" s="189"/>
      <c r="AB33" s="189"/>
      <c r="AC33" s="189"/>
      <c r="AD33" s="188"/>
      <c r="AE33" s="188"/>
      <c r="AF33" s="188"/>
      <c r="AG33" s="188"/>
      <c r="AH33" s="188"/>
      <c r="AI33" s="188"/>
      <c r="AJ33" s="188"/>
      <c r="AK33" s="188"/>
      <c r="AL33" s="188"/>
      <c r="AM33" s="188"/>
      <c r="AN33" s="188"/>
      <c r="AO33" s="188"/>
      <c r="AP33" s="188"/>
      <c r="AR33" s="189"/>
      <c r="AS33" s="189"/>
      <c r="AT33" s="189"/>
      <c r="AU33" s="189"/>
      <c r="AV33" s="188"/>
      <c r="AW33" s="188"/>
      <c r="AX33" s="188"/>
      <c r="AY33" s="188"/>
      <c r="AZ33" s="188"/>
      <c r="BA33" s="188"/>
      <c r="BB33" s="188"/>
      <c r="BC33" s="188"/>
      <c r="BD33" s="188"/>
      <c r="BE33" s="188"/>
      <c r="BF33" s="188"/>
      <c r="BG33" s="188"/>
      <c r="BH33" s="188"/>
    </row>
    <row r="34" spans="1:60" x14ac:dyDescent="0.2">
      <c r="A34" s="114" t="s">
        <v>105</v>
      </c>
      <c r="B34" s="189"/>
      <c r="C34" s="189"/>
      <c r="D34" s="189"/>
      <c r="E34" s="189"/>
      <c r="F34" s="188"/>
      <c r="G34" s="188"/>
      <c r="H34" s="188"/>
      <c r="I34" s="188"/>
      <c r="J34" s="188"/>
      <c r="K34" s="188"/>
      <c r="L34" s="188"/>
      <c r="M34" s="188"/>
      <c r="N34" s="188"/>
      <c r="O34" s="188"/>
      <c r="P34" s="188"/>
      <c r="Q34" s="188"/>
      <c r="R34" s="188"/>
      <c r="S34" s="188"/>
      <c r="T34" s="94"/>
      <c r="U34" s="94"/>
      <c r="V34" s="94"/>
      <c r="W34" s="94"/>
      <c r="X34" s="94"/>
      <c r="Y34" s="114" t="str">
        <f>A34</f>
        <v>Females</v>
      </c>
      <c r="Z34" s="94"/>
      <c r="AA34" s="94"/>
      <c r="AB34" s="94"/>
      <c r="AC34" s="94"/>
      <c r="AD34" s="188"/>
      <c r="AE34" s="188"/>
      <c r="AF34" s="188"/>
      <c r="AG34" s="188"/>
      <c r="AH34" s="188"/>
      <c r="AI34" s="188"/>
      <c r="AJ34" s="188"/>
      <c r="AK34" s="188"/>
      <c r="AL34" s="188"/>
      <c r="AM34" s="188"/>
      <c r="AN34" s="188"/>
      <c r="AO34" s="188"/>
      <c r="AP34" s="188"/>
      <c r="AQ34" s="114" t="str">
        <f>A34</f>
        <v>Females</v>
      </c>
      <c r="AR34" s="94"/>
      <c r="AS34" s="94"/>
      <c r="AT34" s="94"/>
      <c r="AU34" s="94"/>
      <c r="AV34" s="188"/>
      <c r="AW34" s="188"/>
      <c r="AX34" s="188"/>
      <c r="AY34" s="188"/>
      <c r="AZ34" s="188"/>
      <c r="BA34" s="188"/>
      <c r="BB34" s="188"/>
      <c r="BC34" s="188"/>
      <c r="BD34" s="188"/>
      <c r="BE34" s="188"/>
      <c r="BF34" s="188"/>
      <c r="BG34" s="188"/>
      <c r="BH34" s="188"/>
    </row>
    <row r="35" spans="1:60" x14ac:dyDescent="0.2">
      <c r="A35" s="91" t="str">
        <f>$A$7</f>
        <v>15+</v>
      </c>
      <c r="B35" s="189">
        <f>SUM(B36:B46)</f>
        <v>1839.2166575000715</v>
      </c>
      <c r="C35" s="189">
        <f t="shared" ref="C35:F35" si="33">SUM(C36:C46)</f>
        <v>1786.0603742980511</v>
      </c>
      <c r="D35" s="189">
        <f t="shared" si="33"/>
        <v>1572.103997262989</v>
      </c>
      <c r="E35" s="189">
        <f t="shared" si="33"/>
        <v>1350.9626109662327</v>
      </c>
      <c r="F35" s="189">
        <f t="shared" si="33"/>
        <v>1143.3207917146487</v>
      </c>
      <c r="G35" s="188"/>
      <c r="H35" s="189">
        <f>SUM(H36:H46)</f>
        <v>963.2794859618532</v>
      </c>
      <c r="I35" s="189">
        <f t="shared" ref="I35:L35" si="34">SUM(I36:I46)</f>
        <v>932.67382880597597</v>
      </c>
      <c r="J35" s="189">
        <f t="shared" si="34"/>
        <v>822.41738994957336</v>
      </c>
      <c r="K35" s="189">
        <f t="shared" si="34"/>
        <v>699.51116772963974</v>
      </c>
      <c r="L35" s="189">
        <f t="shared" si="34"/>
        <v>576.46624793891874</v>
      </c>
      <c r="M35" s="188"/>
      <c r="N35" s="189">
        <f>SUM(N36:N46)</f>
        <v>875.93717153821831</v>
      </c>
      <c r="O35" s="189">
        <f t="shared" ref="O35:R35" si="35">SUM(O36:O46)</f>
        <v>853.38654549207513</v>
      </c>
      <c r="P35" s="189">
        <f t="shared" si="35"/>
        <v>749.68660731341538</v>
      </c>
      <c r="Q35" s="189">
        <f t="shared" si="35"/>
        <v>651.45144323659315</v>
      </c>
      <c r="R35" s="189">
        <f t="shared" si="35"/>
        <v>566.85454377573012</v>
      </c>
      <c r="S35" s="188"/>
      <c r="T35" s="189">
        <f>SUM(T36:T46)</f>
        <v>0</v>
      </c>
      <c r="U35" s="189">
        <f t="shared" ref="U35:X35" si="36">SUM(U36:U46)</f>
        <v>0</v>
      </c>
      <c r="V35" s="189">
        <f t="shared" si="36"/>
        <v>0</v>
      </c>
      <c r="W35" s="189">
        <f t="shared" si="36"/>
        <v>0</v>
      </c>
      <c r="X35" s="189">
        <f t="shared" si="36"/>
        <v>0</v>
      </c>
      <c r="Y35" s="91" t="str">
        <f>$A$7</f>
        <v>15+</v>
      </c>
      <c r="Z35" s="189">
        <f>SUM(Z36:Z46)</f>
        <v>1514.4894356563314</v>
      </c>
      <c r="AA35" s="189">
        <f t="shared" ref="AA35:AD35" si="37">SUM(AA36:AA46)</f>
        <v>1503.6765075089238</v>
      </c>
      <c r="AB35" s="189">
        <f t="shared" si="37"/>
        <v>1659.9026427502681</v>
      </c>
      <c r="AC35" s="189">
        <f t="shared" si="37"/>
        <v>1797.4464428451124</v>
      </c>
      <c r="AD35" s="189">
        <f t="shared" si="37"/>
        <v>1939.4301277122679</v>
      </c>
      <c r="AE35" s="189"/>
      <c r="AF35" s="189">
        <f>SUM(AF36:AF46)</f>
        <v>1427.6490102140683</v>
      </c>
      <c r="AG35" s="189">
        <f t="shared" ref="AG35:AJ35" si="38">SUM(AG36:AG46)</f>
        <v>1417.9494245743583</v>
      </c>
      <c r="AH35" s="189">
        <f t="shared" si="38"/>
        <v>1565.6898030959378</v>
      </c>
      <c r="AI35" s="189">
        <f t="shared" si="38"/>
        <v>1695.8037388732168</v>
      </c>
      <c r="AJ35" s="189">
        <f t="shared" si="38"/>
        <v>1830.7085872896366</v>
      </c>
      <c r="AK35" s="189"/>
      <c r="AL35" s="189">
        <f>SUM(AL36:AL46)</f>
        <v>86.840425442262955</v>
      </c>
      <c r="AM35" s="189">
        <f t="shared" ref="AM35:AP35" si="39">SUM(AM36:AM46)</f>
        <v>85.727082934565459</v>
      </c>
      <c r="AN35" s="189">
        <f t="shared" si="39"/>
        <v>94.212839654330281</v>
      </c>
      <c r="AO35" s="189">
        <f t="shared" si="39"/>
        <v>101.64270397189549</v>
      </c>
      <c r="AP35" s="189">
        <f t="shared" si="39"/>
        <v>108.72154042263139</v>
      </c>
      <c r="AQ35" s="91" t="str">
        <f>$A$7</f>
        <v>15+</v>
      </c>
      <c r="AR35" s="189">
        <f>SUM(AR36:AR46)</f>
        <v>1208.4819068435977</v>
      </c>
      <c r="AS35" s="189">
        <f t="shared" ref="AS35:AV35" si="40">SUM(AS36:AS46)</f>
        <v>1342.1641181930254</v>
      </c>
      <c r="AT35" s="189">
        <f t="shared" si="40"/>
        <v>1576.2403599867432</v>
      </c>
      <c r="AU35" s="189">
        <f t="shared" si="40"/>
        <v>1829.5899461886547</v>
      </c>
      <c r="AV35" s="189">
        <f t="shared" si="40"/>
        <v>2104.1100805730839</v>
      </c>
      <c r="AW35" s="189"/>
      <c r="AX35" s="189">
        <f>SUM(AX36:AX46)</f>
        <v>1195.8231128172695</v>
      </c>
      <c r="AY35" s="189">
        <f t="shared" ref="AY35:BB35" si="41">SUM(AY36:AY46)</f>
        <v>1327.9996346900398</v>
      </c>
      <c r="AZ35" s="189">
        <f t="shared" si="41"/>
        <v>1559.651180973065</v>
      </c>
      <c r="BA35" s="189">
        <f t="shared" si="41"/>
        <v>1810.1453176220125</v>
      </c>
      <c r="BB35" s="189">
        <f t="shared" si="41"/>
        <v>2081.5851755357075</v>
      </c>
      <c r="BC35" s="189"/>
      <c r="BD35" s="189">
        <f>SUM(BD36:BD46)</f>
        <v>12.658794026328057</v>
      </c>
      <c r="BE35" s="189">
        <f t="shared" ref="BE35:BH35" si="42">SUM(BE36:BE46)</f>
        <v>14.164483502985499</v>
      </c>
      <c r="BF35" s="189">
        <f t="shared" si="42"/>
        <v>16.589179013678287</v>
      </c>
      <c r="BG35" s="189">
        <f t="shared" si="42"/>
        <v>19.444628566642407</v>
      </c>
      <c r="BH35" s="189">
        <f t="shared" si="42"/>
        <v>22.524905037375824</v>
      </c>
    </row>
    <row r="36" spans="1:60" x14ac:dyDescent="0.2">
      <c r="A36" s="91" t="str">
        <f>$A$8</f>
        <v>15-19</v>
      </c>
      <c r="B36" s="189">
        <v>235.75197725192589</v>
      </c>
      <c r="C36" s="189">
        <v>235.32459036047223</v>
      </c>
      <c r="D36" s="189">
        <v>224.52607187954138</v>
      </c>
      <c r="E36" s="189">
        <v>225.53877970723389</v>
      </c>
      <c r="F36" s="188">
        <v>243.72400964127928</v>
      </c>
      <c r="G36" s="188"/>
      <c r="H36" s="189">
        <v>48.983534945390808</v>
      </c>
      <c r="I36" s="189">
        <v>48.894690177294805</v>
      </c>
      <c r="J36" s="189">
        <v>46.651003976088816</v>
      </c>
      <c r="K36" s="189">
        <v>46.861405382749254</v>
      </c>
      <c r="L36" s="188">
        <v>50.639873799695991</v>
      </c>
      <c r="M36" s="188"/>
      <c r="N36" s="189">
        <v>186.76844230653509</v>
      </c>
      <c r="O36" s="189">
        <v>186.42990018317741</v>
      </c>
      <c r="P36" s="189">
        <v>177.87506790345256</v>
      </c>
      <c r="Q36" s="189">
        <v>178.67737432448465</v>
      </c>
      <c r="R36" s="188">
        <v>193.08413584158328</v>
      </c>
      <c r="S36" s="188"/>
      <c r="T36" s="189">
        <v>0</v>
      </c>
      <c r="U36" s="189">
        <v>0</v>
      </c>
      <c r="V36" s="189">
        <v>0</v>
      </c>
      <c r="W36" s="189">
        <v>0</v>
      </c>
      <c r="X36" s="188">
        <v>0</v>
      </c>
      <c r="Y36" s="91" t="str">
        <f>$A$8</f>
        <v>15-19</v>
      </c>
      <c r="Z36" s="189">
        <v>83.569879527684336</v>
      </c>
      <c r="AA36" s="189">
        <v>82.526656420969161</v>
      </c>
      <c r="AB36" s="189">
        <v>84.494484512367791</v>
      </c>
      <c r="AC36" s="189">
        <v>90.946079800349651</v>
      </c>
      <c r="AD36" s="188">
        <v>105.28765306859901</v>
      </c>
      <c r="AE36" s="188"/>
      <c r="AF36" s="189">
        <v>82.46118212650282</v>
      </c>
      <c r="AG36" s="189">
        <v>81.431768542600082</v>
      </c>
      <c r="AH36" s="189">
        <v>83.373443742554031</v>
      </c>
      <c r="AI36" s="189">
        <v>89.739476773593154</v>
      </c>
      <c r="AJ36" s="188">
        <v>103.89079794445267</v>
      </c>
      <c r="AK36" s="188"/>
      <c r="AL36" s="189">
        <v>1.1086974011815047</v>
      </c>
      <c r="AM36" s="189">
        <v>1.0948878783690683</v>
      </c>
      <c r="AN36" s="189">
        <v>1.1210407698137705</v>
      </c>
      <c r="AO36" s="189">
        <v>1.2066030267565</v>
      </c>
      <c r="AP36" s="188">
        <v>1.3968551241463449</v>
      </c>
      <c r="AQ36" s="91" t="str">
        <f>$A$8</f>
        <v>15-19</v>
      </c>
      <c r="AR36" s="189">
        <v>0.12314322038975159</v>
      </c>
      <c r="AS36" s="189">
        <v>0.59775321855860108</v>
      </c>
      <c r="AT36" s="189">
        <v>1.4364436080908414</v>
      </c>
      <c r="AU36" s="189">
        <v>1.4711404924164426</v>
      </c>
      <c r="AV36" s="188">
        <v>1.6223372901217372</v>
      </c>
      <c r="AW36" s="188"/>
      <c r="AX36" s="189">
        <v>0.12314322038975159</v>
      </c>
      <c r="AY36" s="189">
        <v>0.59775321855860108</v>
      </c>
      <c r="AZ36" s="189">
        <v>1.4364436080908414</v>
      </c>
      <c r="BA36" s="189">
        <v>1.4711404924164426</v>
      </c>
      <c r="BB36" s="188">
        <v>1.6223372901217372</v>
      </c>
      <c r="BC36" s="188"/>
      <c r="BD36" s="189">
        <v>0</v>
      </c>
      <c r="BE36" s="189">
        <v>0</v>
      </c>
      <c r="BF36" s="189">
        <v>0</v>
      </c>
      <c r="BG36" s="189">
        <v>0</v>
      </c>
      <c r="BH36" s="188">
        <v>0</v>
      </c>
    </row>
    <row r="37" spans="1:60" x14ac:dyDescent="0.2">
      <c r="A37" s="91" t="str">
        <f>$A$9</f>
        <v>20-24</v>
      </c>
      <c r="B37" s="189">
        <v>51.28667688291447</v>
      </c>
      <c r="C37" s="189">
        <v>50.325615142463022</v>
      </c>
      <c r="D37" s="189">
        <v>41.617556806647421</v>
      </c>
      <c r="E37" s="189">
        <v>36.381749805465141</v>
      </c>
      <c r="F37" s="188">
        <v>33.131944227953063</v>
      </c>
      <c r="G37" s="188"/>
      <c r="H37" s="189">
        <v>18.958252611047016</v>
      </c>
      <c r="I37" s="189">
        <v>18.60303815545123</v>
      </c>
      <c r="J37" s="189">
        <v>15.38403685205089</v>
      </c>
      <c r="K37" s="189">
        <v>13.448615257113641</v>
      </c>
      <c r="L37" s="188">
        <v>12.247310379881396</v>
      </c>
      <c r="M37" s="188"/>
      <c r="N37" s="189">
        <v>32.328424271867455</v>
      </c>
      <c r="O37" s="189">
        <v>31.722576987011788</v>
      </c>
      <c r="P37" s="189">
        <v>26.233519954596538</v>
      </c>
      <c r="Q37" s="189">
        <v>22.9331345483515</v>
      </c>
      <c r="R37" s="188">
        <v>20.884633848071665</v>
      </c>
      <c r="S37" s="188"/>
      <c r="T37" s="189">
        <v>0</v>
      </c>
      <c r="U37" s="189">
        <v>0</v>
      </c>
      <c r="V37" s="189">
        <v>0</v>
      </c>
      <c r="W37" s="189">
        <v>0</v>
      </c>
      <c r="X37" s="188">
        <v>0</v>
      </c>
      <c r="Y37" s="91" t="str">
        <f>$A$9</f>
        <v>20-24</v>
      </c>
      <c r="Z37" s="189">
        <v>179.47599670013653</v>
      </c>
      <c r="AA37" s="189">
        <v>187.56758244877105</v>
      </c>
      <c r="AB37" s="189">
        <v>195.70388276755187</v>
      </c>
      <c r="AC37" s="189">
        <v>186.34405047249078</v>
      </c>
      <c r="AD37" s="188">
        <v>185.01228504909878</v>
      </c>
      <c r="AE37" s="188"/>
      <c r="AF37" s="189">
        <v>169.79137146665974</v>
      </c>
      <c r="AG37" s="189">
        <v>177.44629400726811</v>
      </c>
      <c r="AH37" s="189">
        <v>185.14356605643363</v>
      </c>
      <c r="AI37" s="189">
        <v>176.28878253096943</v>
      </c>
      <c r="AJ37" s="188">
        <v>175.02885632439069</v>
      </c>
      <c r="AK37" s="188"/>
      <c r="AL37" s="189">
        <v>9.6846252334768117</v>
      </c>
      <c r="AM37" s="189">
        <v>10.121288441502955</v>
      </c>
      <c r="AN37" s="189">
        <v>10.560316711118229</v>
      </c>
      <c r="AO37" s="189">
        <v>10.055267941521366</v>
      </c>
      <c r="AP37" s="188">
        <v>9.9834287247081175</v>
      </c>
      <c r="AQ37" s="91" t="str">
        <f>$A$9</f>
        <v>20-24</v>
      </c>
      <c r="AR37" s="189">
        <v>88.329326416949002</v>
      </c>
      <c r="AS37" s="189">
        <v>91.282802408765903</v>
      </c>
      <c r="AT37" s="189">
        <v>110.63256042580073</v>
      </c>
      <c r="AU37" s="189">
        <v>118.86519972204405</v>
      </c>
      <c r="AV37" s="188">
        <v>132.58977072294817</v>
      </c>
      <c r="AW37" s="188"/>
      <c r="AX37" s="189">
        <v>88.165028914454396</v>
      </c>
      <c r="AY37" s="189">
        <v>91.112930485790656</v>
      </c>
      <c r="AZ37" s="189">
        <v>110.42669182995489</v>
      </c>
      <c r="BA37" s="189">
        <v>118.644032109338</v>
      </c>
      <c r="BB37" s="188">
        <v>132.3431042203359</v>
      </c>
      <c r="BC37" s="188"/>
      <c r="BD37" s="189">
        <v>0.16429750249460409</v>
      </c>
      <c r="BE37" s="189">
        <v>0.16987192297524076</v>
      </c>
      <c r="BF37" s="189">
        <v>0.2058685958458471</v>
      </c>
      <c r="BG37" s="189">
        <v>0.2211676127060439</v>
      </c>
      <c r="BH37" s="188">
        <v>0.2466665026122716</v>
      </c>
    </row>
    <row r="38" spans="1:60" x14ac:dyDescent="0.2">
      <c r="A38" s="91" t="str">
        <f>$A$10</f>
        <v>25-29</v>
      </c>
      <c r="B38" s="189">
        <v>48.980336910061595</v>
      </c>
      <c r="C38" s="189">
        <v>58.029393144137778</v>
      </c>
      <c r="D38" s="189">
        <v>51.776100367683391</v>
      </c>
      <c r="E38" s="189">
        <v>49.053973946460331</v>
      </c>
      <c r="F38" s="188">
        <v>43.531243964596278</v>
      </c>
      <c r="G38" s="188"/>
      <c r="H38" s="189">
        <v>18.23204899869749</v>
      </c>
      <c r="I38" s="189">
        <v>21.600341017225613</v>
      </c>
      <c r="J38" s="189">
        <v>19.272660294510747</v>
      </c>
      <c r="K38" s="189">
        <v>18.259465614997644</v>
      </c>
      <c r="L38" s="188">
        <v>16.203686177787539</v>
      </c>
      <c r="M38" s="188"/>
      <c r="N38" s="189">
        <v>30.748287911364105</v>
      </c>
      <c r="O38" s="189">
        <v>36.429052126912168</v>
      </c>
      <c r="P38" s="189">
        <v>32.503440073172648</v>
      </c>
      <c r="Q38" s="189">
        <v>30.794508331462694</v>
      </c>
      <c r="R38" s="188">
        <v>27.32755778680874</v>
      </c>
      <c r="S38" s="188"/>
      <c r="T38" s="189">
        <v>0</v>
      </c>
      <c r="U38" s="189">
        <v>0</v>
      </c>
      <c r="V38" s="189">
        <v>0</v>
      </c>
      <c r="W38" s="189">
        <v>0</v>
      </c>
      <c r="X38" s="188">
        <v>0</v>
      </c>
      <c r="Y38" s="91" t="str">
        <f>$A$10</f>
        <v>25-29</v>
      </c>
      <c r="Z38" s="189">
        <v>127.78718872779281</v>
      </c>
      <c r="AA38" s="189">
        <v>119.37410820126239</v>
      </c>
      <c r="AB38" s="189">
        <v>118.02109899531821</v>
      </c>
      <c r="AC38" s="189">
        <v>118.58410734575391</v>
      </c>
      <c r="AD38" s="188">
        <v>111.69989644356696</v>
      </c>
      <c r="AE38" s="188"/>
      <c r="AF38" s="189">
        <v>117.06434284916277</v>
      </c>
      <c r="AG38" s="189">
        <v>109.35717668619014</v>
      </c>
      <c r="AH38" s="189">
        <v>108.11773722560081</v>
      </c>
      <c r="AI38" s="189">
        <v>108.63342670868553</v>
      </c>
      <c r="AJ38" s="188">
        <v>102.3269079217695</v>
      </c>
      <c r="AK38" s="188"/>
      <c r="AL38" s="189">
        <v>10.722845878630038</v>
      </c>
      <c r="AM38" s="189">
        <v>10.01693151507223</v>
      </c>
      <c r="AN38" s="189">
        <v>9.9033617697174048</v>
      </c>
      <c r="AO38" s="189">
        <v>9.9506806370683663</v>
      </c>
      <c r="AP38" s="188">
        <v>9.3729885217974456</v>
      </c>
      <c r="AQ38" s="91" t="str">
        <f>$A$10</f>
        <v>25-29</v>
      </c>
      <c r="AR38" s="189">
        <v>165.48947436214561</v>
      </c>
      <c r="AS38" s="189">
        <v>169.04449865459986</v>
      </c>
      <c r="AT38" s="189">
        <v>192.77780063699839</v>
      </c>
      <c r="AU38" s="189">
        <v>214.16091870778578</v>
      </c>
      <c r="AV38" s="188">
        <v>222.34985959183678</v>
      </c>
      <c r="AW38" s="188"/>
      <c r="AX38" s="189">
        <v>163.99516578961072</v>
      </c>
      <c r="AY38" s="189">
        <v>167.51816718569009</v>
      </c>
      <c r="AZ38" s="189">
        <v>191.03715957991898</v>
      </c>
      <c r="BA38" s="189">
        <v>212.22723208261212</v>
      </c>
      <c r="BB38" s="188">
        <v>220.34220948065195</v>
      </c>
      <c r="BC38" s="188"/>
      <c r="BD38" s="189">
        <v>1.4943085725348841</v>
      </c>
      <c r="BE38" s="189">
        <v>1.526331468909754</v>
      </c>
      <c r="BF38" s="189">
        <v>1.740641057079428</v>
      </c>
      <c r="BG38" s="189">
        <v>1.9336866251736855</v>
      </c>
      <c r="BH38" s="188">
        <v>2.0076501111848128</v>
      </c>
    </row>
    <row r="39" spans="1:60" x14ac:dyDescent="0.2">
      <c r="A39" s="91" t="str">
        <f>$A$11</f>
        <v>30-34</v>
      </c>
      <c r="B39" s="189">
        <v>48.351616200732686</v>
      </c>
      <c r="C39" s="189">
        <v>54.81450484456311</v>
      </c>
      <c r="D39" s="189">
        <v>52.150998553698685</v>
      </c>
      <c r="E39" s="189">
        <v>48.164476439532713</v>
      </c>
      <c r="F39" s="188">
        <v>40.226027639053598</v>
      </c>
      <c r="G39" s="188"/>
      <c r="H39" s="189">
        <v>20.247488689226163</v>
      </c>
      <c r="I39" s="189">
        <v>22.95380254002168</v>
      </c>
      <c r="J39" s="189">
        <v>21.838502656747391</v>
      </c>
      <c r="K39" s="189">
        <v>20.169083304063328</v>
      </c>
      <c r="L39" s="188">
        <v>16.844826452036404</v>
      </c>
      <c r="M39" s="188"/>
      <c r="N39" s="189">
        <v>28.104127511506523</v>
      </c>
      <c r="O39" s="189">
        <v>31.86070230454143</v>
      </c>
      <c r="P39" s="189">
        <v>30.312495896951297</v>
      </c>
      <c r="Q39" s="189">
        <v>27.995393135469385</v>
      </c>
      <c r="R39" s="188">
        <v>23.381201187017187</v>
      </c>
      <c r="S39" s="188"/>
      <c r="T39" s="189">
        <v>0</v>
      </c>
      <c r="U39" s="189">
        <v>0</v>
      </c>
      <c r="V39" s="189">
        <v>0</v>
      </c>
      <c r="W39" s="189">
        <v>0</v>
      </c>
      <c r="X39" s="188">
        <v>0</v>
      </c>
      <c r="Y39" s="91" t="str">
        <f>$A$11</f>
        <v>30-34</v>
      </c>
      <c r="Z39" s="189">
        <v>126.59052603481021</v>
      </c>
      <c r="AA39" s="189">
        <v>118.76404254564063</v>
      </c>
      <c r="AB39" s="189">
        <v>124.03995863874285</v>
      </c>
      <c r="AC39" s="189">
        <v>123.84674741528471</v>
      </c>
      <c r="AD39" s="188">
        <v>125.93134426917472</v>
      </c>
      <c r="AE39" s="188"/>
      <c r="AF39" s="189">
        <v>116.68034085440465</v>
      </c>
      <c r="AG39" s="189">
        <v>109.46652247600598</v>
      </c>
      <c r="AH39" s="189">
        <v>114.32946398888731</v>
      </c>
      <c r="AI39" s="189">
        <v>114.15134413116714</v>
      </c>
      <c r="AJ39" s="188">
        <v>116.0727553396063</v>
      </c>
      <c r="AK39" s="188"/>
      <c r="AL39" s="189">
        <v>9.9101851804055663</v>
      </c>
      <c r="AM39" s="189">
        <v>9.2975200696346505</v>
      </c>
      <c r="AN39" s="189">
        <v>9.7104946498555318</v>
      </c>
      <c r="AO39" s="189">
        <v>9.6954032841175852</v>
      </c>
      <c r="AP39" s="188">
        <v>9.8585889295684215</v>
      </c>
      <c r="AQ39" s="91" t="str">
        <f>$A$11</f>
        <v>30-34</v>
      </c>
      <c r="AR39" s="189">
        <v>165.33285776445709</v>
      </c>
      <c r="AS39" s="189">
        <v>173.27745260979628</v>
      </c>
      <c r="AT39" s="189">
        <v>193.84104280755847</v>
      </c>
      <c r="AU39" s="189">
        <v>212.88877614518256</v>
      </c>
      <c r="AV39" s="188">
        <v>239.55062809177167</v>
      </c>
      <c r="AW39" s="188"/>
      <c r="AX39" s="189">
        <v>163.54698646509576</v>
      </c>
      <c r="AY39" s="189">
        <v>171.40581210762247</v>
      </c>
      <c r="AZ39" s="189">
        <v>191.74726433199922</v>
      </c>
      <c r="BA39" s="189">
        <v>210.58921239342598</v>
      </c>
      <c r="BB39" s="188">
        <v>236.96312770820174</v>
      </c>
      <c r="BC39" s="188"/>
      <c r="BD39" s="189">
        <v>1.785871299361329</v>
      </c>
      <c r="BE39" s="189">
        <v>1.8716405021737883</v>
      </c>
      <c r="BF39" s="189">
        <v>2.0937784755592417</v>
      </c>
      <c r="BG39" s="189">
        <v>2.2995637517565553</v>
      </c>
      <c r="BH39" s="188">
        <v>2.587500383569969</v>
      </c>
    </row>
    <row r="40" spans="1:60" x14ac:dyDescent="0.2">
      <c r="A40" s="91" t="str">
        <f>$A$12</f>
        <v>35-39</v>
      </c>
      <c r="B40" s="189">
        <v>72.542037614782771</v>
      </c>
      <c r="C40" s="189">
        <v>65.06766726540738</v>
      </c>
      <c r="D40" s="189">
        <v>54.766784806672291</v>
      </c>
      <c r="E40" s="189">
        <v>45.523587094052431</v>
      </c>
      <c r="F40" s="188">
        <v>34.291330085724873</v>
      </c>
      <c r="G40" s="188"/>
      <c r="H40" s="189">
        <v>28.179422220811407</v>
      </c>
      <c r="I40" s="189">
        <v>25.275934699382731</v>
      </c>
      <c r="J40" s="189">
        <v>21.27450416950764</v>
      </c>
      <c r="K40" s="189">
        <v>17.683894029231208</v>
      </c>
      <c r="L40" s="188">
        <v>13.320662566860962</v>
      </c>
      <c r="M40" s="188"/>
      <c r="N40" s="189">
        <v>44.362615393971375</v>
      </c>
      <c r="O40" s="189">
        <v>39.791732566024642</v>
      </c>
      <c r="P40" s="189">
        <v>33.492280637164654</v>
      </c>
      <c r="Q40" s="189">
        <v>27.839693064821223</v>
      </c>
      <c r="R40" s="188">
        <v>20.97066751886392</v>
      </c>
      <c r="S40" s="188"/>
      <c r="T40" s="189">
        <v>0</v>
      </c>
      <c r="U40" s="189">
        <v>0</v>
      </c>
      <c r="V40" s="189">
        <v>0</v>
      </c>
      <c r="W40" s="189">
        <v>0</v>
      </c>
      <c r="X40" s="188">
        <v>0</v>
      </c>
      <c r="Y40" s="91" t="str">
        <f>$A$12</f>
        <v>35-39</v>
      </c>
      <c r="Z40" s="189">
        <v>150.0126567417164</v>
      </c>
      <c r="AA40" s="189">
        <v>135.68236231505094</v>
      </c>
      <c r="AB40" s="189">
        <v>124.7291826751361</v>
      </c>
      <c r="AC40" s="189">
        <v>129.47197272823703</v>
      </c>
      <c r="AD40" s="188">
        <v>133.15322905166937</v>
      </c>
      <c r="AE40" s="188"/>
      <c r="AF40" s="189">
        <v>140.37576984147361</v>
      </c>
      <c r="AG40" s="189">
        <v>126.96602473402704</v>
      </c>
      <c r="AH40" s="189">
        <v>116.71649206662644</v>
      </c>
      <c r="AI40" s="189">
        <v>121.15460882835858</v>
      </c>
      <c r="AJ40" s="188">
        <v>124.59942116921782</v>
      </c>
      <c r="AK40" s="188"/>
      <c r="AL40" s="189">
        <v>9.6368869002428053</v>
      </c>
      <c r="AM40" s="189">
        <v>8.7163375810238843</v>
      </c>
      <c r="AN40" s="189">
        <v>8.0126906085096579</v>
      </c>
      <c r="AO40" s="189">
        <v>8.3173638998784618</v>
      </c>
      <c r="AP40" s="188">
        <v>8.5538078824515384</v>
      </c>
      <c r="AQ40" s="91" t="str">
        <f>$A$12</f>
        <v>35-39</v>
      </c>
      <c r="AR40" s="189">
        <v>154.06830564350082</v>
      </c>
      <c r="AS40" s="189">
        <v>168.96597041954166</v>
      </c>
      <c r="AT40" s="189">
        <v>183.46103251819156</v>
      </c>
      <c r="AU40" s="189">
        <v>208.70844017771051</v>
      </c>
      <c r="AV40" s="188">
        <v>232.21144086260571</v>
      </c>
      <c r="AW40" s="188"/>
      <c r="AX40" s="189">
        <v>152.29837009196677</v>
      </c>
      <c r="AY40" s="189">
        <v>167.02491938857551</v>
      </c>
      <c r="AZ40" s="189">
        <v>181.35346640367695</v>
      </c>
      <c r="BA40" s="189">
        <v>206.31083395767615</v>
      </c>
      <c r="BB40" s="188">
        <v>229.54383629553598</v>
      </c>
      <c r="BC40" s="188"/>
      <c r="BD40" s="189">
        <v>1.7699355515340602</v>
      </c>
      <c r="BE40" s="189">
        <v>1.9410510309661682</v>
      </c>
      <c r="BF40" s="189">
        <v>2.1075661145145714</v>
      </c>
      <c r="BG40" s="189">
        <v>2.3976062200343793</v>
      </c>
      <c r="BH40" s="188">
        <v>2.6676045670697208</v>
      </c>
    </row>
    <row r="41" spans="1:60" x14ac:dyDescent="0.2">
      <c r="A41" s="91" t="str">
        <f>$A$13</f>
        <v>40-44</v>
      </c>
      <c r="B41" s="189">
        <v>95.592148824351668</v>
      </c>
      <c r="C41" s="189">
        <v>82.616320455715311</v>
      </c>
      <c r="D41" s="189">
        <v>65.715939292358911</v>
      </c>
      <c r="E41" s="189">
        <v>45.625343125830476</v>
      </c>
      <c r="F41" s="188">
        <v>32.319365015981639</v>
      </c>
      <c r="G41" s="188"/>
      <c r="H41" s="189">
        <v>37.546766551729547</v>
      </c>
      <c r="I41" s="189">
        <v>32.450059589071273</v>
      </c>
      <c r="J41" s="189">
        <v>25.811957711373253</v>
      </c>
      <c r="K41" s="189">
        <v>17.920731648709907</v>
      </c>
      <c r="L41" s="188">
        <v>12.694407857730498</v>
      </c>
      <c r="M41" s="188"/>
      <c r="N41" s="189">
        <v>58.045382272622113</v>
      </c>
      <c r="O41" s="189">
        <v>50.166260866644031</v>
      </c>
      <c r="P41" s="189">
        <v>39.903981580985658</v>
      </c>
      <c r="Q41" s="189">
        <v>27.704611477120565</v>
      </c>
      <c r="R41" s="188">
        <v>19.624957158251146</v>
      </c>
      <c r="S41" s="188"/>
      <c r="T41" s="189">
        <v>0</v>
      </c>
      <c r="U41" s="189">
        <v>0</v>
      </c>
      <c r="V41" s="189">
        <v>0</v>
      </c>
      <c r="W41" s="189">
        <v>0</v>
      </c>
      <c r="X41" s="188">
        <v>0</v>
      </c>
      <c r="Y41" s="91" t="str">
        <f>$A$13</f>
        <v>40-44</v>
      </c>
      <c r="Z41" s="189">
        <v>162.09391868766315</v>
      </c>
      <c r="AA41" s="189">
        <v>149.15249146976197</v>
      </c>
      <c r="AB41" s="189">
        <v>139.74715456529819</v>
      </c>
      <c r="AC41" s="189">
        <v>140.1664801116975</v>
      </c>
      <c r="AD41" s="188">
        <v>150.93061003653065</v>
      </c>
      <c r="AE41" s="188"/>
      <c r="AF41" s="189">
        <v>153.25080642376565</v>
      </c>
      <c r="AG41" s="189">
        <v>141.01546291821501</v>
      </c>
      <c r="AH41" s="189">
        <v>132.12323273689802</v>
      </c>
      <c r="AI41" s="189">
        <v>132.51964992616811</v>
      </c>
      <c r="AJ41" s="188">
        <v>142.69650407013222</v>
      </c>
      <c r="AK41" s="188"/>
      <c r="AL41" s="189">
        <v>8.8431122638974973</v>
      </c>
      <c r="AM41" s="189">
        <v>8.1370285515469902</v>
      </c>
      <c r="AN41" s="189">
        <v>7.6239218284001815</v>
      </c>
      <c r="AO41" s="189">
        <v>7.6468301855293674</v>
      </c>
      <c r="AP41" s="188">
        <v>8.2341059663984471</v>
      </c>
      <c r="AQ41" s="91" t="str">
        <f>$A$13</f>
        <v>40-44</v>
      </c>
      <c r="AR41" s="189">
        <v>142.30393248798518</v>
      </c>
      <c r="AS41" s="189">
        <v>157.16218807452273</v>
      </c>
      <c r="AT41" s="189">
        <v>174.12990614234292</v>
      </c>
      <c r="AU41" s="189">
        <v>185.34617676247206</v>
      </c>
      <c r="AV41" s="188">
        <v>209.35902494748774</v>
      </c>
      <c r="AW41" s="188"/>
      <c r="AX41" s="189">
        <v>140.61932188279332</v>
      </c>
      <c r="AY41" s="189">
        <v>155.30162565099377</v>
      </c>
      <c r="AZ41" s="189">
        <v>172.06854465783039</v>
      </c>
      <c r="BA41" s="189">
        <v>183.15203689418161</v>
      </c>
      <c r="BB41" s="188">
        <v>206.8805346793352</v>
      </c>
      <c r="BC41" s="188"/>
      <c r="BD41" s="189">
        <v>1.6846106051918688</v>
      </c>
      <c r="BE41" s="189">
        <v>1.8605624235289417</v>
      </c>
      <c r="BF41" s="189">
        <v>2.061361484512561</v>
      </c>
      <c r="BG41" s="189">
        <v>2.1941398682904496</v>
      </c>
      <c r="BH41" s="188">
        <v>2.4784902681525449</v>
      </c>
    </row>
    <row r="42" spans="1:60" x14ac:dyDescent="0.2">
      <c r="A42" s="91" t="str">
        <f>$A$14</f>
        <v>45-49</v>
      </c>
      <c r="B42" s="189">
        <v>121.60001747416324</v>
      </c>
      <c r="C42" s="189">
        <v>119.25515350242472</v>
      </c>
      <c r="D42" s="189">
        <v>78.884619183002073</v>
      </c>
      <c r="E42" s="189">
        <v>54.824500970236151</v>
      </c>
      <c r="F42" s="188">
        <v>37.259131610277123</v>
      </c>
      <c r="G42" s="188"/>
      <c r="H42" s="189">
        <v>52.054388742127969</v>
      </c>
      <c r="I42" s="189">
        <v>51.050559464587302</v>
      </c>
      <c r="J42" s="189">
        <v>33.768780739827292</v>
      </c>
      <c r="K42" s="189">
        <v>23.469200966687755</v>
      </c>
      <c r="L42" s="188">
        <v>15.949827829172355</v>
      </c>
      <c r="M42" s="188"/>
      <c r="N42" s="189">
        <v>69.545628732035269</v>
      </c>
      <c r="O42" s="189">
        <v>68.20459403783741</v>
      </c>
      <c r="P42" s="189">
        <v>45.115838443174781</v>
      </c>
      <c r="Q42" s="189">
        <v>31.355300003548397</v>
      </c>
      <c r="R42" s="188">
        <v>21.309303781104767</v>
      </c>
      <c r="S42" s="188"/>
      <c r="T42" s="189">
        <v>0</v>
      </c>
      <c r="U42" s="189">
        <v>0</v>
      </c>
      <c r="V42" s="189">
        <v>0</v>
      </c>
      <c r="W42" s="189">
        <v>0</v>
      </c>
      <c r="X42" s="188">
        <v>0</v>
      </c>
      <c r="Y42" s="91" t="str">
        <f>$A$14</f>
        <v>45-49</v>
      </c>
      <c r="Z42" s="189">
        <v>149.19037176042775</v>
      </c>
      <c r="AA42" s="189">
        <v>147.02780307619315</v>
      </c>
      <c r="AB42" s="189">
        <v>157.07832682690201</v>
      </c>
      <c r="AC42" s="189">
        <v>161.18355055313589</v>
      </c>
      <c r="AD42" s="188">
        <v>163.5645829534713</v>
      </c>
      <c r="AE42" s="188"/>
      <c r="AF42" s="189">
        <v>141.73208428692129</v>
      </c>
      <c r="AG42" s="189">
        <v>139.67761552454377</v>
      </c>
      <c r="AH42" s="189">
        <v>149.22576147745451</v>
      </c>
      <c r="AI42" s="189">
        <v>153.12567731056208</v>
      </c>
      <c r="AJ42" s="188">
        <v>155.38774863532086</v>
      </c>
      <c r="AK42" s="188"/>
      <c r="AL42" s="189">
        <v>7.4582874735064566</v>
      </c>
      <c r="AM42" s="189">
        <v>7.350187551649368</v>
      </c>
      <c r="AN42" s="189">
        <v>7.852565349447544</v>
      </c>
      <c r="AO42" s="189">
        <v>8.0578732425738266</v>
      </c>
      <c r="AP42" s="188">
        <v>8.1768343181504513</v>
      </c>
      <c r="AQ42" s="91" t="str">
        <f>$A$14</f>
        <v>45-49</v>
      </c>
      <c r="AR42" s="189">
        <v>127.15261076540904</v>
      </c>
      <c r="AS42" s="189">
        <v>139.95804342138214</v>
      </c>
      <c r="AT42" s="189">
        <v>158.0250539900959</v>
      </c>
      <c r="AU42" s="189">
        <v>167.70994847662797</v>
      </c>
      <c r="AV42" s="188">
        <v>175.15628543625161</v>
      </c>
      <c r="AW42" s="188"/>
      <c r="AX42" s="189">
        <v>125.59964483820595</v>
      </c>
      <c r="AY42" s="189">
        <v>138.24869825890119</v>
      </c>
      <c r="AZ42" s="189">
        <v>156.09507742676459</v>
      </c>
      <c r="BA42" s="189">
        <v>165.66165535163051</v>
      </c>
      <c r="BB42" s="188">
        <v>173.01706017357083</v>
      </c>
      <c r="BC42" s="188"/>
      <c r="BD42" s="189">
        <v>1.5529659272030856</v>
      </c>
      <c r="BE42" s="189">
        <v>1.7093451624809444</v>
      </c>
      <c r="BF42" s="189">
        <v>1.9299765633313342</v>
      </c>
      <c r="BG42" s="189">
        <v>2.0482931249974619</v>
      </c>
      <c r="BH42" s="188">
        <v>2.1392252626807844</v>
      </c>
    </row>
    <row r="43" spans="1:60" x14ac:dyDescent="0.2">
      <c r="A43" s="91" t="str">
        <f>$A$15</f>
        <v>50-54</v>
      </c>
      <c r="B43" s="189">
        <v>151.76046321416865</v>
      </c>
      <c r="C43" s="189">
        <v>142.31942173288223</v>
      </c>
      <c r="D43" s="189">
        <v>119.93293116047923</v>
      </c>
      <c r="E43" s="189">
        <v>88.171156371964599</v>
      </c>
      <c r="F43" s="188">
        <v>63.180524219714144</v>
      </c>
      <c r="G43" s="188"/>
      <c r="H43" s="189">
        <v>72.199699301024509</v>
      </c>
      <c r="I43" s="189">
        <v>67.708117557824508</v>
      </c>
      <c r="J43" s="189">
        <v>57.057834143300127</v>
      </c>
      <c r="K43" s="189">
        <v>41.9472270479773</v>
      </c>
      <c r="L43" s="188">
        <v>30.058003326770649</v>
      </c>
      <c r="M43" s="188"/>
      <c r="N43" s="189">
        <v>79.560763913144157</v>
      </c>
      <c r="O43" s="189">
        <v>74.611304175057768</v>
      </c>
      <c r="P43" s="189">
        <v>62.875097017179108</v>
      </c>
      <c r="Q43" s="189">
        <v>46.223929323987292</v>
      </c>
      <c r="R43" s="188">
        <v>33.122520892943498</v>
      </c>
      <c r="S43" s="188"/>
      <c r="T43" s="189">
        <v>0</v>
      </c>
      <c r="U43" s="189">
        <v>0</v>
      </c>
      <c r="V43" s="189">
        <v>0</v>
      </c>
      <c r="W43" s="189">
        <v>0</v>
      </c>
      <c r="X43" s="188">
        <v>0</v>
      </c>
      <c r="Y43" s="91" t="str">
        <f>$A$15</f>
        <v>50-54</v>
      </c>
      <c r="Z43" s="189">
        <v>124.24614829379526</v>
      </c>
      <c r="AA43" s="189">
        <v>130.25908800461309</v>
      </c>
      <c r="AB43" s="189">
        <v>149.14503167899258</v>
      </c>
      <c r="AC43" s="189">
        <v>157.9913676435533</v>
      </c>
      <c r="AD43" s="188">
        <v>164.67380902817911</v>
      </c>
      <c r="AE43" s="188"/>
      <c r="AF43" s="189">
        <v>117.87817168097233</v>
      </c>
      <c r="AG43" s="189">
        <v>123.5828772613132</v>
      </c>
      <c r="AH43" s="189">
        <v>141.50083699823233</v>
      </c>
      <c r="AI43" s="189">
        <v>149.89384905562815</v>
      </c>
      <c r="AJ43" s="188">
        <v>156.23374286788874</v>
      </c>
      <c r="AK43" s="188"/>
      <c r="AL43" s="189">
        <v>6.3679766128229192</v>
      </c>
      <c r="AM43" s="189">
        <v>6.6762107432998921</v>
      </c>
      <c r="AN43" s="189">
        <v>7.6441946807602736</v>
      </c>
      <c r="AO43" s="189">
        <v>8.0975185879251441</v>
      </c>
      <c r="AP43" s="188">
        <v>8.4400661602903408</v>
      </c>
      <c r="AQ43" s="91" t="str">
        <f>$A$15</f>
        <v>50-54</v>
      </c>
      <c r="AR43" s="189">
        <v>92.988388492036123</v>
      </c>
      <c r="AS43" s="189">
        <v>110.77949026250468</v>
      </c>
      <c r="AT43" s="189">
        <v>137.77303716052822</v>
      </c>
      <c r="AU43" s="189">
        <v>148.29147598448213</v>
      </c>
      <c r="AV43" s="188">
        <v>157.07466675210676</v>
      </c>
      <c r="AW43" s="188"/>
      <c r="AX43" s="189">
        <v>92.202593366663635</v>
      </c>
      <c r="AY43" s="189">
        <v>109.84331382664183</v>
      </c>
      <c r="AZ43" s="189">
        <v>136.60872759410435</v>
      </c>
      <c r="BA43" s="189">
        <v>147.03823447333156</v>
      </c>
      <c r="BB43" s="188">
        <v>155.74724028806634</v>
      </c>
      <c r="BC43" s="188"/>
      <c r="BD43" s="189">
        <v>0.78579512537246932</v>
      </c>
      <c r="BE43" s="189">
        <v>0.93617643586283261</v>
      </c>
      <c r="BF43" s="189">
        <v>1.1643095664238496</v>
      </c>
      <c r="BG43" s="189">
        <v>1.2532415111505675</v>
      </c>
      <c r="BH43" s="188">
        <v>1.3274264640404241</v>
      </c>
    </row>
    <row r="44" spans="1:60" x14ac:dyDescent="0.2">
      <c r="A44" s="91" t="str">
        <f>$A$16</f>
        <v>55-59</v>
      </c>
      <c r="B44" s="189">
        <v>164.06581424258854</v>
      </c>
      <c r="C44" s="189">
        <v>150.69890471648134</v>
      </c>
      <c r="D44" s="189">
        <v>139.62009278798115</v>
      </c>
      <c r="E44" s="189">
        <v>115.66738771483223</v>
      </c>
      <c r="F44" s="188">
        <v>84.578879253283077</v>
      </c>
      <c r="G44" s="188"/>
      <c r="H44" s="189">
        <v>83.472280270866776</v>
      </c>
      <c r="I44" s="189">
        <v>76.671543299949803</v>
      </c>
      <c r="J44" s="189">
        <v>71.034930306068375</v>
      </c>
      <c r="K44" s="189">
        <v>58.848447605981825</v>
      </c>
      <c r="L44" s="188">
        <v>43.031510173276651</v>
      </c>
      <c r="M44" s="188"/>
      <c r="N44" s="189">
        <v>80.593533971721769</v>
      </c>
      <c r="O44" s="189">
        <v>74.027361416531534</v>
      </c>
      <c r="P44" s="189">
        <v>68.585162481912789</v>
      </c>
      <c r="Q44" s="189">
        <v>56.818940108850398</v>
      </c>
      <c r="R44" s="188">
        <v>41.547369080006419</v>
      </c>
      <c r="S44" s="188"/>
      <c r="T44" s="189">
        <v>0</v>
      </c>
      <c r="U44" s="189">
        <v>0</v>
      </c>
      <c r="V44" s="189">
        <v>0</v>
      </c>
      <c r="W44" s="189">
        <v>0</v>
      </c>
      <c r="X44" s="188">
        <v>0</v>
      </c>
      <c r="Y44" s="91" t="str">
        <f>$A$16</f>
        <v>55-59</v>
      </c>
      <c r="Z44" s="189">
        <v>103.85146408829428</v>
      </c>
      <c r="AA44" s="189">
        <v>105.31706169001831</v>
      </c>
      <c r="AB44" s="189">
        <v>133.62564527254057</v>
      </c>
      <c r="AC44" s="189">
        <v>158.51241512029338</v>
      </c>
      <c r="AD44" s="188">
        <v>167.67684572688086</v>
      </c>
      <c r="AE44" s="188"/>
      <c r="AF44" s="189">
        <v>97.635306286684369</v>
      </c>
      <c r="AG44" s="189">
        <v>99.013227711577329</v>
      </c>
      <c r="AH44" s="189">
        <v>125.62736470938835</v>
      </c>
      <c r="AI44" s="189">
        <v>149.02451048118331</v>
      </c>
      <c r="AJ44" s="188">
        <v>157.64040037339234</v>
      </c>
      <c r="AK44" s="188"/>
      <c r="AL44" s="189">
        <v>6.2161578016099055</v>
      </c>
      <c r="AM44" s="189">
        <v>6.3038339784409745</v>
      </c>
      <c r="AN44" s="189">
        <v>7.9982805631522167</v>
      </c>
      <c r="AO44" s="189">
        <v>9.4879046391100914</v>
      </c>
      <c r="AP44" s="188">
        <v>10.036445353488508</v>
      </c>
      <c r="AQ44" s="91" t="str">
        <f>$A$16</f>
        <v>55-59</v>
      </c>
      <c r="AR44" s="189">
        <v>71.118721669117207</v>
      </c>
      <c r="AS44" s="189">
        <v>89.960033593500384</v>
      </c>
      <c r="AT44" s="189">
        <v>106.67026193947827</v>
      </c>
      <c r="AU44" s="189">
        <v>129.27319716487438</v>
      </c>
      <c r="AV44" s="188">
        <v>139.76427501983605</v>
      </c>
      <c r="AW44" s="188"/>
      <c r="AX44" s="189">
        <v>70.361656937121666</v>
      </c>
      <c r="AY44" s="189">
        <v>89.002383349993565</v>
      </c>
      <c r="AZ44" s="189">
        <v>105.53473797538304</v>
      </c>
      <c r="BA44" s="189">
        <v>127.89702319588957</v>
      </c>
      <c r="BB44" s="188">
        <v>138.27638669068557</v>
      </c>
      <c r="BC44" s="188"/>
      <c r="BD44" s="189">
        <v>0.75706473199554847</v>
      </c>
      <c r="BE44" s="189">
        <v>0.95765024350680805</v>
      </c>
      <c r="BF44" s="189">
        <v>1.1355239640952357</v>
      </c>
      <c r="BG44" s="189">
        <v>1.3761739689848116</v>
      </c>
      <c r="BH44" s="188">
        <v>1.4878883291504774</v>
      </c>
    </row>
    <row r="45" spans="1:60" x14ac:dyDescent="0.2">
      <c r="A45" s="91" t="str">
        <f>$A$17</f>
        <v>60-64</v>
      </c>
      <c r="B45" s="189">
        <v>165.06537455422799</v>
      </c>
      <c r="C45" s="189">
        <v>167.88674816060211</v>
      </c>
      <c r="D45" s="189">
        <v>145.42540941137864</v>
      </c>
      <c r="E45" s="189">
        <v>125.57390015162404</v>
      </c>
      <c r="F45" s="188">
        <v>98.802245415285199</v>
      </c>
      <c r="G45" s="188"/>
      <c r="H45" s="189">
        <v>93.553123450841682</v>
      </c>
      <c r="I45" s="189">
        <v>95.15219797521867</v>
      </c>
      <c r="J45" s="189">
        <v>82.421896218232547</v>
      </c>
      <c r="K45" s="189">
        <v>71.170799052200323</v>
      </c>
      <c r="L45" s="188">
        <v>55.997543894228997</v>
      </c>
      <c r="M45" s="188"/>
      <c r="N45" s="189">
        <v>71.512251103386319</v>
      </c>
      <c r="O45" s="189">
        <v>72.734550185383426</v>
      </c>
      <c r="P45" s="189">
        <v>63.003513193146112</v>
      </c>
      <c r="Q45" s="189">
        <v>54.403101099423715</v>
      </c>
      <c r="R45" s="188">
        <v>42.804701521056209</v>
      </c>
      <c r="S45" s="188"/>
      <c r="T45" s="189">
        <v>0</v>
      </c>
      <c r="U45" s="189">
        <v>0</v>
      </c>
      <c r="V45" s="189">
        <v>0</v>
      </c>
      <c r="W45" s="189">
        <v>0</v>
      </c>
      <c r="X45" s="188">
        <v>0</v>
      </c>
      <c r="Y45" s="91" t="str">
        <f>$A$17</f>
        <v>60-64</v>
      </c>
      <c r="Z45" s="189">
        <v>78.364072036445037</v>
      </c>
      <c r="AA45" s="189">
        <v>85.048861618755822</v>
      </c>
      <c r="AB45" s="189">
        <v>109.18459242485633</v>
      </c>
      <c r="AC45" s="189">
        <v>137.4151283547578</v>
      </c>
      <c r="AD45" s="188">
        <v>160.29275934647907</v>
      </c>
      <c r="AE45" s="188"/>
      <c r="AF45" s="189">
        <v>73.870615721664365</v>
      </c>
      <c r="AG45" s="189">
        <v>80.172077906886543</v>
      </c>
      <c r="AH45" s="189">
        <v>102.92385352478725</v>
      </c>
      <c r="AI45" s="189">
        <v>129.53569602307752</v>
      </c>
      <c r="AJ45" s="188">
        <v>151.10146214371721</v>
      </c>
      <c r="AK45" s="188"/>
      <c r="AL45" s="189">
        <v>4.4934563147806799</v>
      </c>
      <c r="AM45" s="189">
        <v>4.8767837118692912</v>
      </c>
      <c r="AN45" s="189">
        <v>6.2607389000690823</v>
      </c>
      <c r="AO45" s="189">
        <v>7.8794323316802695</v>
      </c>
      <c r="AP45" s="188">
        <v>9.191297202761854</v>
      </c>
      <c r="AQ45" s="91" t="str">
        <f>$A$17</f>
        <v>60-64</v>
      </c>
      <c r="AR45" s="189">
        <v>56.310553409327007</v>
      </c>
      <c r="AS45" s="189">
        <v>67.870390220642065</v>
      </c>
      <c r="AT45" s="189">
        <v>84.024998163765019</v>
      </c>
      <c r="AU45" s="189">
        <v>110.21797149361819</v>
      </c>
      <c r="AV45" s="188">
        <v>138.11699523823569</v>
      </c>
      <c r="AW45" s="188"/>
      <c r="AX45" s="189">
        <v>55.169107221716523</v>
      </c>
      <c r="AY45" s="189">
        <v>66.494660625358861</v>
      </c>
      <c r="AZ45" s="189">
        <v>82.321847901242236</v>
      </c>
      <c r="BA45" s="189">
        <v>107.98385950823412</v>
      </c>
      <c r="BB45" s="188">
        <v>135.3173815226985</v>
      </c>
      <c r="BC45" s="188"/>
      <c r="BD45" s="189">
        <v>1.1414461876104915</v>
      </c>
      <c r="BE45" s="189">
        <v>1.375729595283202</v>
      </c>
      <c r="BF45" s="189">
        <v>1.7031502625227839</v>
      </c>
      <c r="BG45" s="189">
        <v>2.2341119853840721</v>
      </c>
      <c r="BH45" s="188">
        <v>2.7996137155371672</v>
      </c>
    </row>
    <row r="46" spans="1:60" x14ac:dyDescent="0.2">
      <c r="A46" s="91" t="str">
        <f>$A$18</f>
        <v>65+</v>
      </c>
      <c r="B46" s="189">
        <v>684.22019433015396</v>
      </c>
      <c r="C46" s="189">
        <v>659.7220549729019</v>
      </c>
      <c r="D46" s="189">
        <v>597.6874930135458</v>
      </c>
      <c r="E46" s="189">
        <v>516.4377556390009</v>
      </c>
      <c r="F46" s="188">
        <v>432.27609064150056</v>
      </c>
      <c r="G46" s="190"/>
      <c r="H46" s="189">
        <v>489.85248018008991</v>
      </c>
      <c r="I46" s="189">
        <v>472.31354432994846</v>
      </c>
      <c r="J46" s="189">
        <v>427.90128288186639</v>
      </c>
      <c r="K46" s="189">
        <v>369.73229781992757</v>
      </c>
      <c r="L46" s="188">
        <v>309.47859548147727</v>
      </c>
      <c r="M46" s="190"/>
      <c r="N46" s="189">
        <v>194.3677141500641</v>
      </c>
      <c r="O46" s="189">
        <v>187.40851064295344</v>
      </c>
      <c r="P46" s="189">
        <v>169.78621013167941</v>
      </c>
      <c r="Q46" s="189">
        <v>146.70545781907333</v>
      </c>
      <c r="R46" s="188">
        <v>122.79749516002329</v>
      </c>
      <c r="S46" s="190"/>
      <c r="T46" s="190">
        <v>0</v>
      </c>
      <c r="U46" s="190">
        <v>0</v>
      </c>
      <c r="V46" s="190">
        <v>0</v>
      </c>
      <c r="W46" s="190">
        <v>0</v>
      </c>
      <c r="X46" s="190">
        <v>0</v>
      </c>
      <c r="Y46" s="91" t="str">
        <f>$A$18</f>
        <v>65+</v>
      </c>
      <c r="Z46" s="189">
        <v>229.30721305756543</v>
      </c>
      <c r="AA46" s="189">
        <v>242.95644971788712</v>
      </c>
      <c r="AB46" s="189">
        <v>324.13328439256134</v>
      </c>
      <c r="AC46" s="189">
        <v>392.98454329955848</v>
      </c>
      <c r="AD46" s="188">
        <v>471.20711273861792</v>
      </c>
      <c r="AE46" s="190"/>
      <c r="AF46" s="189">
        <v>216.90901867585666</v>
      </c>
      <c r="AG46" s="189">
        <v>229.82037680573097</v>
      </c>
      <c r="AH46" s="189">
        <v>306.60805056907492</v>
      </c>
      <c r="AI46" s="189">
        <v>371.73671710382393</v>
      </c>
      <c r="AJ46" s="188">
        <v>445.72999049974806</v>
      </c>
      <c r="AK46" s="190"/>
      <c r="AL46" s="189">
        <v>12.398194381708771</v>
      </c>
      <c r="AM46" s="189">
        <v>13.136072912156155</v>
      </c>
      <c r="AN46" s="189">
        <v>17.525233823486392</v>
      </c>
      <c r="AO46" s="189">
        <v>21.247826195734497</v>
      </c>
      <c r="AP46" s="188">
        <v>25.477122238869928</v>
      </c>
      <c r="AQ46" s="91" t="str">
        <f>$A$18</f>
        <v>65+</v>
      </c>
      <c r="AR46" s="189">
        <v>145.26459261228058</v>
      </c>
      <c r="AS46" s="189">
        <v>173.26549530921105</v>
      </c>
      <c r="AT46" s="189">
        <v>233.46822259389299</v>
      </c>
      <c r="AU46" s="189">
        <v>332.65670106144069</v>
      </c>
      <c r="AV46" s="188">
        <v>456.31479661988146</v>
      </c>
      <c r="AW46" s="190"/>
      <c r="AX46" s="189">
        <v>143.74209408925086</v>
      </c>
      <c r="AY46" s="189">
        <v>171.44937059191324</v>
      </c>
      <c r="AZ46" s="189">
        <v>231.02121966409953</v>
      </c>
      <c r="BA46" s="189">
        <v>329.17005716327628</v>
      </c>
      <c r="BB46" s="188">
        <v>451.53195718650386</v>
      </c>
      <c r="BC46" s="190"/>
      <c r="BD46" s="189">
        <v>1.5224985230297139</v>
      </c>
      <c r="BE46" s="189">
        <v>1.8161247172978172</v>
      </c>
      <c r="BF46" s="189">
        <v>2.4470029297934355</v>
      </c>
      <c r="BG46" s="189">
        <v>3.4866438981643779</v>
      </c>
      <c r="BH46" s="188">
        <v>4.7828394333776503</v>
      </c>
    </row>
    <row r="47" spans="1:60" x14ac:dyDescent="0.2">
      <c r="A47" s="96"/>
      <c r="B47" s="191"/>
      <c r="C47" s="191"/>
      <c r="D47" s="191"/>
      <c r="E47" s="191"/>
      <c r="F47" s="191"/>
      <c r="G47" s="191"/>
      <c r="H47" s="191"/>
      <c r="I47" s="191"/>
      <c r="J47" s="191"/>
      <c r="K47" s="191"/>
      <c r="L47" s="191"/>
      <c r="M47" s="191"/>
      <c r="N47" s="191"/>
      <c r="O47" s="191"/>
      <c r="P47" s="191"/>
      <c r="Q47" s="191"/>
      <c r="R47" s="191"/>
      <c r="S47" s="191"/>
      <c r="Y47" s="96"/>
      <c r="Z47" s="191"/>
      <c r="AA47" s="191"/>
      <c r="AB47" s="191"/>
      <c r="AC47" s="191"/>
      <c r="AD47" s="191"/>
      <c r="AE47" s="191"/>
      <c r="AF47" s="191"/>
      <c r="AG47" s="191"/>
      <c r="AH47" s="191"/>
      <c r="AI47" s="191"/>
      <c r="AJ47" s="191"/>
      <c r="AK47" s="191"/>
      <c r="AL47" s="191"/>
      <c r="AM47" s="191"/>
      <c r="AN47" s="191"/>
      <c r="AO47" s="191"/>
      <c r="AP47" s="191"/>
      <c r="AQ47" s="96"/>
      <c r="AR47" s="191"/>
      <c r="AS47" s="191"/>
      <c r="AT47" s="191"/>
      <c r="AU47" s="191"/>
      <c r="AV47" s="191"/>
      <c r="AW47" s="191"/>
      <c r="AX47" s="191"/>
      <c r="AY47" s="191"/>
      <c r="AZ47" s="191"/>
      <c r="BA47" s="191"/>
      <c r="BB47" s="191"/>
      <c r="BC47" s="191"/>
      <c r="BD47" s="191"/>
      <c r="BE47" s="191"/>
      <c r="BF47" s="191"/>
      <c r="BG47" s="191"/>
      <c r="BH47" s="191"/>
    </row>
    <row r="48" spans="1:60" x14ac:dyDescent="0.2">
      <c r="B48" s="94"/>
      <c r="C48" s="94"/>
      <c r="D48" s="94"/>
      <c r="E48" s="94"/>
      <c r="Z48" s="94"/>
      <c r="AA48" s="94"/>
      <c r="AB48" s="94"/>
      <c r="AC48" s="94"/>
      <c r="AR48" s="94"/>
      <c r="AS48" s="94"/>
      <c r="AT48" s="94"/>
      <c r="AU48" s="94"/>
    </row>
    <row r="49" spans="1:60" ht="15.75" x14ac:dyDescent="0.25">
      <c r="A49" s="19" t="str">
        <f>CONCATENATE("Basic Table 2b  Labour Force by Gender, Age Group and ISCED Qualification, ",Info!B8,", ",$B$5,"-",$F$5)</f>
        <v>Basic Table 2b  Labour Force by Gender, Age Group and ISCED Qualification, , 2008-2025</v>
      </c>
      <c r="Y49" s="19" t="str">
        <f>CONCATENATE("Basic Table 2b  Labour Force by Gender, Age Group and ISCED Qualification, ",Info!B8,", ",$B$5,"-",$F$5," (continued)")</f>
        <v>Basic Table 2b  Labour Force by Gender, Age Group and ISCED Qualification, , 2008-2025 (continued)</v>
      </c>
      <c r="AQ49" s="19" t="str">
        <f>CONCATENATE("Basic Table 2b  Labour Force by Gender, Age Group and ISCED Qualification, ",Info!B8,", ",$B$5,"-",$F$5," (continued)")</f>
        <v>Basic Table 2b  Labour Force by Gender, Age Group and ISCED Qualification, , 2008-2025 (continued)</v>
      </c>
    </row>
    <row r="50" spans="1:60" ht="12.75" customHeight="1" x14ac:dyDescent="0.2">
      <c r="W50" s="385" t="s">
        <v>13</v>
      </c>
      <c r="X50" s="385"/>
      <c r="AP50" s="183" t="str">
        <f>AP2</f>
        <v>Levels (000s)</v>
      </c>
      <c r="BH50" s="183" t="str">
        <f>BH2</f>
        <v>Levels (000s)</v>
      </c>
    </row>
    <row r="51" spans="1:60" x14ac:dyDescent="0.2">
      <c r="A51" s="118" t="s">
        <v>108</v>
      </c>
      <c r="B51" s="184" t="str">
        <f>B3</f>
        <v>All Low qualifications</v>
      </c>
      <c r="C51" s="184"/>
      <c r="D51" s="185"/>
      <c r="E51" s="184"/>
      <c r="F51" s="184"/>
      <c r="G51" s="118"/>
      <c r="H51" s="184" t="str">
        <f>H3</f>
        <v>Pre-primary education</v>
      </c>
      <c r="I51" s="184"/>
      <c r="J51" s="184"/>
      <c r="K51" s="184"/>
      <c r="L51" s="184"/>
      <c r="M51" s="118"/>
      <c r="N51" s="184" t="str">
        <f>N3</f>
        <v>Primary education (1st stage basic)</v>
      </c>
      <c r="O51" s="184"/>
      <c r="P51" s="184"/>
      <c r="Q51" s="184"/>
      <c r="R51" s="184"/>
      <c r="S51" s="118"/>
      <c r="T51" s="390" t="str">
        <f>T3</f>
        <v>Lower secondary education (2nd stage basic)</v>
      </c>
      <c r="U51" s="390"/>
      <c r="V51" s="390"/>
      <c r="W51" s="390"/>
      <c r="X51" s="390"/>
      <c r="Y51" s="118" t="s">
        <v>108</v>
      </c>
      <c r="Z51" s="184" t="str">
        <f>Z3</f>
        <v>All Medium qualifications</v>
      </c>
      <c r="AA51" s="184"/>
      <c r="AB51" s="185"/>
      <c r="AC51" s="184"/>
      <c r="AD51" s="184"/>
      <c r="AE51" s="118"/>
      <c r="AF51" s="184" t="str">
        <f>AF3</f>
        <v>Upper secondary education</v>
      </c>
      <c r="AG51" s="184"/>
      <c r="AH51" s="184"/>
      <c r="AI51" s="184"/>
      <c r="AJ51" s="184"/>
      <c r="AK51" s="118"/>
      <c r="AL51" s="184" t="str">
        <f>AL3</f>
        <v>Post-secondary non-tertiary education</v>
      </c>
      <c r="AM51" s="184"/>
      <c r="AN51" s="184"/>
      <c r="AO51" s="184"/>
      <c r="AP51" s="184"/>
      <c r="AQ51" s="118" t="s">
        <v>108</v>
      </c>
      <c r="AR51" s="184" t="str">
        <f>AR3</f>
        <v>All High qualifications</v>
      </c>
      <c r="AS51" s="184"/>
      <c r="AT51" s="185"/>
      <c r="AU51" s="184"/>
      <c r="AV51" s="184"/>
      <c r="AW51" s="118"/>
      <c r="AX51" s="184" t="str">
        <f>AX3</f>
        <v>First stage of tertiary education</v>
      </c>
      <c r="AY51" s="184"/>
      <c r="AZ51" s="184"/>
      <c r="BA51" s="184"/>
      <c r="BB51" s="184"/>
      <c r="BC51" s="118"/>
      <c r="BD51" s="184" t="str">
        <f>BD3</f>
        <v>Second stage of tertiary education</v>
      </c>
      <c r="BE51" s="184"/>
      <c r="BF51" s="184"/>
      <c r="BG51" s="184"/>
      <c r="BH51" s="184"/>
    </row>
    <row r="52" spans="1:60" x14ac:dyDescent="0.2">
      <c r="A52" s="180" t="s">
        <v>110</v>
      </c>
      <c r="B52" s="186"/>
      <c r="C52" s="186"/>
      <c r="D52" s="186"/>
      <c r="E52" s="186"/>
      <c r="F52" s="186"/>
      <c r="G52" s="92"/>
      <c r="H52" s="186"/>
      <c r="I52" s="186"/>
      <c r="J52" s="186"/>
      <c r="K52" s="186"/>
      <c r="L52" s="186"/>
      <c r="M52" s="92"/>
      <c r="N52" s="186"/>
      <c r="O52" s="186"/>
      <c r="P52" s="186"/>
      <c r="Q52" s="186"/>
      <c r="R52" s="186"/>
      <c r="S52" s="92"/>
      <c r="T52" s="186"/>
      <c r="U52" s="186"/>
      <c r="V52" s="186"/>
      <c r="W52" s="186"/>
      <c r="X52" s="186"/>
      <c r="Y52" s="180" t="s">
        <v>110</v>
      </c>
      <c r="Z52" s="186"/>
      <c r="AA52" s="186"/>
      <c r="AB52" s="186"/>
      <c r="AC52" s="186"/>
      <c r="AD52" s="186"/>
      <c r="AE52" s="92"/>
      <c r="AF52" s="186"/>
      <c r="AG52" s="186"/>
      <c r="AH52" s="186"/>
      <c r="AI52" s="186"/>
      <c r="AJ52" s="186"/>
      <c r="AK52" s="92"/>
      <c r="AL52" s="186"/>
      <c r="AM52" s="186"/>
      <c r="AN52" s="186"/>
      <c r="AO52" s="186"/>
      <c r="AP52" s="186"/>
      <c r="AQ52" s="180" t="s">
        <v>110</v>
      </c>
      <c r="AR52" s="186"/>
      <c r="AS52" s="186"/>
      <c r="AT52" s="186"/>
      <c r="AU52" s="186"/>
      <c r="AV52" s="186"/>
      <c r="AW52" s="92"/>
      <c r="AX52" s="186"/>
      <c r="AY52" s="186"/>
      <c r="AZ52" s="186"/>
      <c r="BA52" s="186"/>
      <c r="BB52" s="186"/>
      <c r="BC52" s="92"/>
      <c r="BD52" s="186"/>
      <c r="BE52" s="186"/>
      <c r="BF52" s="186"/>
      <c r="BG52" s="186"/>
      <c r="BH52" s="186"/>
    </row>
    <row r="53" spans="1:60" x14ac:dyDescent="0.2">
      <c r="A53" s="179"/>
      <c r="B53" s="187">
        <v>2008</v>
      </c>
      <c r="C53" s="187">
        <v>2010</v>
      </c>
      <c r="D53" s="187">
        <v>2012</v>
      </c>
      <c r="E53" s="187">
        <v>2015</v>
      </c>
      <c r="F53" s="180">
        <v>2020</v>
      </c>
      <c r="G53" s="120"/>
      <c r="H53" s="120">
        <f>B53</f>
        <v>2008</v>
      </c>
      <c r="I53" s="120">
        <f>C53</f>
        <v>2010</v>
      </c>
      <c r="J53" s="120">
        <f>D53</f>
        <v>2012</v>
      </c>
      <c r="K53" s="120">
        <f>E53</f>
        <v>2015</v>
      </c>
      <c r="L53" s="120">
        <f>F53</f>
        <v>2020</v>
      </c>
      <c r="M53" s="120"/>
      <c r="N53" s="120">
        <f>B53</f>
        <v>2008</v>
      </c>
      <c r="O53" s="120">
        <f>C53</f>
        <v>2010</v>
      </c>
      <c r="P53" s="120">
        <f>D53</f>
        <v>2012</v>
      </c>
      <c r="Q53" s="120">
        <f>E53</f>
        <v>2015</v>
      </c>
      <c r="R53" s="120">
        <f>F53</f>
        <v>2020</v>
      </c>
      <c r="S53" s="120"/>
      <c r="T53" s="120">
        <f>B53</f>
        <v>2008</v>
      </c>
      <c r="U53" s="120">
        <f>C53</f>
        <v>2010</v>
      </c>
      <c r="V53" s="120">
        <f>D53</f>
        <v>2012</v>
      </c>
      <c r="W53" s="120">
        <f>E53</f>
        <v>2015</v>
      </c>
      <c r="X53" s="120">
        <f>F53</f>
        <v>2020</v>
      </c>
      <c r="Y53" s="179"/>
      <c r="Z53" s="187">
        <v>2008</v>
      </c>
      <c r="AA53" s="187">
        <v>2010</v>
      </c>
      <c r="AB53" s="187">
        <v>2012</v>
      </c>
      <c r="AC53" s="187">
        <v>2015</v>
      </c>
      <c r="AD53" s="180">
        <v>2020</v>
      </c>
      <c r="AE53" s="120"/>
      <c r="AF53" s="120">
        <f>Z53</f>
        <v>2008</v>
      </c>
      <c r="AG53" s="120">
        <f>AA53</f>
        <v>2010</v>
      </c>
      <c r="AH53" s="120">
        <f>AB53</f>
        <v>2012</v>
      </c>
      <c r="AI53" s="120">
        <f>AC53</f>
        <v>2015</v>
      </c>
      <c r="AJ53" s="120">
        <f>AD53</f>
        <v>2020</v>
      </c>
      <c r="AK53" s="120"/>
      <c r="AL53" s="120">
        <f>Z53</f>
        <v>2008</v>
      </c>
      <c r="AM53" s="120">
        <f>AA53</f>
        <v>2010</v>
      </c>
      <c r="AN53" s="120">
        <f>AB53</f>
        <v>2012</v>
      </c>
      <c r="AO53" s="120">
        <f>AC53</f>
        <v>2015</v>
      </c>
      <c r="AP53" s="120">
        <f>AD53</f>
        <v>2020</v>
      </c>
      <c r="AQ53" s="179"/>
      <c r="AR53" s="187">
        <v>2008</v>
      </c>
      <c r="AS53" s="187">
        <v>2010</v>
      </c>
      <c r="AT53" s="187">
        <v>2012</v>
      </c>
      <c r="AU53" s="187">
        <v>2015</v>
      </c>
      <c r="AV53" s="180">
        <v>2020</v>
      </c>
      <c r="AW53" s="120"/>
      <c r="AX53" s="120">
        <f>AR53</f>
        <v>2008</v>
      </c>
      <c r="AY53" s="120">
        <f>AS53</f>
        <v>2010</v>
      </c>
      <c r="AZ53" s="120">
        <f>AT53</f>
        <v>2012</v>
      </c>
      <c r="BA53" s="120">
        <f>AU53</f>
        <v>2015</v>
      </c>
      <c r="BB53" s="120">
        <f>AV53</f>
        <v>2020</v>
      </c>
      <c r="BC53" s="120"/>
      <c r="BD53" s="120">
        <f>AR53</f>
        <v>2008</v>
      </c>
      <c r="BE53" s="120">
        <f>AS53</f>
        <v>2010</v>
      </c>
      <c r="BF53" s="120">
        <f>AT53</f>
        <v>2012</v>
      </c>
      <c r="BG53" s="120">
        <f>AU53</f>
        <v>2015</v>
      </c>
      <c r="BH53" s="120">
        <f>AV53</f>
        <v>2020</v>
      </c>
    </row>
    <row r="54" spans="1:60" x14ac:dyDescent="0.2">
      <c r="A54" s="114" t="str">
        <f>A6</f>
        <v>Males and females</v>
      </c>
      <c r="F54" s="188"/>
      <c r="G54" s="188"/>
      <c r="H54" s="188"/>
      <c r="I54" s="188"/>
      <c r="J54" s="188"/>
      <c r="K54" s="188"/>
      <c r="L54" s="188"/>
      <c r="M54" s="188"/>
      <c r="N54" s="188"/>
      <c r="O54" s="188"/>
      <c r="P54" s="188"/>
      <c r="Q54" s="188"/>
      <c r="R54" s="188"/>
      <c r="S54" s="188"/>
      <c r="Y54" s="114" t="str">
        <f>Y6</f>
        <v>Males and females</v>
      </c>
      <c r="AD54" s="188"/>
      <c r="AE54" s="188"/>
      <c r="AF54" s="188"/>
      <c r="AG54" s="188"/>
      <c r="AH54" s="188"/>
      <c r="AI54" s="188"/>
      <c r="AJ54" s="188"/>
      <c r="AK54" s="188"/>
      <c r="AL54" s="188"/>
      <c r="AM54" s="188"/>
      <c r="AN54" s="188"/>
      <c r="AO54" s="188"/>
      <c r="AP54" s="188"/>
      <c r="AQ54" s="114" t="str">
        <f>AQ6</f>
        <v>Males and females</v>
      </c>
      <c r="AV54" s="188"/>
      <c r="AW54" s="188"/>
      <c r="AX54" s="188"/>
      <c r="AY54" s="188"/>
      <c r="AZ54" s="188"/>
      <c r="BA54" s="188"/>
      <c r="BB54" s="188"/>
      <c r="BC54" s="188"/>
      <c r="BD54" s="188"/>
      <c r="BE54" s="188"/>
      <c r="BF54" s="188"/>
      <c r="BG54" s="188"/>
      <c r="BH54" s="188"/>
    </row>
    <row r="55" spans="1:60" x14ac:dyDescent="0.2">
      <c r="A55" s="91" t="str">
        <f>A7</f>
        <v>15+</v>
      </c>
      <c r="B55" s="189">
        <f>SUM(B69,B83)</f>
        <v>1091.4118992738524</v>
      </c>
      <c r="C55" s="189">
        <f t="shared" ref="C55:F55" si="43">SUM(C69,C83)</f>
        <v>1100.0037861102892</v>
      </c>
      <c r="D55" s="189">
        <f t="shared" si="43"/>
        <v>916.42301941602898</v>
      </c>
      <c r="E55" s="189">
        <f t="shared" si="43"/>
        <v>787.47393586094222</v>
      </c>
      <c r="F55" s="189">
        <f t="shared" si="43"/>
        <v>647.93759918436888</v>
      </c>
      <c r="G55" s="188"/>
      <c r="H55" s="189">
        <f>SUM(H69,H83)</f>
        <v>362.47383711398129</v>
      </c>
      <c r="I55" s="189">
        <f t="shared" ref="I55:L55" si="44">SUM(I69,I83)</f>
        <v>367.09230695546</v>
      </c>
      <c r="J55" s="189">
        <f t="shared" si="44"/>
        <v>309.04252665358638</v>
      </c>
      <c r="K55" s="189">
        <f t="shared" si="44"/>
        <v>265.71661758383789</v>
      </c>
      <c r="L55" s="189">
        <f t="shared" si="44"/>
        <v>217.36047114432725</v>
      </c>
      <c r="M55" s="188"/>
      <c r="N55" s="189">
        <f>SUM(N69,N83)</f>
        <v>728.93806215987115</v>
      </c>
      <c r="O55" s="189">
        <f t="shared" ref="O55:R55" si="45">SUM(O69,O83)</f>
        <v>732.91147915482918</v>
      </c>
      <c r="P55" s="189">
        <f t="shared" si="45"/>
        <v>607.3804927624426</v>
      </c>
      <c r="Q55" s="189">
        <f t="shared" si="45"/>
        <v>521.75731827710433</v>
      </c>
      <c r="R55" s="189">
        <f t="shared" si="45"/>
        <v>430.57712804004166</v>
      </c>
      <c r="S55" s="188"/>
      <c r="T55" s="189">
        <f>SUM(T69,T83)</f>
        <v>0</v>
      </c>
      <c r="U55" s="189">
        <f t="shared" ref="U55:X55" si="46">SUM(U69,U83)</f>
        <v>0</v>
      </c>
      <c r="V55" s="189">
        <f t="shared" si="46"/>
        <v>0</v>
      </c>
      <c r="W55" s="189">
        <f t="shared" si="46"/>
        <v>0</v>
      </c>
      <c r="X55" s="189">
        <f t="shared" si="46"/>
        <v>0</v>
      </c>
      <c r="Y55" s="91" t="str">
        <f>Y7</f>
        <v>15+</v>
      </c>
      <c r="Z55" s="189">
        <f>SUM(Z69,Z83)</f>
        <v>1946.6117047650587</v>
      </c>
      <c r="AA55" s="189">
        <f t="shared" ref="AA55:AD55" si="47">SUM(AA69,AA83)</f>
        <v>1898.9657890695435</v>
      </c>
      <c r="AB55" s="189">
        <f t="shared" si="47"/>
        <v>1962.8308563745852</v>
      </c>
      <c r="AC55" s="189">
        <f t="shared" si="47"/>
        <v>2069.7042275623553</v>
      </c>
      <c r="AD55" s="189">
        <f t="shared" si="47"/>
        <v>2170.6375884387007</v>
      </c>
      <c r="AE55" s="188"/>
      <c r="AF55" s="189">
        <f>SUM(AF69,AF83)</f>
        <v>1824.1912882451829</v>
      </c>
      <c r="AG55" s="189">
        <f t="shared" ref="AG55:AJ55" si="48">SUM(AG69,AG83)</f>
        <v>1779.7966268394514</v>
      </c>
      <c r="AH55" s="189">
        <f t="shared" si="48"/>
        <v>1839.9843516955048</v>
      </c>
      <c r="AI55" s="189">
        <f t="shared" si="48"/>
        <v>1940.4817534613794</v>
      </c>
      <c r="AJ55" s="189">
        <f t="shared" si="48"/>
        <v>2035.5057599780253</v>
      </c>
      <c r="AK55" s="188"/>
      <c r="AL55" s="189">
        <f>SUM(AL69,AL83)</f>
        <v>122.42041651987563</v>
      </c>
      <c r="AM55" s="189">
        <f t="shared" ref="AM55:AP55" si="49">SUM(AM69,AM83)</f>
        <v>119.16916223009233</v>
      </c>
      <c r="AN55" s="189">
        <f t="shared" si="49"/>
        <v>122.84650467908108</v>
      </c>
      <c r="AO55" s="189">
        <f t="shared" si="49"/>
        <v>129.22247410097572</v>
      </c>
      <c r="AP55" s="189">
        <f t="shared" si="49"/>
        <v>135.13182846067508</v>
      </c>
      <c r="AQ55" s="91" t="str">
        <f>AQ7</f>
        <v>15+</v>
      </c>
      <c r="AR55" s="189">
        <f>SUM(AR69,AR83)</f>
        <v>1748.2863959610891</v>
      </c>
      <c r="AS55" s="189">
        <f t="shared" ref="AS55:AV55" si="50">SUM(AS69,AS83)</f>
        <v>1906.3674248201669</v>
      </c>
      <c r="AT55" s="189">
        <f t="shared" si="50"/>
        <v>2115.1681242093855</v>
      </c>
      <c r="AU55" s="189">
        <f t="shared" si="50"/>
        <v>2318.0908365767018</v>
      </c>
      <c r="AV55" s="189">
        <f t="shared" si="50"/>
        <v>2521.4978123769306</v>
      </c>
      <c r="AW55" s="188"/>
      <c r="AX55" s="189">
        <f>SUM(AX69,AX83)</f>
        <v>1717.00572023467</v>
      </c>
      <c r="AY55" s="189">
        <f t="shared" ref="AY55:BB55" si="51">SUM(AY69,AY83)</f>
        <v>1871.5654118320501</v>
      </c>
      <c r="AZ55" s="189">
        <f t="shared" si="51"/>
        <v>2075.3669628743173</v>
      </c>
      <c r="BA55" s="189">
        <f t="shared" si="51"/>
        <v>2274.1381911334825</v>
      </c>
      <c r="BB55" s="189">
        <f t="shared" si="51"/>
        <v>2472.9509757013893</v>
      </c>
      <c r="BC55" s="188"/>
      <c r="BD55" s="189">
        <f>SUM(BD69,BD83)</f>
        <v>31.280675726418963</v>
      </c>
      <c r="BE55" s="189">
        <f t="shared" ref="BE55:BH55" si="52">SUM(BE69,BE83)</f>
        <v>34.676945501519299</v>
      </c>
      <c r="BF55" s="189">
        <f t="shared" si="52"/>
        <v>39.483123423895734</v>
      </c>
      <c r="BG55" s="189">
        <f t="shared" si="52"/>
        <v>43.95264544321995</v>
      </c>
      <c r="BH55" s="189">
        <f t="shared" si="52"/>
        <v>48.546836675541741</v>
      </c>
    </row>
    <row r="56" spans="1:60" x14ac:dyDescent="0.2">
      <c r="A56" s="91" t="str">
        <f t="shared" ref="A56:A66" si="53">A8</f>
        <v>15-19</v>
      </c>
      <c r="B56" s="189">
        <f t="shared" ref="B56:F66" si="54">SUM(B70,B84)</f>
        <v>33.922484918096792</v>
      </c>
      <c r="C56" s="189">
        <f t="shared" si="54"/>
        <v>33.428963380218356</v>
      </c>
      <c r="D56" s="189">
        <f t="shared" si="54"/>
        <v>25.618579168305843</v>
      </c>
      <c r="E56" s="189">
        <f t="shared" si="54"/>
        <v>27.576564899958772</v>
      </c>
      <c r="F56" s="189">
        <f t="shared" si="54"/>
        <v>31.444379921686618</v>
      </c>
      <c r="G56" s="188"/>
      <c r="H56" s="189">
        <f t="shared" ref="H56:L66" si="55">SUM(H70,H84)</f>
        <v>7.8573198535721822</v>
      </c>
      <c r="I56" s="189">
        <f t="shared" si="55"/>
        <v>7.5672034937247652</v>
      </c>
      <c r="J56" s="189">
        <f t="shared" si="55"/>
        <v>5.7747610908860949</v>
      </c>
      <c r="K56" s="189">
        <f t="shared" si="55"/>
        <v>6.3040880162625772</v>
      </c>
      <c r="L56" s="189">
        <f t="shared" si="55"/>
        <v>7.2506410354839996</v>
      </c>
      <c r="M56" s="188"/>
      <c r="N56" s="189">
        <f t="shared" ref="N56:R66" si="56">SUM(N70,N84)</f>
        <v>26.065165064524606</v>
      </c>
      <c r="O56" s="189">
        <f t="shared" si="56"/>
        <v>25.861759886493594</v>
      </c>
      <c r="P56" s="189">
        <f t="shared" si="56"/>
        <v>19.843818077419751</v>
      </c>
      <c r="Q56" s="189">
        <f t="shared" si="56"/>
        <v>21.272476883696193</v>
      </c>
      <c r="R56" s="189">
        <f t="shared" si="56"/>
        <v>24.193738886202624</v>
      </c>
      <c r="S56" s="188"/>
      <c r="T56" s="189">
        <f t="shared" ref="T56:X66" si="57">SUM(T70,T84)</f>
        <v>0</v>
      </c>
      <c r="U56" s="189">
        <f t="shared" si="57"/>
        <v>0</v>
      </c>
      <c r="V56" s="189">
        <f t="shared" si="57"/>
        <v>0</v>
      </c>
      <c r="W56" s="189">
        <f t="shared" si="57"/>
        <v>0</v>
      </c>
      <c r="X56" s="189">
        <f t="shared" si="57"/>
        <v>0</v>
      </c>
      <c r="Y56" s="91" t="str">
        <f t="shared" ref="Y56:Y66" si="58">Y8</f>
        <v>15-19</v>
      </c>
      <c r="Z56" s="189">
        <f t="shared" ref="Z56:AD66" si="59">SUM(Z70,Z84)</f>
        <v>28.669275921467221</v>
      </c>
      <c r="AA56" s="189">
        <f t="shared" si="59"/>
        <v>24.94017830051537</v>
      </c>
      <c r="AB56" s="189">
        <f t="shared" si="59"/>
        <v>22.096171672766943</v>
      </c>
      <c r="AC56" s="189">
        <f t="shared" si="59"/>
        <v>24.369923731987864</v>
      </c>
      <c r="AD56" s="189">
        <f t="shared" si="59"/>
        <v>28.847750118738247</v>
      </c>
      <c r="AE56" s="188"/>
      <c r="AF56" s="189">
        <f t="shared" ref="AF56:AJ66" si="60">SUM(AF70,AF84)</f>
        <v>27.131107622890386</v>
      </c>
      <c r="AG56" s="189">
        <f t="shared" si="60"/>
        <v>23.604856528669352</v>
      </c>
      <c r="AH56" s="189">
        <f t="shared" si="60"/>
        <v>20.910693259755835</v>
      </c>
      <c r="AI56" s="189">
        <f t="shared" si="60"/>
        <v>23.061501302502187</v>
      </c>
      <c r="AJ56" s="189">
        <f t="shared" si="60"/>
        <v>27.298051224460476</v>
      </c>
      <c r="AK56" s="188"/>
      <c r="AL56" s="189">
        <f t="shared" ref="AL56:AP66" si="61">SUM(AL70,AL84)</f>
        <v>1.538168298576831</v>
      </c>
      <c r="AM56" s="189">
        <f t="shared" si="61"/>
        <v>1.3353217718460186</v>
      </c>
      <c r="AN56" s="189">
        <f t="shared" si="61"/>
        <v>1.185478413011108</v>
      </c>
      <c r="AO56" s="189">
        <f t="shared" si="61"/>
        <v>1.3084224294856792</v>
      </c>
      <c r="AP56" s="189">
        <f t="shared" si="61"/>
        <v>1.5496988942777667</v>
      </c>
      <c r="AQ56" s="91" t="str">
        <f t="shared" ref="AQ56:AQ66" si="62">AQ8</f>
        <v>15-19</v>
      </c>
      <c r="AR56" s="189">
        <f t="shared" ref="AR56:AV66" si="63">SUM(AR70,AR84)</f>
        <v>0.22323916043599393</v>
      </c>
      <c r="AS56" s="189">
        <f t="shared" si="63"/>
        <v>0.23185831926626108</v>
      </c>
      <c r="AT56" s="189">
        <f t="shared" si="63"/>
        <v>0.31924915892721956</v>
      </c>
      <c r="AU56" s="189">
        <f t="shared" si="63"/>
        <v>0.32851136805335357</v>
      </c>
      <c r="AV56" s="189">
        <f t="shared" si="63"/>
        <v>0.36386995957513524</v>
      </c>
      <c r="AW56" s="188"/>
      <c r="AX56" s="189">
        <f t="shared" ref="AX56:BB66" si="64">SUM(AX70,AX84)</f>
        <v>0.18942213461700935</v>
      </c>
      <c r="AY56" s="189">
        <f t="shared" si="64"/>
        <v>7.0679138418197798E-2</v>
      </c>
      <c r="AZ56" s="189">
        <f t="shared" si="64"/>
        <v>8.014133599071727E-4</v>
      </c>
      <c r="BA56" s="189">
        <f t="shared" si="64"/>
        <v>0.32647088949339453</v>
      </c>
      <c r="BB56" s="189">
        <f t="shared" si="64"/>
        <v>0.3602016521563422</v>
      </c>
      <c r="BC56" s="188"/>
      <c r="BD56" s="189">
        <f t="shared" ref="BD56:BH66" si="65">SUM(BD70,BD84)</f>
        <v>3.3817025818984561E-2</v>
      </c>
      <c r="BE56" s="189">
        <f t="shared" si="65"/>
        <v>3.6111694250642229E-2</v>
      </c>
      <c r="BF56" s="189">
        <f t="shared" si="65"/>
        <v>4.0983439475890718E-4</v>
      </c>
      <c r="BG56" s="189">
        <f t="shared" si="65"/>
        <v>2.0404785599590159E-3</v>
      </c>
      <c r="BH56" s="189">
        <f t="shared" si="65"/>
        <v>3.6683074187930289E-3</v>
      </c>
    </row>
    <row r="57" spans="1:60" x14ac:dyDescent="0.2">
      <c r="A57" s="91" t="str">
        <f t="shared" si="53"/>
        <v>20-24</v>
      </c>
      <c r="B57" s="189">
        <f t="shared" si="54"/>
        <v>69.997446885450401</v>
      </c>
      <c r="C57" s="189">
        <f t="shared" si="54"/>
        <v>73.885251785075525</v>
      </c>
      <c r="D57" s="189">
        <f t="shared" si="54"/>
        <v>60.82748778551305</v>
      </c>
      <c r="E57" s="189">
        <f t="shared" si="54"/>
        <v>52.336025748722321</v>
      </c>
      <c r="F57" s="189">
        <f t="shared" si="54"/>
        <v>47.838308330484821</v>
      </c>
      <c r="G57" s="188"/>
      <c r="H57" s="189">
        <f t="shared" si="55"/>
        <v>17.50666245872462</v>
      </c>
      <c r="I57" s="189">
        <f t="shared" si="55"/>
        <v>18.316843567871658</v>
      </c>
      <c r="J57" s="189">
        <f t="shared" si="55"/>
        <v>14.976024192054551</v>
      </c>
      <c r="K57" s="189">
        <f t="shared" si="55"/>
        <v>12.905149968073884</v>
      </c>
      <c r="L57" s="189">
        <f t="shared" si="55"/>
        <v>11.781306690276619</v>
      </c>
      <c r="M57" s="188"/>
      <c r="N57" s="189">
        <f t="shared" si="56"/>
        <v>52.490784426725781</v>
      </c>
      <c r="O57" s="189">
        <f t="shared" si="56"/>
        <v>55.568408217203867</v>
      </c>
      <c r="P57" s="189">
        <f t="shared" si="56"/>
        <v>45.851463593458497</v>
      </c>
      <c r="Q57" s="189">
        <f t="shared" si="56"/>
        <v>39.430875780648435</v>
      </c>
      <c r="R57" s="189">
        <f t="shared" si="56"/>
        <v>36.057001640208199</v>
      </c>
      <c r="S57" s="188"/>
      <c r="T57" s="189">
        <f t="shared" si="57"/>
        <v>0</v>
      </c>
      <c r="U57" s="189">
        <f t="shared" si="57"/>
        <v>0</v>
      </c>
      <c r="V57" s="189">
        <f t="shared" si="57"/>
        <v>0</v>
      </c>
      <c r="W57" s="189">
        <f t="shared" si="57"/>
        <v>0</v>
      </c>
      <c r="X57" s="189">
        <f t="shared" si="57"/>
        <v>0</v>
      </c>
      <c r="Y57" s="91" t="str">
        <f t="shared" si="58"/>
        <v>20-24</v>
      </c>
      <c r="Z57" s="189">
        <f t="shared" si="59"/>
        <v>200.63056393547677</v>
      </c>
      <c r="AA57" s="189">
        <f t="shared" si="59"/>
        <v>200.10878986052779</v>
      </c>
      <c r="AB57" s="189">
        <f t="shared" si="59"/>
        <v>192.82988811096317</v>
      </c>
      <c r="AC57" s="189">
        <f t="shared" si="59"/>
        <v>182.24243827723632</v>
      </c>
      <c r="AD57" s="189">
        <f t="shared" si="59"/>
        <v>183.10832552939812</v>
      </c>
      <c r="AE57" s="188"/>
      <c r="AF57" s="189">
        <f t="shared" si="60"/>
        <v>184.4013377657671</v>
      </c>
      <c r="AG57" s="189">
        <f t="shared" si="60"/>
        <v>183.88709709012173</v>
      </c>
      <c r="AH57" s="189">
        <f t="shared" si="60"/>
        <v>177.34938200988924</v>
      </c>
      <c r="AI57" s="189">
        <f t="shared" si="60"/>
        <v>167.58221623961009</v>
      </c>
      <c r="AJ57" s="189">
        <f t="shared" si="60"/>
        <v>168.42784713146324</v>
      </c>
      <c r="AK57" s="188"/>
      <c r="AL57" s="189">
        <f t="shared" si="61"/>
        <v>16.229226169709651</v>
      </c>
      <c r="AM57" s="189">
        <f t="shared" si="61"/>
        <v>16.221692770406051</v>
      </c>
      <c r="AN57" s="189">
        <f t="shared" si="61"/>
        <v>15.480506101073939</v>
      </c>
      <c r="AO57" s="189">
        <f t="shared" si="61"/>
        <v>14.660222037626259</v>
      </c>
      <c r="AP57" s="189">
        <f t="shared" si="61"/>
        <v>14.680478397934866</v>
      </c>
      <c r="AQ57" s="91" t="str">
        <f t="shared" si="62"/>
        <v>20-24</v>
      </c>
      <c r="AR57" s="189">
        <f t="shared" si="63"/>
        <v>100.04998917907284</v>
      </c>
      <c r="AS57" s="189">
        <f t="shared" si="63"/>
        <v>94.987958354396682</v>
      </c>
      <c r="AT57" s="189">
        <f t="shared" si="63"/>
        <v>103.98462410352381</v>
      </c>
      <c r="AU57" s="189">
        <f t="shared" si="63"/>
        <v>110.10453597404138</v>
      </c>
      <c r="AV57" s="189">
        <f t="shared" si="63"/>
        <v>122.21236614011708</v>
      </c>
      <c r="AW57" s="188"/>
      <c r="AX57" s="189">
        <f t="shared" si="64"/>
        <v>99.830703255982527</v>
      </c>
      <c r="AY57" s="189">
        <f t="shared" si="64"/>
        <v>94.78083623451991</v>
      </c>
      <c r="AZ57" s="189">
        <f t="shared" si="64"/>
        <v>103.75807484517797</v>
      </c>
      <c r="BA57" s="189">
        <f t="shared" si="64"/>
        <v>109.86373714713562</v>
      </c>
      <c r="BB57" s="189">
        <f t="shared" si="64"/>
        <v>121.94555113721529</v>
      </c>
      <c r="BC57" s="188"/>
      <c r="BD57" s="189">
        <f t="shared" si="65"/>
        <v>0.21928592309030701</v>
      </c>
      <c r="BE57" s="189">
        <f t="shared" si="65"/>
        <v>0.20712211987677406</v>
      </c>
      <c r="BF57" s="189">
        <f t="shared" si="65"/>
        <v>0.2265492583458453</v>
      </c>
      <c r="BG57" s="189">
        <f t="shared" si="65"/>
        <v>0.24079882690576235</v>
      </c>
      <c r="BH57" s="189">
        <f t="shared" si="65"/>
        <v>0.26681500290179178</v>
      </c>
    </row>
    <row r="58" spans="1:60" x14ac:dyDescent="0.2">
      <c r="A58" s="91" t="str">
        <f t="shared" si="53"/>
        <v>25-29</v>
      </c>
      <c r="B58" s="189">
        <f t="shared" si="54"/>
        <v>83.10566032859262</v>
      </c>
      <c r="C58" s="189">
        <f t="shared" si="54"/>
        <v>92.922114197332945</v>
      </c>
      <c r="D58" s="189">
        <f t="shared" si="54"/>
        <v>81.756122550300972</v>
      </c>
      <c r="E58" s="189">
        <f t="shared" si="54"/>
        <v>81.088950586198422</v>
      </c>
      <c r="F58" s="189">
        <f t="shared" si="54"/>
        <v>71.085865926883031</v>
      </c>
      <c r="G58" s="188"/>
      <c r="H58" s="189">
        <f t="shared" si="55"/>
        <v>23.608107087454297</v>
      </c>
      <c r="I58" s="189">
        <f t="shared" si="55"/>
        <v>26.378552793035944</v>
      </c>
      <c r="J58" s="189">
        <f t="shared" si="55"/>
        <v>23.222779194804581</v>
      </c>
      <c r="K58" s="189">
        <f t="shared" si="55"/>
        <v>23.044303745971408</v>
      </c>
      <c r="L58" s="189">
        <f t="shared" si="55"/>
        <v>20.194793417876976</v>
      </c>
      <c r="M58" s="188"/>
      <c r="N58" s="189">
        <f t="shared" si="56"/>
        <v>59.49755324113832</v>
      </c>
      <c r="O58" s="189">
        <f t="shared" si="56"/>
        <v>66.543561404296995</v>
      </c>
      <c r="P58" s="189">
        <f t="shared" si="56"/>
        <v>58.533343355496399</v>
      </c>
      <c r="Q58" s="189">
        <f t="shared" si="56"/>
        <v>58.04464684022701</v>
      </c>
      <c r="R58" s="189">
        <f t="shared" si="56"/>
        <v>50.891072509006051</v>
      </c>
      <c r="S58" s="188"/>
      <c r="T58" s="189">
        <f t="shared" si="57"/>
        <v>0</v>
      </c>
      <c r="U58" s="189">
        <f t="shared" si="57"/>
        <v>0</v>
      </c>
      <c r="V58" s="189">
        <f t="shared" si="57"/>
        <v>0</v>
      </c>
      <c r="W58" s="189">
        <f t="shared" si="57"/>
        <v>0</v>
      </c>
      <c r="X58" s="189">
        <f t="shared" si="57"/>
        <v>0</v>
      </c>
      <c r="Y58" s="91" t="str">
        <f t="shared" si="58"/>
        <v>25-29</v>
      </c>
      <c r="Z58" s="189">
        <f t="shared" si="59"/>
        <v>253.52682972521137</v>
      </c>
      <c r="AA58" s="189">
        <f t="shared" si="59"/>
        <v>234.83645593614608</v>
      </c>
      <c r="AB58" s="189">
        <f t="shared" si="59"/>
        <v>239.38100582652388</v>
      </c>
      <c r="AC58" s="189">
        <f t="shared" si="59"/>
        <v>250.47379611646011</v>
      </c>
      <c r="AD58" s="189">
        <f t="shared" si="59"/>
        <v>242.75774055369266</v>
      </c>
      <c r="AE58" s="188"/>
      <c r="AF58" s="189">
        <f t="shared" si="60"/>
        <v>233.96361796129568</v>
      </c>
      <c r="AG58" s="189">
        <f t="shared" si="60"/>
        <v>216.69951214512702</v>
      </c>
      <c r="AH58" s="189">
        <f t="shared" si="60"/>
        <v>220.99938766367791</v>
      </c>
      <c r="AI58" s="189">
        <f t="shared" si="60"/>
        <v>231.32962388195671</v>
      </c>
      <c r="AJ58" s="189">
        <f t="shared" si="60"/>
        <v>224.27741219211396</v>
      </c>
      <c r="AK58" s="188"/>
      <c r="AL58" s="189">
        <f t="shared" si="61"/>
        <v>19.563211763915717</v>
      </c>
      <c r="AM58" s="189">
        <f t="shared" si="61"/>
        <v>18.13694379101905</v>
      </c>
      <c r="AN58" s="189">
        <f t="shared" si="61"/>
        <v>18.381618162845992</v>
      </c>
      <c r="AO58" s="189">
        <f t="shared" si="61"/>
        <v>19.144172234503415</v>
      </c>
      <c r="AP58" s="189">
        <f t="shared" si="61"/>
        <v>18.480328361578685</v>
      </c>
      <c r="AQ58" s="91" t="str">
        <f t="shared" si="62"/>
        <v>25-29</v>
      </c>
      <c r="AR58" s="189">
        <f t="shared" si="63"/>
        <v>268.657509946196</v>
      </c>
      <c r="AS58" s="189">
        <f t="shared" si="63"/>
        <v>278.23442986652105</v>
      </c>
      <c r="AT58" s="189">
        <f t="shared" si="63"/>
        <v>292.29787162317513</v>
      </c>
      <c r="AU58" s="189">
        <f t="shared" si="63"/>
        <v>322.87025329734149</v>
      </c>
      <c r="AV58" s="189">
        <f t="shared" si="63"/>
        <v>330.34739351942437</v>
      </c>
      <c r="AW58" s="188"/>
      <c r="AX58" s="189">
        <f t="shared" si="64"/>
        <v>266.3288913677211</v>
      </c>
      <c r="AY58" s="189">
        <f t="shared" si="64"/>
        <v>275.82018573820613</v>
      </c>
      <c r="AZ58" s="189">
        <f t="shared" si="64"/>
        <v>289.76922026464791</v>
      </c>
      <c r="BA58" s="189">
        <f t="shared" si="64"/>
        <v>320.08257546262871</v>
      </c>
      <c r="BB58" s="189">
        <f t="shared" si="64"/>
        <v>327.50130630655138</v>
      </c>
      <c r="BC58" s="188"/>
      <c r="BD58" s="189">
        <f t="shared" si="65"/>
        <v>2.3286185784749271</v>
      </c>
      <c r="BE58" s="189">
        <f t="shared" si="65"/>
        <v>2.414244128314877</v>
      </c>
      <c r="BF58" s="189">
        <f t="shared" si="65"/>
        <v>2.5286513585272092</v>
      </c>
      <c r="BG58" s="189">
        <f t="shared" si="65"/>
        <v>2.7876778347128019</v>
      </c>
      <c r="BH58" s="189">
        <f t="shared" si="65"/>
        <v>2.8460872128729875</v>
      </c>
    </row>
    <row r="59" spans="1:60" x14ac:dyDescent="0.2">
      <c r="A59" s="91" t="str">
        <f t="shared" si="53"/>
        <v>30-34</v>
      </c>
      <c r="B59" s="189">
        <f t="shared" si="54"/>
        <v>88.294623576316411</v>
      </c>
      <c r="C59" s="189">
        <f t="shared" si="54"/>
        <v>89.184182813705448</v>
      </c>
      <c r="D59" s="189">
        <f t="shared" si="54"/>
        <v>78.82086492460455</v>
      </c>
      <c r="E59" s="189">
        <f t="shared" si="54"/>
        <v>73.409248466261431</v>
      </c>
      <c r="F59" s="189">
        <f t="shared" si="54"/>
        <v>62.433211012240555</v>
      </c>
      <c r="G59" s="188"/>
      <c r="H59" s="189">
        <f t="shared" si="55"/>
        <v>28.30985950772898</v>
      </c>
      <c r="I59" s="189">
        <f t="shared" si="55"/>
        <v>28.523912034677551</v>
      </c>
      <c r="J59" s="189">
        <f t="shared" si="55"/>
        <v>25.261997348079788</v>
      </c>
      <c r="K59" s="189">
        <f t="shared" si="55"/>
        <v>23.527246978251746</v>
      </c>
      <c r="L59" s="189">
        <f t="shared" si="55"/>
        <v>20.017532858379102</v>
      </c>
      <c r="M59" s="188"/>
      <c r="N59" s="189">
        <f t="shared" si="56"/>
        <v>59.984764068587438</v>
      </c>
      <c r="O59" s="189">
        <f t="shared" si="56"/>
        <v>60.660270779027904</v>
      </c>
      <c r="P59" s="189">
        <f t="shared" si="56"/>
        <v>53.558867576524761</v>
      </c>
      <c r="Q59" s="189">
        <f t="shared" si="56"/>
        <v>49.882001488009664</v>
      </c>
      <c r="R59" s="189">
        <f t="shared" si="56"/>
        <v>42.41567815386145</v>
      </c>
      <c r="S59" s="188"/>
      <c r="T59" s="189">
        <f t="shared" si="57"/>
        <v>0</v>
      </c>
      <c r="U59" s="189">
        <f t="shared" si="57"/>
        <v>0</v>
      </c>
      <c r="V59" s="189">
        <f t="shared" si="57"/>
        <v>0</v>
      </c>
      <c r="W59" s="189">
        <f t="shared" si="57"/>
        <v>0</v>
      </c>
      <c r="X59" s="189">
        <f t="shared" si="57"/>
        <v>0</v>
      </c>
      <c r="Y59" s="91" t="str">
        <f t="shared" si="58"/>
        <v>30-34</v>
      </c>
      <c r="Z59" s="189">
        <f t="shared" si="59"/>
        <v>252.02853262692997</v>
      </c>
      <c r="AA59" s="189">
        <f t="shared" si="59"/>
        <v>241.95757229192009</v>
      </c>
      <c r="AB59" s="189">
        <f t="shared" si="59"/>
        <v>250.36416862690376</v>
      </c>
      <c r="AC59" s="189">
        <f t="shared" si="59"/>
        <v>260.01917178438288</v>
      </c>
      <c r="AD59" s="189">
        <f t="shared" si="59"/>
        <v>277.87154542964436</v>
      </c>
      <c r="AE59" s="188"/>
      <c r="AF59" s="189">
        <f t="shared" si="60"/>
        <v>233.37617479742303</v>
      </c>
      <c r="AG59" s="189">
        <f t="shared" si="60"/>
        <v>224.1436906659363</v>
      </c>
      <c r="AH59" s="189">
        <f t="shared" si="60"/>
        <v>231.98013090632361</v>
      </c>
      <c r="AI59" s="189">
        <f t="shared" si="60"/>
        <v>240.99879756210669</v>
      </c>
      <c r="AJ59" s="189">
        <f t="shared" si="60"/>
        <v>257.66322853004982</v>
      </c>
      <c r="AK59" s="188"/>
      <c r="AL59" s="189">
        <f t="shared" si="61"/>
        <v>18.65235782950694</v>
      </c>
      <c r="AM59" s="189">
        <f t="shared" si="61"/>
        <v>17.813881625983782</v>
      </c>
      <c r="AN59" s="189">
        <f t="shared" si="61"/>
        <v>18.384037720580174</v>
      </c>
      <c r="AO59" s="189">
        <f t="shared" si="61"/>
        <v>19.02037422227616</v>
      </c>
      <c r="AP59" s="189">
        <f t="shared" si="61"/>
        <v>20.208316899594564</v>
      </c>
      <c r="AQ59" s="91" t="str">
        <f t="shared" si="62"/>
        <v>30-34</v>
      </c>
      <c r="AR59" s="189">
        <f t="shared" si="63"/>
        <v>280.69384379675364</v>
      </c>
      <c r="AS59" s="189">
        <f t="shared" si="63"/>
        <v>298.74624489437451</v>
      </c>
      <c r="AT59" s="189">
        <f t="shared" si="63"/>
        <v>315.83096644849167</v>
      </c>
      <c r="AU59" s="189">
        <f t="shared" si="63"/>
        <v>342.31857974935576</v>
      </c>
      <c r="AV59" s="189">
        <f t="shared" si="63"/>
        <v>384.08524355811511</v>
      </c>
      <c r="AW59" s="188"/>
      <c r="AX59" s="189">
        <f t="shared" si="64"/>
        <v>275.62991148902091</v>
      </c>
      <c r="AY59" s="189">
        <f t="shared" si="64"/>
        <v>293.35345054546065</v>
      </c>
      <c r="AZ59" s="189">
        <f t="shared" si="64"/>
        <v>310.17909296528001</v>
      </c>
      <c r="BA59" s="189">
        <f t="shared" si="64"/>
        <v>336.2348278556392</v>
      </c>
      <c r="BB59" s="189">
        <f t="shared" si="64"/>
        <v>377.23616137901718</v>
      </c>
      <c r="BC59" s="188"/>
      <c r="BD59" s="189">
        <f t="shared" si="65"/>
        <v>5.063932307732685</v>
      </c>
      <c r="BE59" s="189">
        <f t="shared" si="65"/>
        <v>5.3927943489138421</v>
      </c>
      <c r="BF59" s="189">
        <f t="shared" si="65"/>
        <v>5.6518734832116824</v>
      </c>
      <c r="BG59" s="189">
        <f t="shared" si="65"/>
        <v>6.0837518937165616</v>
      </c>
      <c r="BH59" s="189">
        <f t="shared" si="65"/>
        <v>6.8490821790979144</v>
      </c>
    </row>
    <row r="60" spans="1:60" x14ac:dyDescent="0.2">
      <c r="A60" s="91" t="str">
        <f t="shared" si="53"/>
        <v>35-39</v>
      </c>
      <c r="B60" s="189">
        <f t="shared" si="54"/>
        <v>116.40573165092457</v>
      </c>
      <c r="C60" s="189">
        <f t="shared" si="54"/>
        <v>111.62087650319086</v>
      </c>
      <c r="D60" s="189">
        <f t="shared" si="54"/>
        <v>87.010674497835979</v>
      </c>
      <c r="E60" s="189">
        <f t="shared" si="54"/>
        <v>72.169455639072808</v>
      </c>
      <c r="F60" s="189">
        <f t="shared" si="54"/>
        <v>56.078787071994824</v>
      </c>
      <c r="G60" s="188"/>
      <c r="H60" s="189">
        <f t="shared" si="55"/>
        <v>35.263117567908004</v>
      </c>
      <c r="I60" s="189">
        <f t="shared" si="55"/>
        <v>33.826936328651151</v>
      </c>
      <c r="J60" s="189">
        <f t="shared" si="55"/>
        <v>26.372888660399127</v>
      </c>
      <c r="K60" s="189">
        <f t="shared" si="55"/>
        <v>21.873558995262968</v>
      </c>
      <c r="L60" s="189">
        <f t="shared" si="55"/>
        <v>16.999346797068803</v>
      </c>
      <c r="M60" s="188"/>
      <c r="N60" s="189">
        <f t="shared" si="56"/>
        <v>81.142614083016582</v>
      </c>
      <c r="O60" s="189">
        <f t="shared" si="56"/>
        <v>77.793940174539699</v>
      </c>
      <c r="P60" s="189">
        <f t="shared" si="56"/>
        <v>60.637785837436844</v>
      </c>
      <c r="Q60" s="189">
        <f t="shared" si="56"/>
        <v>50.29589664380984</v>
      </c>
      <c r="R60" s="189">
        <f t="shared" si="56"/>
        <v>39.079440274926021</v>
      </c>
      <c r="S60" s="188"/>
      <c r="T60" s="189">
        <f t="shared" si="57"/>
        <v>0</v>
      </c>
      <c r="U60" s="189">
        <f t="shared" si="57"/>
        <v>0</v>
      </c>
      <c r="V60" s="189">
        <f t="shared" si="57"/>
        <v>0</v>
      </c>
      <c r="W60" s="189">
        <f t="shared" si="57"/>
        <v>0</v>
      </c>
      <c r="X60" s="189">
        <f t="shared" si="57"/>
        <v>0</v>
      </c>
      <c r="Y60" s="91" t="str">
        <f t="shared" si="58"/>
        <v>35-39</v>
      </c>
      <c r="Z60" s="189">
        <f t="shared" si="59"/>
        <v>292.69516984616689</v>
      </c>
      <c r="AA60" s="189">
        <f t="shared" si="59"/>
        <v>264.43124011815416</v>
      </c>
      <c r="AB60" s="189">
        <f t="shared" si="59"/>
        <v>249.36383456629306</v>
      </c>
      <c r="AC60" s="189">
        <f t="shared" si="59"/>
        <v>265.62693121403328</v>
      </c>
      <c r="AD60" s="189">
        <f t="shared" si="59"/>
        <v>281.01300955525153</v>
      </c>
      <c r="AE60" s="188"/>
      <c r="AF60" s="189">
        <f t="shared" si="60"/>
        <v>274.90708265744615</v>
      </c>
      <c r="AG60" s="189">
        <f t="shared" si="60"/>
        <v>248.33674178769135</v>
      </c>
      <c r="AH60" s="189">
        <f t="shared" si="60"/>
        <v>234.22524163699583</v>
      </c>
      <c r="AI60" s="189">
        <f t="shared" si="60"/>
        <v>249.52613818829445</v>
      </c>
      <c r="AJ60" s="189">
        <f t="shared" si="60"/>
        <v>264.00561865600736</v>
      </c>
      <c r="AK60" s="188"/>
      <c r="AL60" s="189">
        <f t="shared" si="61"/>
        <v>17.788087188720716</v>
      </c>
      <c r="AM60" s="189">
        <f t="shared" si="61"/>
        <v>16.094498330462777</v>
      </c>
      <c r="AN60" s="189">
        <f t="shared" si="61"/>
        <v>15.138592929297266</v>
      </c>
      <c r="AO60" s="189">
        <f t="shared" si="61"/>
        <v>16.100793025738767</v>
      </c>
      <c r="AP60" s="189">
        <f t="shared" si="61"/>
        <v>17.007390899244211</v>
      </c>
      <c r="AQ60" s="91" t="str">
        <f t="shared" si="62"/>
        <v>35-39</v>
      </c>
      <c r="AR60" s="189">
        <f t="shared" si="63"/>
        <v>271.17009850290862</v>
      </c>
      <c r="AS60" s="189">
        <f t="shared" si="63"/>
        <v>299.350883378655</v>
      </c>
      <c r="AT60" s="189">
        <f t="shared" si="63"/>
        <v>309.54249093587089</v>
      </c>
      <c r="AU60" s="189">
        <f t="shared" si="63"/>
        <v>347.30661314689394</v>
      </c>
      <c r="AV60" s="189">
        <f t="shared" si="63"/>
        <v>383.85620337275361</v>
      </c>
      <c r="AW60" s="188"/>
      <c r="AX60" s="189">
        <f t="shared" si="64"/>
        <v>266.39031937491359</v>
      </c>
      <c r="AY60" s="189">
        <f t="shared" si="64"/>
        <v>294.09970734798696</v>
      </c>
      <c r="AZ60" s="189">
        <f t="shared" si="64"/>
        <v>304.18685308252333</v>
      </c>
      <c r="BA60" s="189">
        <f t="shared" si="64"/>
        <v>341.32613291295013</v>
      </c>
      <c r="BB60" s="189">
        <f t="shared" si="64"/>
        <v>377.26357305597628</v>
      </c>
      <c r="BC60" s="188"/>
      <c r="BD60" s="189">
        <f t="shared" si="65"/>
        <v>4.7797791279950284</v>
      </c>
      <c r="BE60" s="189">
        <f t="shared" si="65"/>
        <v>5.2511760306679776</v>
      </c>
      <c r="BF60" s="189">
        <f t="shared" si="65"/>
        <v>5.3556378533475719</v>
      </c>
      <c r="BG60" s="189">
        <f t="shared" si="65"/>
        <v>5.9804802339438368</v>
      </c>
      <c r="BH60" s="189">
        <f t="shared" si="65"/>
        <v>6.5926303167773872</v>
      </c>
    </row>
    <row r="61" spans="1:60" x14ac:dyDescent="0.2">
      <c r="A61" s="91" t="str">
        <f t="shared" si="53"/>
        <v>40-44</v>
      </c>
      <c r="B61" s="189">
        <f t="shared" si="54"/>
        <v>156.26741886428681</v>
      </c>
      <c r="C61" s="189">
        <f t="shared" si="54"/>
        <v>138.06633532257501</v>
      </c>
      <c r="D61" s="189">
        <f t="shared" si="54"/>
        <v>102.04230405027101</v>
      </c>
      <c r="E61" s="189">
        <f t="shared" si="54"/>
        <v>72.607670352464169</v>
      </c>
      <c r="F61" s="189">
        <f t="shared" si="54"/>
        <v>53.870397558877769</v>
      </c>
      <c r="G61" s="188"/>
      <c r="H61" s="189">
        <f t="shared" si="55"/>
        <v>49.7957894254127</v>
      </c>
      <c r="I61" s="189">
        <f t="shared" si="55"/>
        <v>43.898270250594351</v>
      </c>
      <c r="J61" s="189">
        <f t="shared" si="55"/>
        <v>32.409044993954737</v>
      </c>
      <c r="K61" s="189">
        <f t="shared" si="55"/>
        <v>23.036152368803652</v>
      </c>
      <c r="L61" s="189">
        <f t="shared" si="55"/>
        <v>17.053911147098564</v>
      </c>
      <c r="M61" s="188"/>
      <c r="N61" s="189">
        <f t="shared" si="56"/>
        <v>106.47162943887409</v>
      </c>
      <c r="O61" s="189">
        <f t="shared" si="56"/>
        <v>94.168065071980649</v>
      </c>
      <c r="P61" s="189">
        <f t="shared" si="56"/>
        <v>69.633259056316291</v>
      </c>
      <c r="Q61" s="189">
        <f t="shared" si="56"/>
        <v>49.571517983660513</v>
      </c>
      <c r="R61" s="189">
        <f t="shared" si="56"/>
        <v>36.816486411779202</v>
      </c>
      <c r="S61" s="188"/>
      <c r="T61" s="189">
        <f t="shared" si="57"/>
        <v>0</v>
      </c>
      <c r="U61" s="189">
        <f t="shared" si="57"/>
        <v>0</v>
      </c>
      <c r="V61" s="189">
        <f t="shared" si="57"/>
        <v>0</v>
      </c>
      <c r="W61" s="189">
        <f t="shared" si="57"/>
        <v>0</v>
      </c>
      <c r="X61" s="189">
        <f t="shared" si="57"/>
        <v>0</v>
      </c>
      <c r="Y61" s="91" t="str">
        <f t="shared" si="58"/>
        <v>40-44</v>
      </c>
      <c r="Z61" s="189">
        <f t="shared" si="59"/>
        <v>297.53049844792429</v>
      </c>
      <c r="AA61" s="189">
        <f t="shared" si="59"/>
        <v>279.21152782576593</v>
      </c>
      <c r="AB61" s="189">
        <f t="shared" si="59"/>
        <v>264.15997152705989</v>
      </c>
      <c r="AC61" s="189">
        <f t="shared" si="59"/>
        <v>265.769688987834</v>
      </c>
      <c r="AD61" s="189">
        <f t="shared" si="59"/>
        <v>285.38300501207038</v>
      </c>
      <c r="AE61" s="188"/>
      <c r="AF61" s="189">
        <f t="shared" si="60"/>
        <v>281.6051488677208</v>
      </c>
      <c r="AG61" s="189">
        <f t="shared" si="60"/>
        <v>264.27565335337636</v>
      </c>
      <c r="AH61" s="189">
        <f t="shared" si="60"/>
        <v>250.06064702096575</v>
      </c>
      <c r="AI61" s="189">
        <f t="shared" si="60"/>
        <v>251.59948400746447</v>
      </c>
      <c r="AJ61" s="189">
        <f t="shared" si="60"/>
        <v>270.1868670204085</v>
      </c>
      <c r="AK61" s="188"/>
      <c r="AL61" s="189">
        <f t="shared" si="61"/>
        <v>15.925349580203488</v>
      </c>
      <c r="AM61" s="189">
        <f t="shared" si="61"/>
        <v>14.935874472389486</v>
      </c>
      <c r="AN61" s="189">
        <f t="shared" si="61"/>
        <v>14.099324506094138</v>
      </c>
      <c r="AO61" s="189">
        <f t="shared" si="61"/>
        <v>14.170204980369528</v>
      </c>
      <c r="AP61" s="189">
        <f t="shared" si="61"/>
        <v>15.196137991661878</v>
      </c>
      <c r="AQ61" s="91" t="str">
        <f t="shared" si="62"/>
        <v>40-44</v>
      </c>
      <c r="AR61" s="189">
        <f t="shared" si="63"/>
        <v>254.53008268778893</v>
      </c>
      <c r="AS61" s="189">
        <f t="shared" si="63"/>
        <v>277.04113685165908</v>
      </c>
      <c r="AT61" s="189">
        <f t="shared" si="63"/>
        <v>302.03972442266905</v>
      </c>
      <c r="AU61" s="189">
        <f t="shared" si="63"/>
        <v>315.32964065970185</v>
      </c>
      <c r="AV61" s="189">
        <f t="shared" si="63"/>
        <v>349.0545974290518</v>
      </c>
      <c r="AW61" s="188"/>
      <c r="AX61" s="189">
        <f t="shared" si="64"/>
        <v>250.24828407721705</v>
      </c>
      <c r="AY61" s="189">
        <f t="shared" si="64"/>
        <v>272.4224484468516</v>
      </c>
      <c r="AZ61" s="189">
        <f t="shared" si="64"/>
        <v>297.01618494130969</v>
      </c>
      <c r="BA61" s="189">
        <f t="shared" si="64"/>
        <v>310.0976851562209</v>
      </c>
      <c r="BB61" s="189">
        <f t="shared" si="64"/>
        <v>343.26501484324086</v>
      </c>
      <c r="BC61" s="188"/>
      <c r="BD61" s="189">
        <f t="shared" si="65"/>
        <v>4.2817986105719035</v>
      </c>
      <c r="BE61" s="189">
        <f t="shared" si="65"/>
        <v>4.6186884048075676</v>
      </c>
      <c r="BF61" s="189">
        <f t="shared" si="65"/>
        <v>5.0235394813593235</v>
      </c>
      <c r="BG61" s="189">
        <f t="shared" si="65"/>
        <v>5.2319555034809255</v>
      </c>
      <c r="BH61" s="189">
        <f t="shared" si="65"/>
        <v>5.7895825858109662</v>
      </c>
    </row>
    <row r="62" spans="1:60" x14ac:dyDescent="0.2">
      <c r="A62" s="91" t="str">
        <f t="shared" si="53"/>
        <v>45-49</v>
      </c>
      <c r="B62" s="189">
        <f t="shared" si="54"/>
        <v>192.10532237663983</v>
      </c>
      <c r="C62" s="189">
        <f t="shared" si="54"/>
        <v>181.7014990686323</v>
      </c>
      <c r="D62" s="189">
        <f t="shared" si="54"/>
        <v>125.84366969436242</v>
      </c>
      <c r="E62" s="189">
        <f t="shared" si="54"/>
        <v>94.413771810554039</v>
      </c>
      <c r="F62" s="189">
        <f t="shared" si="54"/>
        <v>69.482068956144474</v>
      </c>
      <c r="G62" s="188"/>
      <c r="H62" s="189">
        <f t="shared" si="55"/>
        <v>63.114524104301118</v>
      </c>
      <c r="I62" s="189">
        <f t="shared" si="55"/>
        <v>59.680357878773279</v>
      </c>
      <c r="J62" s="189">
        <f t="shared" si="55"/>
        <v>41.135830568231285</v>
      </c>
      <c r="K62" s="189">
        <f t="shared" si="55"/>
        <v>30.734675124538327</v>
      </c>
      <c r="L62" s="189">
        <f t="shared" si="55"/>
        <v>22.525760365918362</v>
      </c>
      <c r="M62" s="188"/>
      <c r="N62" s="189">
        <f t="shared" si="56"/>
        <v>128.99079827233871</v>
      </c>
      <c r="O62" s="189">
        <f t="shared" si="56"/>
        <v>122.02114118985901</v>
      </c>
      <c r="P62" s="189">
        <f t="shared" si="56"/>
        <v>84.707839126131134</v>
      </c>
      <c r="Q62" s="189">
        <f t="shared" si="56"/>
        <v>63.679096686015725</v>
      </c>
      <c r="R62" s="189">
        <f t="shared" si="56"/>
        <v>46.956308590226101</v>
      </c>
      <c r="S62" s="188"/>
      <c r="T62" s="189">
        <f t="shared" si="57"/>
        <v>0</v>
      </c>
      <c r="U62" s="189">
        <f t="shared" si="57"/>
        <v>0</v>
      </c>
      <c r="V62" s="189">
        <f t="shared" si="57"/>
        <v>0</v>
      </c>
      <c r="W62" s="189">
        <f t="shared" si="57"/>
        <v>0</v>
      </c>
      <c r="X62" s="189">
        <f t="shared" si="57"/>
        <v>0</v>
      </c>
      <c r="Y62" s="91" t="str">
        <f t="shared" si="58"/>
        <v>45-49</v>
      </c>
      <c r="Z62" s="189">
        <f t="shared" si="59"/>
        <v>259.3931665564873</v>
      </c>
      <c r="AA62" s="189">
        <f t="shared" si="59"/>
        <v>259.85569110569543</v>
      </c>
      <c r="AB62" s="189">
        <f t="shared" si="59"/>
        <v>276.06033600610709</v>
      </c>
      <c r="AC62" s="189">
        <f t="shared" si="59"/>
        <v>283.54672387522641</v>
      </c>
      <c r="AD62" s="189">
        <f t="shared" si="59"/>
        <v>287.849736988811</v>
      </c>
      <c r="AE62" s="188"/>
      <c r="AF62" s="189">
        <f t="shared" si="60"/>
        <v>247.30603323034916</v>
      </c>
      <c r="AG62" s="189">
        <f t="shared" si="60"/>
        <v>247.7788871489098</v>
      </c>
      <c r="AH62" s="189">
        <f t="shared" si="60"/>
        <v>263.21646229283618</v>
      </c>
      <c r="AI62" s="189">
        <f t="shared" si="60"/>
        <v>270.34872282364341</v>
      </c>
      <c r="AJ62" s="189">
        <f t="shared" si="60"/>
        <v>274.44279780539426</v>
      </c>
      <c r="AK62" s="188"/>
      <c r="AL62" s="189">
        <f t="shared" si="61"/>
        <v>12.087133326138117</v>
      </c>
      <c r="AM62" s="189">
        <f t="shared" si="61"/>
        <v>12.076803956785602</v>
      </c>
      <c r="AN62" s="189">
        <f t="shared" si="61"/>
        <v>12.84387371327092</v>
      </c>
      <c r="AO62" s="189">
        <f t="shared" si="61"/>
        <v>13.198001051582985</v>
      </c>
      <c r="AP62" s="189">
        <f t="shared" si="61"/>
        <v>13.40693918341676</v>
      </c>
      <c r="AQ62" s="91" t="str">
        <f t="shared" si="62"/>
        <v>45-49</v>
      </c>
      <c r="AR62" s="189">
        <f t="shared" si="63"/>
        <v>233.19851106687287</v>
      </c>
      <c r="AS62" s="189">
        <f t="shared" si="63"/>
        <v>255.42780982567223</v>
      </c>
      <c r="AT62" s="189">
        <f t="shared" si="63"/>
        <v>278.84899429953055</v>
      </c>
      <c r="AU62" s="189">
        <f t="shared" si="63"/>
        <v>292.33350431421957</v>
      </c>
      <c r="AV62" s="189">
        <f t="shared" si="63"/>
        <v>302.44819405504461</v>
      </c>
      <c r="AW62" s="188"/>
      <c r="AX62" s="189">
        <f t="shared" si="64"/>
        <v>228.81453920689103</v>
      </c>
      <c r="AY62" s="189">
        <f t="shared" si="64"/>
        <v>250.65558136759938</v>
      </c>
      <c r="AZ62" s="189">
        <f t="shared" si="64"/>
        <v>273.711876568962</v>
      </c>
      <c r="BA62" s="189">
        <f t="shared" si="64"/>
        <v>286.97795838324782</v>
      </c>
      <c r="BB62" s="189">
        <f t="shared" si="64"/>
        <v>296.93591992657696</v>
      </c>
      <c r="BC62" s="188"/>
      <c r="BD62" s="189">
        <f t="shared" si="65"/>
        <v>4.3839718599818829</v>
      </c>
      <c r="BE62" s="189">
        <f t="shared" si="65"/>
        <v>4.7722284580728216</v>
      </c>
      <c r="BF62" s="189">
        <f t="shared" si="65"/>
        <v>5.1371177305685114</v>
      </c>
      <c r="BG62" s="189">
        <f t="shared" si="65"/>
        <v>5.3555459309717897</v>
      </c>
      <c r="BH62" s="189">
        <f t="shared" si="65"/>
        <v>5.5122741284676167</v>
      </c>
    </row>
    <row r="63" spans="1:60" x14ac:dyDescent="0.2">
      <c r="A63" s="91" t="str">
        <f t="shared" si="53"/>
        <v>50-54</v>
      </c>
      <c r="B63" s="189">
        <f t="shared" si="54"/>
        <v>185.40604857322711</v>
      </c>
      <c r="C63" s="189">
        <f t="shared" si="54"/>
        <v>192.72292557560411</v>
      </c>
      <c r="D63" s="189">
        <f t="shared" si="54"/>
        <v>162.16719193834749</v>
      </c>
      <c r="E63" s="189">
        <f t="shared" si="54"/>
        <v>133.41410305220273</v>
      </c>
      <c r="F63" s="189">
        <f t="shared" si="54"/>
        <v>106.3528116102037</v>
      </c>
      <c r="G63" s="188"/>
      <c r="H63" s="189">
        <f t="shared" si="55"/>
        <v>66.691082872087563</v>
      </c>
      <c r="I63" s="189">
        <f t="shared" si="55"/>
        <v>69.308339401755902</v>
      </c>
      <c r="J63" s="189">
        <f t="shared" si="55"/>
        <v>58.294203339386414</v>
      </c>
      <c r="K63" s="189">
        <f t="shared" si="55"/>
        <v>47.904759864066669</v>
      </c>
      <c r="L63" s="189">
        <f t="shared" si="55"/>
        <v>38.151642732729172</v>
      </c>
      <c r="M63" s="188"/>
      <c r="N63" s="189">
        <f t="shared" si="56"/>
        <v>118.71496570113956</v>
      </c>
      <c r="O63" s="189">
        <f t="shared" si="56"/>
        <v>123.41458617384822</v>
      </c>
      <c r="P63" s="189">
        <f t="shared" si="56"/>
        <v>103.87298859896106</v>
      </c>
      <c r="Q63" s="189">
        <f t="shared" si="56"/>
        <v>85.509343188136071</v>
      </c>
      <c r="R63" s="189">
        <f t="shared" si="56"/>
        <v>68.201168877474544</v>
      </c>
      <c r="S63" s="188"/>
      <c r="T63" s="189">
        <f t="shared" si="57"/>
        <v>0</v>
      </c>
      <c r="U63" s="189">
        <f t="shared" si="57"/>
        <v>0</v>
      </c>
      <c r="V63" s="189">
        <f t="shared" si="57"/>
        <v>0</v>
      </c>
      <c r="W63" s="189">
        <f t="shared" si="57"/>
        <v>0</v>
      </c>
      <c r="X63" s="189">
        <f t="shared" si="57"/>
        <v>0</v>
      </c>
      <c r="Y63" s="91" t="str">
        <f t="shared" si="58"/>
        <v>50-54</v>
      </c>
      <c r="Z63" s="189">
        <f t="shared" si="59"/>
        <v>200.15705088001573</v>
      </c>
      <c r="AA63" s="189">
        <f t="shared" si="59"/>
        <v>218.54573674510601</v>
      </c>
      <c r="AB63" s="189">
        <f t="shared" si="59"/>
        <v>239.21960647496348</v>
      </c>
      <c r="AC63" s="189">
        <f t="shared" si="59"/>
        <v>257.81605841504751</v>
      </c>
      <c r="AD63" s="189">
        <f t="shared" si="59"/>
        <v>271.65581059286012</v>
      </c>
      <c r="AE63" s="188"/>
      <c r="AF63" s="189">
        <f t="shared" si="60"/>
        <v>190.04078964826027</v>
      </c>
      <c r="AG63" s="189">
        <f t="shared" si="60"/>
        <v>207.46488432579588</v>
      </c>
      <c r="AH63" s="189">
        <f t="shared" si="60"/>
        <v>227.09664617165495</v>
      </c>
      <c r="AI63" s="189">
        <f t="shared" si="60"/>
        <v>244.71475666454</v>
      </c>
      <c r="AJ63" s="189">
        <f t="shared" si="60"/>
        <v>257.79476785525156</v>
      </c>
      <c r="AK63" s="188"/>
      <c r="AL63" s="189">
        <f t="shared" si="61"/>
        <v>10.116261231755457</v>
      </c>
      <c r="AM63" s="189">
        <f t="shared" si="61"/>
        <v>11.080852419310158</v>
      </c>
      <c r="AN63" s="189">
        <f t="shared" si="61"/>
        <v>12.122960303308531</v>
      </c>
      <c r="AO63" s="189">
        <f t="shared" si="61"/>
        <v>13.101301750507519</v>
      </c>
      <c r="AP63" s="189">
        <f t="shared" si="61"/>
        <v>13.861042737608585</v>
      </c>
      <c r="AQ63" s="91" t="str">
        <f t="shared" si="62"/>
        <v>50-54</v>
      </c>
      <c r="AR63" s="189">
        <f t="shared" si="63"/>
        <v>172.51190054675715</v>
      </c>
      <c r="AS63" s="189">
        <f t="shared" si="63"/>
        <v>201.44733767928977</v>
      </c>
      <c r="AT63" s="189">
        <f t="shared" si="63"/>
        <v>243.89220158668905</v>
      </c>
      <c r="AU63" s="189">
        <f t="shared" si="63"/>
        <v>263.09583853274978</v>
      </c>
      <c r="AV63" s="189">
        <f t="shared" si="63"/>
        <v>278.2843777969361</v>
      </c>
      <c r="AW63" s="188"/>
      <c r="AX63" s="189">
        <f t="shared" si="64"/>
        <v>168.88787751101148</v>
      </c>
      <c r="AY63" s="189">
        <f t="shared" si="64"/>
        <v>197.35794837642953</v>
      </c>
      <c r="AZ63" s="189">
        <f t="shared" si="64"/>
        <v>238.9340888070729</v>
      </c>
      <c r="BA63" s="189">
        <f t="shared" si="64"/>
        <v>257.81671276903228</v>
      </c>
      <c r="BB63" s="189">
        <f t="shared" si="64"/>
        <v>272.79729732120262</v>
      </c>
      <c r="BC63" s="188"/>
      <c r="BD63" s="189">
        <f t="shared" si="65"/>
        <v>3.6240230357456578</v>
      </c>
      <c r="BE63" s="189">
        <f t="shared" si="65"/>
        <v>4.0893893028602495</v>
      </c>
      <c r="BF63" s="189">
        <f t="shared" si="65"/>
        <v>4.958112779616183</v>
      </c>
      <c r="BG63" s="189">
        <f t="shared" si="65"/>
        <v>5.2791257637175608</v>
      </c>
      <c r="BH63" s="189">
        <f t="shared" si="65"/>
        <v>5.4870804757334763</v>
      </c>
    </row>
    <row r="64" spans="1:60" x14ac:dyDescent="0.2">
      <c r="A64" s="91" t="str">
        <f t="shared" si="53"/>
        <v>55-59</v>
      </c>
      <c r="B64" s="189">
        <f t="shared" si="54"/>
        <v>118.1352024705036</v>
      </c>
      <c r="C64" s="189">
        <f t="shared" si="54"/>
        <v>125.51688761373863</v>
      </c>
      <c r="D64" s="189">
        <f t="shared" si="54"/>
        <v>135.69347634171973</v>
      </c>
      <c r="E64" s="189">
        <f t="shared" si="54"/>
        <v>127.61999627132217</v>
      </c>
      <c r="F64" s="189">
        <f t="shared" si="54"/>
        <v>103.83680807778796</v>
      </c>
      <c r="G64" s="188"/>
      <c r="H64" s="189">
        <f t="shared" si="55"/>
        <v>47.020085047969616</v>
      </c>
      <c r="I64" s="189">
        <f t="shared" si="55"/>
        <v>49.942017947737568</v>
      </c>
      <c r="J64" s="189">
        <f t="shared" si="55"/>
        <v>53.996980542501134</v>
      </c>
      <c r="K64" s="189">
        <f t="shared" si="55"/>
        <v>50.765369807184982</v>
      </c>
      <c r="L64" s="189">
        <f t="shared" si="55"/>
        <v>41.29898124275995</v>
      </c>
      <c r="M64" s="188"/>
      <c r="N64" s="189">
        <f t="shared" si="56"/>
        <v>71.115117422534013</v>
      </c>
      <c r="O64" s="189">
        <f t="shared" si="56"/>
        <v>75.574869666001078</v>
      </c>
      <c r="P64" s="189">
        <f t="shared" si="56"/>
        <v>81.696495799218582</v>
      </c>
      <c r="Q64" s="189">
        <f t="shared" si="56"/>
        <v>76.854626464137169</v>
      </c>
      <c r="R64" s="189">
        <f t="shared" si="56"/>
        <v>62.537826835028014</v>
      </c>
      <c r="S64" s="188"/>
      <c r="T64" s="189">
        <f t="shared" si="57"/>
        <v>0</v>
      </c>
      <c r="U64" s="189">
        <f t="shared" si="57"/>
        <v>0</v>
      </c>
      <c r="V64" s="189">
        <f t="shared" si="57"/>
        <v>0</v>
      </c>
      <c r="W64" s="189">
        <f t="shared" si="57"/>
        <v>0</v>
      </c>
      <c r="X64" s="189">
        <f t="shared" si="57"/>
        <v>0</v>
      </c>
      <c r="Y64" s="91" t="str">
        <f t="shared" si="58"/>
        <v>55-59</v>
      </c>
      <c r="Z64" s="189">
        <f t="shared" si="59"/>
        <v>122.81319674265731</v>
      </c>
      <c r="AA64" s="189">
        <f t="shared" si="59"/>
        <v>127.76576484388534</v>
      </c>
      <c r="AB64" s="189">
        <f t="shared" si="59"/>
        <v>167.56934646025536</v>
      </c>
      <c r="AC64" s="189">
        <f t="shared" si="59"/>
        <v>201.55893986495374</v>
      </c>
      <c r="AD64" s="189">
        <f t="shared" si="59"/>
        <v>218.03560485524812</v>
      </c>
      <c r="AE64" s="188"/>
      <c r="AF64" s="189">
        <f t="shared" si="60"/>
        <v>115.33146461461402</v>
      </c>
      <c r="AG64" s="189">
        <f t="shared" si="60"/>
        <v>119.93869463814224</v>
      </c>
      <c r="AH64" s="189">
        <f t="shared" si="60"/>
        <v>157.20305952301629</v>
      </c>
      <c r="AI64" s="189">
        <f t="shared" si="60"/>
        <v>189.09467188304029</v>
      </c>
      <c r="AJ64" s="189">
        <f t="shared" si="60"/>
        <v>204.52603798057652</v>
      </c>
      <c r="AK64" s="188"/>
      <c r="AL64" s="189">
        <f t="shared" si="61"/>
        <v>7.4817321280432685</v>
      </c>
      <c r="AM64" s="189">
        <f t="shared" si="61"/>
        <v>7.8270702057431016</v>
      </c>
      <c r="AN64" s="189">
        <f t="shared" si="61"/>
        <v>10.366286937239055</v>
      </c>
      <c r="AO64" s="189">
        <f t="shared" si="61"/>
        <v>12.464267981913423</v>
      </c>
      <c r="AP64" s="189">
        <f t="shared" si="61"/>
        <v>13.509566874671609</v>
      </c>
      <c r="AQ64" s="91" t="str">
        <f t="shared" si="62"/>
        <v>55-59</v>
      </c>
      <c r="AR64" s="189">
        <f t="shared" si="63"/>
        <v>115.94160078683907</v>
      </c>
      <c r="AS64" s="189">
        <f t="shared" si="63"/>
        <v>135.51634754237602</v>
      </c>
      <c r="AT64" s="189">
        <f t="shared" si="63"/>
        <v>177.65217719802493</v>
      </c>
      <c r="AU64" s="189">
        <f t="shared" si="63"/>
        <v>208.31606386372408</v>
      </c>
      <c r="AV64" s="189">
        <f t="shared" si="63"/>
        <v>226.8625870669639</v>
      </c>
      <c r="AW64" s="188"/>
      <c r="AX64" s="189">
        <f t="shared" si="64"/>
        <v>112.73432150536409</v>
      </c>
      <c r="AY64" s="189">
        <f t="shared" si="64"/>
        <v>131.84828185573497</v>
      </c>
      <c r="AZ64" s="189">
        <f t="shared" si="64"/>
        <v>173.0031356627903</v>
      </c>
      <c r="BA64" s="189">
        <f t="shared" si="64"/>
        <v>202.93168009516813</v>
      </c>
      <c r="BB64" s="189">
        <f t="shared" si="64"/>
        <v>221.04132666504691</v>
      </c>
      <c r="BC64" s="188"/>
      <c r="BD64" s="189">
        <f t="shared" si="65"/>
        <v>3.2072792814749906</v>
      </c>
      <c r="BE64" s="189">
        <f t="shared" si="65"/>
        <v>3.6680656866410524</v>
      </c>
      <c r="BF64" s="189">
        <f t="shared" si="65"/>
        <v>4.6490415352346357</v>
      </c>
      <c r="BG64" s="189">
        <f t="shared" si="65"/>
        <v>5.3843837685559581</v>
      </c>
      <c r="BH64" s="189">
        <f t="shared" si="65"/>
        <v>5.8212604019169705</v>
      </c>
    </row>
    <row r="65" spans="1:60" x14ac:dyDescent="0.2">
      <c r="A65" s="91" t="str">
        <f t="shared" si="53"/>
        <v>60-64</v>
      </c>
      <c r="B65" s="189">
        <f t="shared" si="54"/>
        <v>35.823218463615042</v>
      </c>
      <c r="C65" s="189">
        <f t="shared" si="54"/>
        <v>44.494263253571226</v>
      </c>
      <c r="D65" s="189">
        <f t="shared" si="54"/>
        <v>41.613632960941956</v>
      </c>
      <c r="E65" s="189">
        <f t="shared" si="54"/>
        <v>40.934965671055551</v>
      </c>
      <c r="F65" s="189">
        <f t="shared" si="54"/>
        <v>35.667541570413341</v>
      </c>
      <c r="G65" s="188"/>
      <c r="H65" s="189">
        <f t="shared" si="55"/>
        <v>16.931856207862616</v>
      </c>
      <c r="I65" s="189">
        <f t="shared" si="55"/>
        <v>21.062717164219428</v>
      </c>
      <c r="J65" s="189">
        <f t="shared" si="55"/>
        <v>19.717624343517112</v>
      </c>
      <c r="K65" s="189">
        <f t="shared" si="55"/>
        <v>19.381394399502241</v>
      </c>
      <c r="L65" s="189">
        <f t="shared" si="55"/>
        <v>16.879614538550584</v>
      </c>
      <c r="M65" s="188"/>
      <c r="N65" s="189">
        <f t="shared" si="56"/>
        <v>18.891362255752426</v>
      </c>
      <c r="O65" s="189">
        <f t="shared" si="56"/>
        <v>23.431546089351805</v>
      </c>
      <c r="P65" s="189">
        <f t="shared" si="56"/>
        <v>21.89600861742484</v>
      </c>
      <c r="Q65" s="189">
        <f t="shared" si="56"/>
        <v>21.553571271553317</v>
      </c>
      <c r="R65" s="189">
        <f t="shared" si="56"/>
        <v>18.787927031862754</v>
      </c>
      <c r="S65" s="188"/>
      <c r="T65" s="189">
        <f t="shared" si="57"/>
        <v>0</v>
      </c>
      <c r="U65" s="189">
        <f t="shared" si="57"/>
        <v>0</v>
      </c>
      <c r="V65" s="189">
        <f t="shared" si="57"/>
        <v>0</v>
      </c>
      <c r="W65" s="189">
        <f t="shared" si="57"/>
        <v>0</v>
      </c>
      <c r="X65" s="189">
        <f t="shared" si="57"/>
        <v>0</v>
      </c>
      <c r="Y65" s="91" t="str">
        <f t="shared" si="58"/>
        <v>60-64</v>
      </c>
      <c r="Z65" s="189">
        <f t="shared" si="59"/>
        <v>31.343339667083313</v>
      </c>
      <c r="AA65" s="189">
        <f t="shared" si="59"/>
        <v>37.400907742954743</v>
      </c>
      <c r="AB65" s="189">
        <f t="shared" si="59"/>
        <v>50.777770478130293</v>
      </c>
      <c r="AC65" s="189">
        <f t="shared" si="59"/>
        <v>66.266094080470012</v>
      </c>
      <c r="AD65" s="189">
        <f t="shared" si="59"/>
        <v>80.260766484007178</v>
      </c>
      <c r="AE65" s="188"/>
      <c r="AF65" s="189">
        <f t="shared" si="60"/>
        <v>29.203027553951088</v>
      </c>
      <c r="AG65" s="189">
        <f t="shared" si="60"/>
        <v>34.871395449563813</v>
      </c>
      <c r="AH65" s="189">
        <f t="shared" si="60"/>
        <v>47.209555911882788</v>
      </c>
      <c r="AI65" s="189">
        <f t="shared" si="60"/>
        <v>61.600974211672487</v>
      </c>
      <c r="AJ65" s="189">
        <f t="shared" si="60"/>
        <v>74.607227360463867</v>
      </c>
      <c r="AK65" s="188"/>
      <c r="AL65" s="189">
        <f t="shared" si="61"/>
        <v>2.1403121131322234</v>
      </c>
      <c r="AM65" s="189">
        <f t="shared" si="61"/>
        <v>2.5295122933909324</v>
      </c>
      <c r="AN65" s="189">
        <f t="shared" si="61"/>
        <v>3.5682145662475118</v>
      </c>
      <c r="AO65" s="189">
        <f t="shared" si="61"/>
        <v>4.6651198687975111</v>
      </c>
      <c r="AP65" s="189">
        <f t="shared" si="61"/>
        <v>5.6535391235433075</v>
      </c>
      <c r="AQ65" s="91" t="str">
        <f t="shared" si="62"/>
        <v>60-64</v>
      </c>
      <c r="AR65" s="189">
        <f t="shared" si="63"/>
        <v>38.517441869301649</v>
      </c>
      <c r="AS65" s="189">
        <f t="shared" si="63"/>
        <v>53.191829003474027</v>
      </c>
      <c r="AT65" s="189">
        <f t="shared" si="63"/>
        <v>71.393596560927747</v>
      </c>
      <c r="AU65" s="189">
        <f t="shared" si="63"/>
        <v>92.303940248474447</v>
      </c>
      <c r="AV65" s="189">
        <f t="shared" si="63"/>
        <v>113.97169194557949</v>
      </c>
      <c r="AW65" s="188"/>
      <c r="AX65" s="189">
        <f t="shared" si="64"/>
        <v>35.940957081944205</v>
      </c>
      <c r="AY65" s="189">
        <f t="shared" si="64"/>
        <v>49.626732053099445</v>
      </c>
      <c r="AZ65" s="189">
        <f t="shared" si="64"/>
        <v>66.596362264723197</v>
      </c>
      <c r="BA65" s="189">
        <f t="shared" si="64"/>
        <v>86.098448390329622</v>
      </c>
      <c r="BB65" s="189">
        <f t="shared" si="64"/>
        <v>106.3052407990122</v>
      </c>
      <c r="BC65" s="188"/>
      <c r="BD65" s="189">
        <f t="shared" si="65"/>
        <v>2.5764847873574377</v>
      </c>
      <c r="BE65" s="189">
        <f t="shared" si="65"/>
        <v>3.5650969503745911</v>
      </c>
      <c r="BF65" s="189">
        <f t="shared" si="65"/>
        <v>4.7972342962045555</v>
      </c>
      <c r="BG65" s="189">
        <f t="shared" si="65"/>
        <v>6.2054918581448213</v>
      </c>
      <c r="BH65" s="189">
        <f t="shared" si="65"/>
        <v>7.6664511465673009</v>
      </c>
    </row>
    <row r="66" spans="1:60" x14ac:dyDescent="0.2">
      <c r="A66" s="91" t="str">
        <f t="shared" si="53"/>
        <v>65+</v>
      </c>
      <c r="B66" s="189">
        <f t="shared" si="54"/>
        <v>11.948741166199174</v>
      </c>
      <c r="C66" s="189">
        <f t="shared" si="54"/>
        <v>16.460486596644937</v>
      </c>
      <c r="D66" s="189">
        <f t="shared" si="54"/>
        <v>15.029015503825972</v>
      </c>
      <c r="E66" s="189">
        <f t="shared" si="54"/>
        <v>11.903183363129848</v>
      </c>
      <c r="F66" s="189">
        <f t="shared" si="54"/>
        <v>9.8474191476518342</v>
      </c>
      <c r="G66" s="188"/>
      <c r="H66" s="189">
        <f t="shared" si="55"/>
        <v>6.3754329809595625</v>
      </c>
      <c r="I66" s="189">
        <f t="shared" si="55"/>
        <v>8.5871560944185141</v>
      </c>
      <c r="J66" s="189">
        <f t="shared" si="55"/>
        <v>7.8803923797716067</v>
      </c>
      <c r="K66" s="189">
        <f t="shared" si="55"/>
        <v>6.2399183159193861</v>
      </c>
      <c r="L66" s="189">
        <f t="shared" si="55"/>
        <v>5.2069403181851044</v>
      </c>
      <c r="M66" s="188"/>
      <c r="N66" s="189">
        <f t="shared" si="56"/>
        <v>5.5733081852396102</v>
      </c>
      <c r="O66" s="189">
        <f t="shared" si="56"/>
        <v>7.8733305022264224</v>
      </c>
      <c r="P66" s="189">
        <f t="shared" si="56"/>
        <v>7.1486231240543656</v>
      </c>
      <c r="Q66" s="189">
        <f t="shared" si="56"/>
        <v>5.6632650472104613</v>
      </c>
      <c r="R66" s="189">
        <f t="shared" si="56"/>
        <v>4.6404788294667298</v>
      </c>
      <c r="S66" s="188"/>
      <c r="T66" s="189">
        <f t="shared" si="57"/>
        <v>0</v>
      </c>
      <c r="U66" s="189">
        <f t="shared" si="57"/>
        <v>0</v>
      </c>
      <c r="V66" s="189">
        <f t="shared" si="57"/>
        <v>0</v>
      </c>
      <c r="W66" s="189">
        <f t="shared" si="57"/>
        <v>0</v>
      </c>
      <c r="X66" s="189">
        <f t="shared" si="57"/>
        <v>0</v>
      </c>
      <c r="Y66" s="91" t="str">
        <f t="shared" si="58"/>
        <v>65+</v>
      </c>
      <c r="Z66" s="189">
        <f t="shared" si="59"/>
        <v>7.8240804156386137</v>
      </c>
      <c r="AA66" s="189">
        <f t="shared" si="59"/>
        <v>9.9119242988728669</v>
      </c>
      <c r="AB66" s="189">
        <f t="shared" si="59"/>
        <v>11.008756624618567</v>
      </c>
      <c r="AC66" s="189">
        <f t="shared" si="59"/>
        <v>12.01446121472337</v>
      </c>
      <c r="AD66" s="189">
        <f t="shared" si="59"/>
        <v>13.854293318978709</v>
      </c>
      <c r="AE66" s="188"/>
      <c r="AF66" s="189">
        <f t="shared" si="60"/>
        <v>6.9255035254653912</v>
      </c>
      <c r="AG66" s="189">
        <f t="shared" si="60"/>
        <v>8.7952137061175186</v>
      </c>
      <c r="AH66" s="189">
        <f t="shared" si="60"/>
        <v>9.7331452985061144</v>
      </c>
      <c r="AI66" s="189">
        <f t="shared" si="60"/>
        <v>10.624866696548906</v>
      </c>
      <c r="AJ66" s="189">
        <f t="shared" si="60"/>
        <v>12.275904221835862</v>
      </c>
      <c r="AK66" s="188"/>
      <c r="AL66" s="189">
        <f t="shared" si="61"/>
        <v>0.89857689017322329</v>
      </c>
      <c r="AM66" s="189">
        <f t="shared" si="61"/>
        <v>1.1167105927553487</v>
      </c>
      <c r="AN66" s="189">
        <f t="shared" si="61"/>
        <v>1.2756113261124509</v>
      </c>
      <c r="AO66" s="189">
        <f t="shared" si="61"/>
        <v>1.389594518174466</v>
      </c>
      <c r="AP66" s="189">
        <f t="shared" si="61"/>
        <v>1.5783890971428471</v>
      </c>
      <c r="AQ66" s="91" t="str">
        <f t="shared" si="62"/>
        <v>65+</v>
      </c>
      <c r="AR66" s="189">
        <f t="shared" si="63"/>
        <v>12.792178418162218</v>
      </c>
      <c r="AS66" s="189">
        <f t="shared" si="63"/>
        <v>12.19158910448219</v>
      </c>
      <c r="AT66" s="189">
        <f t="shared" si="63"/>
        <v>19.366227871555463</v>
      </c>
      <c r="AU66" s="189">
        <f t="shared" si="63"/>
        <v>23.78335542214678</v>
      </c>
      <c r="AV66" s="189">
        <f t="shared" si="63"/>
        <v>30.011287533369462</v>
      </c>
      <c r="AW66" s="188"/>
      <c r="AX66" s="189">
        <f t="shared" si="64"/>
        <v>12.010493229987055</v>
      </c>
      <c r="AY66" s="189">
        <f t="shared" si="64"/>
        <v>11.529560727743291</v>
      </c>
      <c r="AZ66" s="189">
        <f t="shared" si="64"/>
        <v>18.211272058470012</v>
      </c>
      <c r="BA66" s="189">
        <f t="shared" si="64"/>
        <v>22.381962071636803</v>
      </c>
      <c r="BB66" s="189">
        <f t="shared" si="64"/>
        <v>28.299382615392936</v>
      </c>
      <c r="BC66" s="188"/>
      <c r="BD66" s="189">
        <f t="shared" si="65"/>
        <v>0.78168518817516097</v>
      </c>
      <c r="BE66" s="189">
        <f t="shared" si="65"/>
        <v>0.66202837673890058</v>
      </c>
      <c r="BF66" s="189">
        <f t="shared" si="65"/>
        <v>1.1549558130854503</v>
      </c>
      <c r="BG66" s="189">
        <f t="shared" si="65"/>
        <v>1.4013933505099772</v>
      </c>
      <c r="BH66" s="189">
        <f t="shared" si="65"/>
        <v>1.7119049179765302</v>
      </c>
    </row>
    <row r="67" spans="1:60" x14ac:dyDescent="0.2">
      <c r="B67" s="189"/>
      <c r="C67" s="189"/>
      <c r="D67" s="188"/>
      <c r="E67" s="188"/>
      <c r="F67" s="188"/>
      <c r="G67" s="188"/>
      <c r="H67" s="188"/>
      <c r="I67" s="188"/>
      <c r="J67" s="188"/>
      <c r="K67" s="188"/>
      <c r="L67" s="188"/>
      <c r="M67" s="188"/>
      <c r="N67" s="188"/>
      <c r="O67" s="188"/>
      <c r="P67" s="188"/>
      <c r="Q67" s="188"/>
      <c r="R67" s="188"/>
      <c r="S67" s="188"/>
      <c r="T67" s="94"/>
      <c r="U67" s="94"/>
      <c r="V67" s="94"/>
      <c r="W67" s="94"/>
      <c r="X67" s="94"/>
      <c r="Z67" s="189"/>
      <c r="AA67" s="189"/>
      <c r="AB67" s="188"/>
      <c r="AC67" s="188"/>
      <c r="AD67" s="188"/>
      <c r="AE67" s="188"/>
      <c r="AF67" s="188"/>
      <c r="AG67" s="188"/>
      <c r="AH67" s="188"/>
      <c r="AI67" s="188"/>
      <c r="AJ67" s="188"/>
      <c r="AK67" s="188"/>
      <c r="AL67" s="188"/>
      <c r="AM67" s="188"/>
      <c r="AN67" s="188"/>
      <c r="AO67" s="188"/>
      <c r="AP67" s="188"/>
      <c r="AR67" s="189"/>
      <c r="AS67" s="189"/>
      <c r="AT67" s="188"/>
      <c r="AU67" s="188"/>
      <c r="AV67" s="188"/>
      <c r="AW67" s="188"/>
      <c r="AX67" s="188"/>
      <c r="AY67" s="188"/>
      <c r="AZ67" s="188"/>
      <c r="BA67" s="188"/>
      <c r="BB67" s="188"/>
      <c r="BC67" s="188"/>
      <c r="BD67" s="188"/>
      <c r="BE67" s="188"/>
      <c r="BF67" s="188"/>
      <c r="BG67" s="188"/>
      <c r="BH67" s="188"/>
    </row>
    <row r="68" spans="1:60" x14ac:dyDescent="0.2">
      <c r="A68" s="114" t="str">
        <f>A20</f>
        <v>Males</v>
      </c>
      <c r="B68" s="94"/>
      <c r="C68" s="94"/>
      <c r="D68" s="94"/>
      <c r="E68" s="94"/>
      <c r="F68" s="189"/>
      <c r="G68" s="189"/>
      <c r="H68" s="189"/>
      <c r="I68" s="189"/>
      <c r="J68" s="189"/>
      <c r="K68" s="189"/>
      <c r="L68" s="189"/>
      <c r="M68" s="189"/>
      <c r="N68" s="189"/>
      <c r="O68" s="189"/>
      <c r="P68" s="189"/>
      <c r="Q68" s="189"/>
      <c r="R68" s="189"/>
      <c r="S68" s="189"/>
      <c r="T68" s="94"/>
      <c r="U68" s="94"/>
      <c r="V68" s="94"/>
      <c r="W68" s="94"/>
      <c r="X68" s="94"/>
      <c r="Y68" s="114" t="str">
        <f>Y20</f>
        <v>Males</v>
      </c>
      <c r="Z68" s="94"/>
      <c r="AA68" s="94"/>
      <c r="AB68" s="94"/>
      <c r="AC68" s="94"/>
      <c r="AD68" s="189"/>
      <c r="AE68" s="189"/>
      <c r="AF68" s="189"/>
      <c r="AG68" s="189"/>
      <c r="AH68" s="189"/>
      <c r="AI68" s="189"/>
      <c r="AJ68" s="189"/>
      <c r="AK68" s="189"/>
      <c r="AL68" s="189"/>
      <c r="AM68" s="189"/>
      <c r="AN68" s="189"/>
      <c r="AO68" s="189"/>
      <c r="AP68" s="189"/>
      <c r="AQ68" s="114" t="str">
        <f>AQ20</f>
        <v>Males</v>
      </c>
      <c r="AR68" s="94"/>
      <c r="AS68" s="94"/>
      <c r="AT68" s="94"/>
      <c r="AU68" s="94"/>
      <c r="AV68" s="189"/>
      <c r="AW68" s="189"/>
      <c r="AX68" s="189"/>
      <c r="AY68" s="189"/>
      <c r="AZ68" s="189"/>
      <c r="BA68" s="189"/>
      <c r="BB68" s="189"/>
      <c r="BC68" s="189"/>
      <c r="BD68" s="189"/>
      <c r="BE68" s="189"/>
      <c r="BF68" s="189"/>
      <c r="BG68" s="189"/>
      <c r="BH68" s="189"/>
    </row>
    <row r="69" spans="1:60" x14ac:dyDescent="0.2">
      <c r="A69" s="91" t="str">
        <f>A21</f>
        <v>15+</v>
      </c>
      <c r="B69" s="189">
        <f>SUM(B70:B80)</f>
        <v>668.34829787442732</v>
      </c>
      <c r="C69" s="189">
        <f t="shared" ref="C69:F69" si="66">SUM(C70:C80)</f>
        <v>679.97434318708918</v>
      </c>
      <c r="D69" s="189">
        <f t="shared" si="66"/>
        <v>576.0987188576471</v>
      </c>
      <c r="E69" s="189">
        <f t="shared" si="66"/>
        <v>506.60924483387572</v>
      </c>
      <c r="F69" s="189">
        <f t="shared" si="66"/>
        <v>424.17079532170612</v>
      </c>
      <c r="G69" s="189"/>
      <c r="H69" s="189">
        <f>SUM(H70:H80)</f>
        <v>216.57689663424574</v>
      </c>
      <c r="I69" s="189">
        <f t="shared" ref="I69:L69" si="67">SUM(I70:I80)</f>
        <v>222.01749682244036</v>
      </c>
      <c r="J69" s="189">
        <f t="shared" si="67"/>
        <v>189.97263257060061</v>
      </c>
      <c r="K69" s="189">
        <f t="shared" si="67"/>
        <v>168.03119397716577</v>
      </c>
      <c r="L69" s="189">
        <f t="shared" si="67"/>
        <v>140.23377379308036</v>
      </c>
      <c r="M69" s="189"/>
      <c r="N69" s="189">
        <f>SUM(N70:N80)</f>
        <v>451.77140124018155</v>
      </c>
      <c r="O69" s="189">
        <f t="shared" ref="O69:R69" si="68">SUM(O70:O80)</f>
        <v>457.95684636464887</v>
      </c>
      <c r="P69" s="189">
        <f t="shared" si="68"/>
        <v>386.12608628704652</v>
      </c>
      <c r="Q69" s="189">
        <f t="shared" si="68"/>
        <v>338.57805085670992</v>
      </c>
      <c r="R69" s="189">
        <f t="shared" si="68"/>
        <v>283.93702152862579</v>
      </c>
      <c r="S69" s="189"/>
      <c r="T69" s="189">
        <f>SUM(T70:T80)</f>
        <v>0</v>
      </c>
      <c r="U69" s="189">
        <f t="shared" ref="U69:X69" si="69">SUM(U70:U80)</f>
        <v>0</v>
      </c>
      <c r="V69" s="189">
        <f t="shared" si="69"/>
        <v>0</v>
      </c>
      <c r="W69" s="189">
        <f t="shared" si="69"/>
        <v>0</v>
      </c>
      <c r="X69" s="189">
        <f t="shared" si="69"/>
        <v>0</v>
      </c>
      <c r="Y69" s="91" t="str">
        <f>Y21</f>
        <v>15+</v>
      </c>
      <c r="Z69" s="189">
        <f>SUM(Z70:Z80)</f>
        <v>1110.8221091376672</v>
      </c>
      <c r="AA69" s="189">
        <f t="shared" ref="AA69:AD69" si="70">SUM(AA70:AA80)</f>
        <v>1081.2462760791657</v>
      </c>
      <c r="AB69" s="189">
        <f t="shared" si="70"/>
        <v>1129.3696341240161</v>
      </c>
      <c r="AC69" s="189">
        <f t="shared" si="70"/>
        <v>1196.947412591609</v>
      </c>
      <c r="AD69" s="189">
        <f t="shared" si="70"/>
        <v>1263.8735341848089</v>
      </c>
      <c r="AE69" s="189"/>
      <c r="AF69" s="189">
        <f>SUM(AF70:AF80)</f>
        <v>1048.6925402059803</v>
      </c>
      <c r="AG69" s="189">
        <f t="shared" ref="AG69:AJ69" si="71">SUM(AG70:AG80)</f>
        <v>1020.9879008290815</v>
      </c>
      <c r="AH69" s="189">
        <f t="shared" si="71"/>
        <v>1066.4680897558023</v>
      </c>
      <c r="AI69" s="189">
        <f t="shared" si="71"/>
        <v>1130.4132844970143</v>
      </c>
      <c r="AJ69" s="189">
        <f t="shared" si="71"/>
        <v>1193.6123831216405</v>
      </c>
      <c r="AK69" s="189"/>
      <c r="AL69" s="189">
        <f>SUM(AL70:AL80)</f>
        <v>62.12956893168694</v>
      </c>
      <c r="AM69" s="189">
        <f t="shared" ref="AM69:AP69" si="72">SUM(AM70:AM80)</f>
        <v>60.258375250084285</v>
      </c>
      <c r="AN69" s="189">
        <f t="shared" si="72"/>
        <v>62.90154436821414</v>
      </c>
      <c r="AO69" s="189">
        <f t="shared" si="72"/>
        <v>66.534128094594536</v>
      </c>
      <c r="AP69" s="189">
        <f t="shared" si="72"/>
        <v>70.261151063168086</v>
      </c>
      <c r="AQ69" s="91" t="str">
        <f>AQ21</f>
        <v>15+</v>
      </c>
      <c r="AR69" s="189">
        <f>SUM(AR70:AR80)</f>
        <v>858.87759298790547</v>
      </c>
      <c r="AS69" s="189">
        <f t="shared" ref="AS69:AV69" si="73">SUM(AS70:AS80)</f>
        <v>924.03238073374484</v>
      </c>
      <c r="AT69" s="189">
        <f t="shared" si="73"/>
        <v>1006.6636470183364</v>
      </c>
      <c r="AU69" s="189">
        <f t="shared" si="73"/>
        <v>1087.2593425745151</v>
      </c>
      <c r="AV69" s="189">
        <f t="shared" si="73"/>
        <v>1172.5296704934854</v>
      </c>
      <c r="AW69" s="189"/>
      <c r="AX69" s="189">
        <f>SUM(AX70:AX80)</f>
        <v>837.25747303433036</v>
      </c>
      <c r="AY69" s="189">
        <f t="shared" ref="AY69:BB69" si="74">SUM(AY70:AY80)</f>
        <v>900.46119959493876</v>
      </c>
      <c r="AZ69" s="189">
        <f t="shared" si="74"/>
        <v>980.19920817165428</v>
      </c>
      <c r="BA69" s="189">
        <f t="shared" si="74"/>
        <v>1058.1193206787443</v>
      </c>
      <c r="BB69" s="189">
        <f t="shared" si="74"/>
        <v>1140.618907885826</v>
      </c>
      <c r="BC69" s="189"/>
      <c r="BD69" s="189">
        <f>SUM(BD70:BD80)</f>
        <v>21.620119953575205</v>
      </c>
      <c r="BE69" s="189">
        <f t="shared" ref="BE69:BH69" si="75">SUM(BE70:BE80)</f>
        <v>23.571181138806118</v>
      </c>
      <c r="BF69" s="189">
        <f t="shared" si="75"/>
        <v>26.464438846682153</v>
      </c>
      <c r="BG69" s="189">
        <f t="shared" si="75"/>
        <v>29.140021895771127</v>
      </c>
      <c r="BH69" s="189">
        <f t="shared" si="75"/>
        <v>31.910762607659223</v>
      </c>
    </row>
    <row r="70" spans="1:60" x14ac:dyDescent="0.2">
      <c r="A70" s="91" t="str">
        <f t="shared" ref="A70:A80" si="76">A22</f>
        <v>15-19</v>
      </c>
      <c r="B70" s="189">
        <v>21.970306906103936</v>
      </c>
      <c r="C70" s="189">
        <v>20.026076119996116</v>
      </c>
      <c r="D70" s="189">
        <v>15.121179094017016</v>
      </c>
      <c r="E70" s="189">
        <v>17.089485140563891</v>
      </c>
      <c r="F70" s="188">
        <v>20.063648634933156</v>
      </c>
      <c r="G70" s="189"/>
      <c r="H70" s="189">
        <v>5.926181505924986</v>
      </c>
      <c r="I70" s="189">
        <v>5.4017609070647374</v>
      </c>
      <c r="J70" s="189">
        <v>4.0787280675207782</v>
      </c>
      <c r="K70" s="189">
        <v>4.6096697076419106</v>
      </c>
      <c r="L70" s="188">
        <v>5.4118921208641293</v>
      </c>
      <c r="M70" s="189"/>
      <c r="N70" s="189">
        <v>16.044125400178949</v>
      </c>
      <c r="O70" s="189">
        <v>14.624315212931378</v>
      </c>
      <c r="P70" s="189">
        <v>11.04245102649624</v>
      </c>
      <c r="Q70" s="189">
        <v>12.479815432921979</v>
      </c>
      <c r="R70" s="188">
        <v>14.651756514069028</v>
      </c>
      <c r="S70" s="189"/>
      <c r="T70" s="189">
        <v>0</v>
      </c>
      <c r="U70" s="189">
        <v>0</v>
      </c>
      <c r="V70" s="189">
        <v>0</v>
      </c>
      <c r="W70" s="189">
        <v>0</v>
      </c>
      <c r="X70" s="188">
        <v>0</v>
      </c>
      <c r="Y70" s="91" t="str">
        <f t="shared" ref="Y70:Y80" si="77">Y22</f>
        <v>15-19</v>
      </c>
      <c r="Z70" s="189">
        <v>17.840683082880268</v>
      </c>
      <c r="AA70" s="189">
        <v>14.680133047335039</v>
      </c>
      <c r="AB70" s="189">
        <v>13.72560965822832</v>
      </c>
      <c r="AC70" s="189">
        <v>15.436484788467865</v>
      </c>
      <c r="AD70" s="188">
        <v>18.541508530812692</v>
      </c>
      <c r="AE70" s="189"/>
      <c r="AF70" s="189">
        <v>16.8611671563519</v>
      </c>
      <c r="AG70" s="189">
        <v>13.874168165612016</v>
      </c>
      <c r="AH70" s="189">
        <v>12.972040867641711</v>
      </c>
      <c r="AI70" s="189">
        <v>14.588974970800006</v>
      </c>
      <c r="AJ70" s="188">
        <v>17.523528875034817</v>
      </c>
      <c r="AK70" s="189"/>
      <c r="AL70" s="189">
        <v>0.9795159265283645</v>
      </c>
      <c r="AM70" s="189">
        <v>0.80596488172302239</v>
      </c>
      <c r="AN70" s="189">
        <v>0.75356879058660964</v>
      </c>
      <c r="AO70" s="189">
        <v>0.84750981766786149</v>
      </c>
      <c r="AP70" s="188">
        <v>1.0179796557778724</v>
      </c>
      <c r="AQ70" s="91" t="str">
        <f t="shared" ref="AQ70:AQ80" si="78">AQ22</f>
        <v>15-19</v>
      </c>
      <c r="AR70" s="189">
        <v>0.10001001101580378</v>
      </c>
      <c r="AS70" s="189">
        <v>0.10679083266884004</v>
      </c>
      <c r="AT70" s="189">
        <v>1.2112477546660798E-3</v>
      </c>
      <c r="AU70" s="189">
        <v>6.0300709682370914E-3</v>
      </c>
      <c r="AV70" s="188">
        <v>1.0842834254153347E-2</v>
      </c>
      <c r="AW70" s="189"/>
      <c r="AX70" s="189">
        <v>6.6192985196819223E-2</v>
      </c>
      <c r="AY70" s="189">
        <v>7.0679138418197798E-2</v>
      </c>
      <c r="AZ70" s="189">
        <v>8.014133599071727E-4</v>
      </c>
      <c r="BA70" s="189">
        <v>3.9895924082780755E-3</v>
      </c>
      <c r="BB70" s="188">
        <v>7.1745268353603188E-3</v>
      </c>
      <c r="BC70" s="189"/>
      <c r="BD70" s="189">
        <v>3.3817025818984561E-2</v>
      </c>
      <c r="BE70" s="189">
        <v>3.6111694250642229E-2</v>
      </c>
      <c r="BF70" s="189">
        <v>4.0983439475890718E-4</v>
      </c>
      <c r="BG70" s="189">
        <v>2.0404785599590159E-3</v>
      </c>
      <c r="BH70" s="188">
        <v>3.6683074187930289E-3</v>
      </c>
    </row>
    <row r="71" spans="1:60" x14ac:dyDescent="0.2">
      <c r="A71" s="91" t="str">
        <f t="shared" si="76"/>
        <v>20-24</v>
      </c>
      <c r="B71" s="189">
        <v>42.835372944962316</v>
      </c>
      <c r="C71" s="189">
        <v>48.066292311616593</v>
      </c>
      <c r="D71" s="189">
        <v>41.397068793006476</v>
      </c>
      <c r="E71" s="189">
        <v>35.270255608267561</v>
      </c>
      <c r="F71" s="188">
        <v>32.498817128536295</v>
      </c>
      <c r="G71" s="189"/>
      <c r="H71" s="189">
        <v>9.7684866793085128</v>
      </c>
      <c r="I71" s="189">
        <v>10.961327650529908</v>
      </c>
      <c r="J71" s="189">
        <v>9.4404947503411645</v>
      </c>
      <c r="K71" s="189">
        <v>8.0432844087857056</v>
      </c>
      <c r="L71" s="188">
        <v>7.4112487352797149</v>
      </c>
      <c r="M71" s="189"/>
      <c r="N71" s="189">
        <v>33.0668862656538</v>
      </c>
      <c r="O71" s="189">
        <v>37.104964661086683</v>
      </c>
      <c r="P71" s="189">
        <v>31.956574042665309</v>
      </c>
      <c r="Q71" s="189">
        <v>27.226971199481849</v>
      </c>
      <c r="R71" s="188">
        <v>25.087568393256582</v>
      </c>
      <c r="S71" s="189"/>
      <c r="T71" s="189">
        <v>0</v>
      </c>
      <c r="U71" s="189">
        <v>0</v>
      </c>
      <c r="V71" s="189">
        <v>0</v>
      </c>
      <c r="W71" s="189">
        <v>0</v>
      </c>
      <c r="X71" s="188">
        <v>0</v>
      </c>
      <c r="Y71" s="91" t="str">
        <f t="shared" si="77"/>
        <v>20-24</v>
      </c>
      <c r="Z71" s="189">
        <v>117.60066097337621</v>
      </c>
      <c r="AA71" s="189">
        <v>116.00972577437592</v>
      </c>
      <c r="AB71" s="189">
        <v>117.37387172072432</v>
      </c>
      <c r="AC71" s="189">
        <v>109.8328571099937</v>
      </c>
      <c r="AD71" s="188">
        <v>112.18324785696579</v>
      </c>
      <c r="AE71" s="189"/>
      <c r="AF71" s="189">
        <v>109.40519835653062</v>
      </c>
      <c r="AG71" s="189">
        <v>107.92518380300695</v>
      </c>
      <c r="AH71" s="189">
        <v>109.19423291573709</v>
      </c>
      <c r="AI71" s="189">
        <v>102.17877037651678</v>
      </c>
      <c r="AJ71" s="188">
        <v>104.36530258032673</v>
      </c>
      <c r="AK71" s="189"/>
      <c r="AL71" s="189">
        <v>8.1954626168455889</v>
      </c>
      <c r="AM71" s="189">
        <v>8.0845419713689743</v>
      </c>
      <c r="AN71" s="189">
        <v>8.1796388049872402</v>
      </c>
      <c r="AO71" s="189">
        <v>7.6540867334769196</v>
      </c>
      <c r="AP71" s="188">
        <v>7.8179452766390698</v>
      </c>
      <c r="AQ71" s="91" t="str">
        <f t="shared" si="78"/>
        <v>20-24</v>
      </c>
      <c r="AR71" s="189">
        <v>35.953966081661484</v>
      </c>
      <c r="AS71" s="189">
        <v>35.412981914007489</v>
      </c>
      <c r="AT71" s="189">
        <v>39.05605948626922</v>
      </c>
      <c r="AU71" s="189">
        <v>40.227887281738759</v>
      </c>
      <c r="AV71" s="188">
        <v>45.244935014497926</v>
      </c>
      <c r="AW71" s="189"/>
      <c r="AX71" s="189">
        <v>35.894388197223741</v>
      </c>
      <c r="AY71" s="189">
        <v>35.354282498596831</v>
      </c>
      <c r="AZ71" s="189">
        <v>38.991316542918099</v>
      </c>
      <c r="BA71" s="189">
        <v>40.161217830179162</v>
      </c>
      <c r="BB71" s="188">
        <v>45.169897221289091</v>
      </c>
      <c r="BC71" s="189"/>
      <c r="BD71" s="189">
        <v>5.9577884437741695E-2</v>
      </c>
      <c r="BE71" s="189">
        <v>5.8699415410650713E-2</v>
      </c>
      <c r="BF71" s="189">
        <v>6.4742943351118576E-2</v>
      </c>
      <c r="BG71" s="189">
        <v>6.6669451559595388E-2</v>
      </c>
      <c r="BH71" s="188">
        <v>7.5037793208839618E-2</v>
      </c>
    </row>
    <row r="72" spans="1:60" x14ac:dyDescent="0.2">
      <c r="A72" s="91" t="str">
        <f t="shared" si="76"/>
        <v>25-29</v>
      </c>
      <c r="B72" s="189">
        <v>54.132987761997782</v>
      </c>
      <c r="C72" s="189">
        <v>59.30277365778997</v>
      </c>
      <c r="D72" s="189">
        <v>53.119400404129237</v>
      </c>
      <c r="E72" s="189">
        <v>53.434184420591016</v>
      </c>
      <c r="F72" s="188">
        <v>46.384829749714591</v>
      </c>
      <c r="G72" s="189"/>
      <c r="H72" s="189">
        <v>15.657402965414564</v>
      </c>
      <c r="I72" s="189">
        <v>17.15271266465906</v>
      </c>
      <c r="J72" s="189">
        <v>15.364227768456015</v>
      </c>
      <c r="K72" s="189">
        <v>15.455258797856304</v>
      </c>
      <c r="L72" s="188">
        <v>13.416311066916181</v>
      </c>
      <c r="M72" s="189"/>
      <c r="N72" s="189">
        <v>38.47558479658322</v>
      </c>
      <c r="O72" s="189">
        <v>42.150060993130907</v>
      </c>
      <c r="P72" s="189">
        <v>37.755172635673226</v>
      </c>
      <c r="Q72" s="189">
        <v>37.978925622734714</v>
      </c>
      <c r="R72" s="188">
        <v>32.968518682798404</v>
      </c>
      <c r="S72" s="189"/>
      <c r="T72" s="189">
        <v>0</v>
      </c>
      <c r="U72" s="189">
        <v>0</v>
      </c>
      <c r="V72" s="189">
        <v>0</v>
      </c>
      <c r="W72" s="189">
        <v>0</v>
      </c>
      <c r="X72" s="188">
        <v>0</v>
      </c>
      <c r="Y72" s="91" t="str">
        <f t="shared" si="77"/>
        <v>25-29</v>
      </c>
      <c r="Z72" s="189">
        <v>149.16941523155822</v>
      </c>
      <c r="AA72" s="189">
        <v>137.65111832560171</v>
      </c>
      <c r="AB72" s="189">
        <v>143.78119393240843</v>
      </c>
      <c r="AC72" s="189">
        <v>153.35525074005449</v>
      </c>
      <c r="AD72" s="188">
        <v>151.04532202229836</v>
      </c>
      <c r="AE72" s="189"/>
      <c r="AF72" s="189">
        <v>139.54207798178672</v>
      </c>
      <c r="AG72" s="189">
        <v>128.76718250907044</v>
      </c>
      <c r="AH72" s="189">
        <v>134.50166828917818</v>
      </c>
      <c r="AI72" s="189">
        <v>143.4577811169944</v>
      </c>
      <c r="AJ72" s="188">
        <v>141.29698663959073</v>
      </c>
      <c r="AK72" s="189"/>
      <c r="AL72" s="189">
        <v>9.6273372497715179</v>
      </c>
      <c r="AM72" s="189">
        <v>8.8839358165312774</v>
      </c>
      <c r="AN72" s="189">
        <v>9.2795256432302509</v>
      </c>
      <c r="AO72" s="189">
        <v>9.8974696230601076</v>
      </c>
      <c r="AP72" s="188">
        <v>9.7483353827076193</v>
      </c>
      <c r="AQ72" s="91" t="str">
        <f t="shared" si="78"/>
        <v>25-29</v>
      </c>
      <c r="AR72" s="189">
        <v>114.08059700644398</v>
      </c>
      <c r="AS72" s="189">
        <v>119.54710801660832</v>
      </c>
      <c r="AT72" s="189">
        <v>121.54440566346231</v>
      </c>
      <c r="AU72" s="189">
        <v>131.36556483935448</v>
      </c>
      <c r="AV72" s="188">
        <v>131.1628482279871</v>
      </c>
      <c r="AW72" s="189"/>
      <c r="AX72" s="189">
        <v>112.96810261144897</v>
      </c>
      <c r="AY72" s="189">
        <v>118.38128469844733</v>
      </c>
      <c r="AZ72" s="189">
        <v>120.35910614116368</v>
      </c>
      <c r="BA72" s="189">
        <v>130.08456385999412</v>
      </c>
      <c r="BB72" s="188">
        <v>129.88383705598</v>
      </c>
      <c r="BC72" s="189"/>
      <c r="BD72" s="189">
        <v>1.1124943949950061</v>
      </c>
      <c r="BE72" s="189">
        <v>1.1658233181609874</v>
      </c>
      <c r="BF72" s="189">
        <v>1.1852995222986344</v>
      </c>
      <c r="BG72" s="189">
        <v>1.2810009793603585</v>
      </c>
      <c r="BH72" s="188">
        <v>1.2790111720071109</v>
      </c>
    </row>
    <row r="73" spans="1:60" x14ac:dyDescent="0.2">
      <c r="A73" s="91" t="str">
        <f t="shared" si="76"/>
        <v>30-34</v>
      </c>
      <c r="B73" s="189">
        <v>59.746194470013975</v>
      </c>
      <c r="C73" s="189">
        <v>55.826048413105191</v>
      </c>
      <c r="D73" s="189">
        <v>52.687517039427384</v>
      </c>
      <c r="E73" s="189">
        <v>49.043992638223799</v>
      </c>
      <c r="F73" s="188">
        <v>42.215560181056873</v>
      </c>
      <c r="G73" s="189"/>
      <c r="H73" s="189">
        <v>19.460449413601172</v>
      </c>
      <c r="I73" s="189">
        <v>18.183578385321248</v>
      </c>
      <c r="J73" s="189">
        <v>17.161250414897957</v>
      </c>
      <c r="K73" s="189">
        <v>15.974514770585094</v>
      </c>
      <c r="L73" s="188">
        <v>13.750439228926275</v>
      </c>
      <c r="M73" s="189"/>
      <c r="N73" s="189">
        <v>40.285745056412807</v>
      </c>
      <c r="O73" s="189">
        <v>37.642470027783951</v>
      </c>
      <c r="P73" s="189">
        <v>35.526266624529427</v>
      </c>
      <c r="Q73" s="189">
        <v>33.069477867638696</v>
      </c>
      <c r="R73" s="188">
        <v>28.465120952130594</v>
      </c>
      <c r="S73" s="189"/>
      <c r="T73" s="189">
        <v>0</v>
      </c>
      <c r="U73" s="189">
        <v>0</v>
      </c>
      <c r="V73" s="189">
        <v>0</v>
      </c>
      <c r="W73" s="189">
        <v>0</v>
      </c>
      <c r="X73" s="188">
        <v>0</v>
      </c>
      <c r="Y73" s="91" t="str">
        <f t="shared" si="77"/>
        <v>30-34</v>
      </c>
      <c r="Z73" s="189">
        <v>143.97550755975615</v>
      </c>
      <c r="AA73" s="189">
        <v>143.04692062923695</v>
      </c>
      <c r="AB73" s="189">
        <v>150.54112992034914</v>
      </c>
      <c r="AC73" s="189">
        <v>160.10889854017847</v>
      </c>
      <c r="AD73" s="188">
        <v>177.21576862141688</v>
      </c>
      <c r="AE73" s="189"/>
      <c r="AF73" s="189">
        <v>134.51151244341474</v>
      </c>
      <c r="AG73" s="189">
        <v>133.6439199496856</v>
      </c>
      <c r="AH73" s="189">
        <v>140.64555798795368</v>
      </c>
      <c r="AI73" s="189">
        <v>149.58441151968711</v>
      </c>
      <c r="AJ73" s="188">
        <v>165.5667550636862</v>
      </c>
      <c r="AK73" s="189"/>
      <c r="AL73" s="189">
        <v>9.4639951163413958</v>
      </c>
      <c r="AM73" s="189">
        <v>9.4030006795513597</v>
      </c>
      <c r="AN73" s="189">
        <v>9.8955719323954607</v>
      </c>
      <c r="AO73" s="189">
        <v>10.524487020491364</v>
      </c>
      <c r="AP73" s="188">
        <v>11.649013557730687</v>
      </c>
      <c r="AQ73" s="91" t="str">
        <f t="shared" si="78"/>
        <v>30-34</v>
      </c>
      <c r="AR73" s="189">
        <v>126.29229797022987</v>
      </c>
      <c r="AS73" s="189">
        <v>134.62703095765789</v>
      </c>
      <c r="AT73" s="189">
        <v>139.10335304022348</v>
      </c>
      <c r="AU73" s="189">
        <v>148.01810882159774</v>
      </c>
      <c r="AV73" s="188">
        <v>167.58267119752625</v>
      </c>
      <c r="AW73" s="189"/>
      <c r="AX73" s="189">
        <v>122.95073277336256</v>
      </c>
      <c r="AY73" s="189">
        <v>131.06497700319039</v>
      </c>
      <c r="AZ73" s="189">
        <v>135.42281890028266</v>
      </c>
      <c r="BA73" s="189">
        <v>144.10171770063747</v>
      </c>
      <c r="BB73" s="188">
        <v>163.14861509949301</v>
      </c>
      <c r="BC73" s="189"/>
      <c r="BD73" s="189">
        <v>3.3415651968673079</v>
      </c>
      <c r="BE73" s="189">
        <v>3.5620539544675016</v>
      </c>
      <c r="BF73" s="189">
        <v>3.6805341399408</v>
      </c>
      <c r="BG73" s="189">
        <v>3.9163911209602649</v>
      </c>
      <c r="BH73" s="188">
        <v>4.434056098033226</v>
      </c>
    </row>
    <row r="74" spans="1:60" x14ac:dyDescent="0.2">
      <c r="A74" s="91" t="str">
        <f t="shared" si="76"/>
        <v>35-39</v>
      </c>
      <c r="B74" s="189">
        <v>72.389274390689224</v>
      </c>
      <c r="C74" s="189">
        <v>71.644104598988108</v>
      </c>
      <c r="D74" s="189">
        <v>56.546565915153813</v>
      </c>
      <c r="E74" s="189">
        <v>46.727112769454443</v>
      </c>
      <c r="F74" s="188">
        <v>36.765389039064232</v>
      </c>
      <c r="G74" s="189"/>
      <c r="H74" s="189">
        <v>22.092351099930109</v>
      </c>
      <c r="I74" s="189">
        <v>21.864916566985048</v>
      </c>
      <c r="J74" s="189">
        <v>17.257326348768249</v>
      </c>
      <c r="K74" s="189">
        <v>14.26057413503738</v>
      </c>
      <c r="L74" s="188">
        <v>11.220343143702051</v>
      </c>
      <c r="M74" s="189"/>
      <c r="N74" s="189">
        <v>50.296923290759125</v>
      </c>
      <c r="O74" s="189">
        <v>49.779188032003056</v>
      </c>
      <c r="P74" s="189">
        <v>39.289239566385561</v>
      </c>
      <c r="Q74" s="189">
        <v>32.466538634417063</v>
      </c>
      <c r="R74" s="188">
        <v>25.545045895362183</v>
      </c>
      <c r="S74" s="189"/>
      <c r="T74" s="189">
        <v>0</v>
      </c>
      <c r="U74" s="189">
        <v>0</v>
      </c>
      <c r="V74" s="189">
        <v>0</v>
      </c>
      <c r="W74" s="189">
        <v>0</v>
      </c>
      <c r="X74" s="188">
        <v>0</v>
      </c>
      <c r="Y74" s="91" t="str">
        <f t="shared" si="77"/>
        <v>35-39</v>
      </c>
      <c r="Z74" s="189">
        <v>168.36341500024318</v>
      </c>
      <c r="AA74" s="189">
        <v>149.22804572146893</v>
      </c>
      <c r="AB74" s="189">
        <v>145.3653492467291</v>
      </c>
      <c r="AC74" s="189">
        <v>157.84177384899948</v>
      </c>
      <c r="AD74" s="188">
        <v>170.08164787734725</v>
      </c>
      <c r="AE74" s="189"/>
      <c r="AF74" s="189">
        <v>158.73056855159768</v>
      </c>
      <c r="AG74" s="189">
        <v>140.68998106739087</v>
      </c>
      <c r="AH74" s="189">
        <v>137.0482794654304</v>
      </c>
      <c r="AI74" s="189">
        <v>148.81088905475639</v>
      </c>
      <c r="AJ74" s="188">
        <v>160.35047022072709</v>
      </c>
      <c r="AK74" s="189"/>
      <c r="AL74" s="189">
        <v>9.632846448645493</v>
      </c>
      <c r="AM74" s="189">
        <v>8.53806465407804</v>
      </c>
      <c r="AN74" s="189">
        <v>8.3170697812987289</v>
      </c>
      <c r="AO74" s="189">
        <v>9.0308847942430752</v>
      </c>
      <c r="AP74" s="188">
        <v>9.7311776566201527</v>
      </c>
      <c r="AQ74" s="91" t="str">
        <f t="shared" si="78"/>
        <v>35-39</v>
      </c>
      <c r="AR74" s="189">
        <v>130.00931060906763</v>
      </c>
      <c r="AS74" s="189">
        <v>141.63984967954292</v>
      </c>
      <c r="AT74" s="189">
        <v>140.96708483811705</v>
      </c>
      <c r="AU74" s="189">
        <v>156.05411338154607</v>
      </c>
      <c r="AV74" s="188">
        <v>171.1889630835885</v>
      </c>
      <c r="AW74" s="189"/>
      <c r="AX74" s="189">
        <v>126.80367098267918</v>
      </c>
      <c r="AY74" s="189">
        <v>138.14739398786907</v>
      </c>
      <c r="AZ74" s="189">
        <v>137.49128574990962</v>
      </c>
      <c r="BA74" s="189">
        <v>152.20632202622306</v>
      </c>
      <c r="BB74" s="188">
        <v>166.96792004521947</v>
      </c>
      <c r="BC74" s="189"/>
      <c r="BD74" s="189">
        <v>3.2056396263884279</v>
      </c>
      <c r="BE74" s="189">
        <v>3.4924556916738441</v>
      </c>
      <c r="BF74" s="189">
        <v>3.4757990882074257</v>
      </c>
      <c r="BG74" s="189">
        <v>3.8477913553230336</v>
      </c>
      <c r="BH74" s="188">
        <v>4.2210430383690394</v>
      </c>
    </row>
    <row r="75" spans="1:60" x14ac:dyDescent="0.2">
      <c r="A75" s="91" t="str">
        <f t="shared" si="76"/>
        <v>40-44</v>
      </c>
      <c r="B75" s="189">
        <v>93.704921018490225</v>
      </c>
      <c r="C75" s="189">
        <v>86.025081460274208</v>
      </c>
      <c r="D75" s="189">
        <v>64.749495706932109</v>
      </c>
      <c r="E75" s="189">
        <v>46.877352399091471</v>
      </c>
      <c r="F75" s="188">
        <v>36.022235674570041</v>
      </c>
      <c r="G75" s="189"/>
      <c r="H75" s="189">
        <v>28.726825295106707</v>
      </c>
      <c r="I75" s="189">
        <v>26.372500122799597</v>
      </c>
      <c r="J75" s="189">
        <v>19.850090685545279</v>
      </c>
      <c r="K75" s="189">
        <v>14.37105615293013</v>
      </c>
      <c r="L75" s="188">
        <v>11.043233820019529</v>
      </c>
      <c r="M75" s="189"/>
      <c r="N75" s="189">
        <v>64.978095723383518</v>
      </c>
      <c r="O75" s="189">
        <v>59.652581337474615</v>
      </c>
      <c r="P75" s="189">
        <v>44.899405021386841</v>
      </c>
      <c r="Q75" s="189">
        <v>32.506296246161341</v>
      </c>
      <c r="R75" s="188">
        <v>24.979001854550507</v>
      </c>
      <c r="S75" s="189"/>
      <c r="T75" s="189">
        <v>0</v>
      </c>
      <c r="U75" s="189">
        <v>0</v>
      </c>
      <c r="V75" s="189">
        <v>0</v>
      </c>
      <c r="W75" s="189">
        <v>0</v>
      </c>
      <c r="X75" s="188">
        <v>0</v>
      </c>
      <c r="Y75" s="91" t="str">
        <f t="shared" si="77"/>
        <v>40-44</v>
      </c>
      <c r="Z75" s="189">
        <v>164.09838718909504</v>
      </c>
      <c r="AA75" s="189">
        <v>154.9023270474899</v>
      </c>
      <c r="AB75" s="189">
        <v>149.73668224901951</v>
      </c>
      <c r="AC75" s="189">
        <v>152.17875641282711</v>
      </c>
      <c r="AD75" s="188">
        <v>165.42214209784782</v>
      </c>
      <c r="AE75" s="189"/>
      <c r="AF75" s="189">
        <v>156.03959735584664</v>
      </c>
      <c r="AG75" s="189">
        <v>147.29512638226808</v>
      </c>
      <c r="AH75" s="189">
        <v>142.38323098553826</v>
      </c>
      <c r="AI75" s="189">
        <v>144.70535111932526</v>
      </c>
      <c r="AJ75" s="188">
        <v>157.29833296840684</v>
      </c>
      <c r="AK75" s="189"/>
      <c r="AL75" s="189">
        <v>8.0587898332483814</v>
      </c>
      <c r="AM75" s="189">
        <v>7.6072006652217956</v>
      </c>
      <c r="AN75" s="189">
        <v>7.3534512634812508</v>
      </c>
      <c r="AO75" s="189">
        <v>7.4734052935018527</v>
      </c>
      <c r="AP75" s="188">
        <v>8.1238091294409802</v>
      </c>
      <c r="AQ75" s="91" t="str">
        <f t="shared" si="78"/>
        <v>40-44</v>
      </c>
      <c r="AR75" s="189">
        <v>126.01269179241478</v>
      </c>
      <c r="AS75" s="189">
        <v>132.67959149223591</v>
      </c>
      <c r="AT75" s="189">
        <v>143.37582204404833</v>
      </c>
      <c r="AU75" s="189">
        <v>148.33089118808141</v>
      </c>
      <c r="AV75" s="188">
        <v>163.98362222758209</v>
      </c>
      <c r="AW75" s="189"/>
      <c r="AX75" s="189">
        <v>123.30009020573293</v>
      </c>
      <c r="AY75" s="189">
        <v>129.8235193902282</v>
      </c>
      <c r="AZ75" s="189">
        <v>140.28954114726304</v>
      </c>
      <c r="BA75" s="189">
        <v>145.13792831010065</v>
      </c>
      <c r="BB75" s="188">
        <v>160.4537346018306</v>
      </c>
      <c r="BC75" s="189"/>
      <c r="BD75" s="189">
        <v>2.7126015866818696</v>
      </c>
      <c r="BE75" s="189">
        <v>2.85607210200773</v>
      </c>
      <c r="BF75" s="189">
        <v>3.0862808967852815</v>
      </c>
      <c r="BG75" s="189">
        <v>3.1929628779807668</v>
      </c>
      <c r="BH75" s="188">
        <v>3.5298876257514915</v>
      </c>
    </row>
    <row r="76" spans="1:60" x14ac:dyDescent="0.2">
      <c r="A76" s="91" t="str">
        <f t="shared" si="76"/>
        <v>45-49</v>
      </c>
      <c r="B76" s="189">
        <v>115.30181592604359</v>
      </c>
      <c r="C76" s="189">
        <v>109.33182845391168</v>
      </c>
      <c r="D76" s="189">
        <v>79.086091683348073</v>
      </c>
      <c r="E76" s="189">
        <v>61.499061829076247</v>
      </c>
      <c r="F76" s="188">
        <v>46.838498328679577</v>
      </c>
      <c r="G76" s="189"/>
      <c r="H76" s="189">
        <v>35.170555457916208</v>
      </c>
      <c r="I76" s="189">
        <v>33.349530919839154</v>
      </c>
      <c r="J76" s="189">
        <v>24.123666078720824</v>
      </c>
      <c r="K76" s="189">
        <v>18.759060670682956</v>
      </c>
      <c r="L76" s="188">
        <v>14.287158175019892</v>
      </c>
      <c r="M76" s="189"/>
      <c r="N76" s="189">
        <v>80.131260468127394</v>
      </c>
      <c r="O76" s="189">
        <v>75.982297534072529</v>
      </c>
      <c r="P76" s="189">
        <v>54.962425604627256</v>
      </c>
      <c r="Q76" s="189">
        <v>42.740001158393298</v>
      </c>
      <c r="R76" s="188">
        <v>32.55134015365968</v>
      </c>
      <c r="S76" s="189"/>
      <c r="T76" s="189">
        <v>0</v>
      </c>
      <c r="U76" s="189">
        <v>0</v>
      </c>
      <c r="V76" s="189">
        <v>0</v>
      </c>
      <c r="W76" s="189">
        <v>0</v>
      </c>
      <c r="X76" s="188">
        <v>0</v>
      </c>
      <c r="Y76" s="91" t="str">
        <f t="shared" si="77"/>
        <v>45-49</v>
      </c>
      <c r="Z76" s="189">
        <v>139.47645471921948</v>
      </c>
      <c r="AA76" s="189">
        <v>142.31555594986082</v>
      </c>
      <c r="AB76" s="189">
        <v>150.05821621827403</v>
      </c>
      <c r="AC76" s="189">
        <v>153.64746661870106</v>
      </c>
      <c r="AD76" s="188">
        <v>155.27997647346041</v>
      </c>
      <c r="AE76" s="189"/>
      <c r="AF76" s="189">
        <v>133.76971424566429</v>
      </c>
      <c r="AG76" s="189">
        <v>136.49269012868396</v>
      </c>
      <c r="AH76" s="189">
        <v>143.91849594775999</v>
      </c>
      <c r="AI76" s="189">
        <v>147.36094259416896</v>
      </c>
      <c r="AJ76" s="188">
        <v>148.92665752037087</v>
      </c>
      <c r="AK76" s="189"/>
      <c r="AL76" s="189">
        <v>5.7067404735551852</v>
      </c>
      <c r="AM76" s="189">
        <v>5.8228658211768556</v>
      </c>
      <c r="AN76" s="189">
        <v>6.1397202705140401</v>
      </c>
      <c r="AO76" s="189">
        <v>6.2865240245320777</v>
      </c>
      <c r="AP76" s="188">
        <v>6.3533189530895484</v>
      </c>
      <c r="AQ76" s="91" t="str">
        <f t="shared" si="78"/>
        <v>45-49</v>
      </c>
      <c r="AR76" s="189">
        <v>120.1197293547369</v>
      </c>
      <c r="AS76" s="189">
        <v>129.44461559622746</v>
      </c>
      <c r="AT76" s="189">
        <v>136.0726920983779</v>
      </c>
      <c r="AU76" s="189">
        <v>140.49347155222273</v>
      </c>
      <c r="AV76" s="188">
        <v>143.29652519786003</v>
      </c>
      <c r="AW76" s="189"/>
      <c r="AX76" s="189">
        <v>117.05294273548799</v>
      </c>
      <c r="AY76" s="189">
        <v>126.13980543389869</v>
      </c>
      <c r="AZ76" s="189">
        <v>132.59867152271417</v>
      </c>
      <c r="BA76" s="189">
        <v>136.90652744386634</v>
      </c>
      <c r="BB76" s="188">
        <v>139.63803926200524</v>
      </c>
      <c r="BC76" s="189"/>
      <c r="BD76" s="189">
        <v>3.0667866192489188</v>
      </c>
      <c r="BE76" s="189">
        <v>3.3048101623287747</v>
      </c>
      <c r="BF76" s="189">
        <v>3.4740205756637477</v>
      </c>
      <c r="BG76" s="189">
        <v>3.5869441083564158</v>
      </c>
      <c r="BH76" s="188">
        <v>3.6584859358547694</v>
      </c>
    </row>
    <row r="77" spans="1:60" x14ac:dyDescent="0.2">
      <c r="A77" s="91" t="str">
        <f t="shared" si="76"/>
        <v>50-54</v>
      </c>
      <c r="B77" s="189">
        <v>111.27520275605481</v>
      </c>
      <c r="C77" s="189">
        <v>116.43002391638842</v>
      </c>
      <c r="D77" s="189">
        <v>99.298446084176007</v>
      </c>
      <c r="E77" s="189">
        <v>84.486604991419114</v>
      </c>
      <c r="F77" s="188">
        <v>69.243878653988489</v>
      </c>
      <c r="G77" s="189"/>
      <c r="H77" s="189">
        <v>39.173130960659876</v>
      </c>
      <c r="I77" s="189">
        <v>40.987832117041947</v>
      </c>
      <c r="J77" s="189">
        <v>34.956838880438383</v>
      </c>
      <c r="K77" s="189">
        <v>29.742505447101941</v>
      </c>
      <c r="L77" s="188">
        <v>24.376494465649984</v>
      </c>
      <c r="M77" s="189"/>
      <c r="N77" s="189">
        <v>72.102071795394934</v>
      </c>
      <c r="O77" s="189">
        <v>75.442191799346489</v>
      </c>
      <c r="P77" s="189">
        <v>64.34160720373761</v>
      </c>
      <c r="Q77" s="189">
        <v>54.74409954431718</v>
      </c>
      <c r="R77" s="188">
        <v>44.867384188338512</v>
      </c>
      <c r="S77" s="189"/>
      <c r="T77" s="189">
        <v>0</v>
      </c>
      <c r="U77" s="189">
        <v>0</v>
      </c>
      <c r="V77" s="189">
        <v>0</v>
      </c>
      <c r="W77" s="189">
        <v>0</v>
      </c>
      <c r="X77" s="188">
        <v>0</v>
      </c>
      <c r="Y77" s="91" t="str">
        <f t="shared" si="77"/>
        <v>50-54</v>
      </c>
      <c r="Z77" s="189">
        <v>113.3960574955765</v>
      </c>
      <c r="AA77" s="189">
        <v>121.59249637417638</v>
      </c>
      <c r="AB77" s="189">
        <v>133.48105449911949</v>
      </c>
      <c r="AC77" s="189">
        <v>141.58741797337134</v>
      </c>
      <c r="AD77" s="188">
        <v>145.63112009368126</v>
      </c>
      <c r="AE77" s="189"/>
      <c r="AF77" s="189">
        <v>108.44421929852143</v>
      </c>
      <c r="AG77" s="189">
        <v>116.28270261170104</v>
      </c>
      <c r="AH77" s="189">
        <v>127.65209448250005</v>
      </c>
      <c r="AI77" s="189">
        <v>135.40448983032255</v>
      </c>
      <c r="AJ77" s="188">
        <v>139.27159339268175</v>
      </c>
      <c r="AK77" s="189"/>
      <c r="AL77" s="189">
        <v>4.9518381970550793</v>
      </c>
      <c r="AM77" s="189">
        <v>5.3097937624753415</v>
      </c>
      <c r="AN77" s="189">
        <v>5.828960016619444</v>
      </c>
      <c r="AO77" s="189">
        <v>6.1829281430488319</v>
      </c>
      <c r="AP77" s="188">
        <v>6.3595267009995187</v>
      </c>
      <c r="AQ77" s="91" t="str">
        <f t="shared" si="78"/>
        <v>50-54</v>
      </c>
      <c r="AR77" s="189">
        <v>95.512739748368674</v>
      </c>
      <c r="AS77" s="189">
        <v>104.88647970943516</v>
      </c>
      <c r="AT77" s="189">
        <v>127.31949941670452</v>
      </c>
      <c r="AU77" s="189">
        <v>134.10597703520958</v>
      </c>
      <c r="AV77" s="188">
        <v>137.3260012523302</v>
      </c>
      <c r="AW77" s="189"/>
      <c r="AX77" s="189">
        <v>92.592908798161787</v>
      </c>
      <c r="AY77" s="189">
        <v>101.68009864647333</v>
      </c>
      <c r="AZ77" s="189">
        <v>123.42737975287275</v>
      </c>
      <c r="BA77" s="189">
        <v>130.00642315954263</v>
      </c>
      <c r="BB77" s="188">
        <v>133.12800670973192</v>
      </c>
      <c r="BC77" s="189"/>
      <c r="BD77" s="189">
        <v>2.9198309502068871</v>
      </c>
      <c r="BE77" s="189">
        <v>3.2063810629618299</v>
      </c>
      <c r="BF77" s="189">
        <v>3.892119663831775</v>
      </c>
      <c r="BG77" s="189">
        <v>4.0995538756669365</v>
      </c>
      <c r="BH77" s="188">
        <v>4.1979945425982796</v>
      </c>
    </row>
    <row r="78" spans="1:60" x14ac:dyDescent="0.2">
      <c r="A78" s="91" t="str">
        <f t="shared" si="76"/>
        <v>55-59</v>
      </c>
      <c r="B78" s="189">
        <v>68.012091171952278</v>
      </c>
      <c r="C78" s="189">
        <v>76.192899119068656</v>
      </c>
      <c r="D78" s="189">
        <v>80.959107437946358</v>
      </c>
      <c r="E78" s="189">
        <v>80.741803905128123</v>
      </c>
      <c r="F78" s="188">
        <v>67.11887912992232</v>
      </c>
      <c r="G78" s="189"/>
      <c r="H78" s="189">
        <v>26.951872424022827</v>
      </c>
      <c r="I78" s="189">
        <v>30.193746005149503</v>
      </c>
      <c r="J78" s="189">
        <v>32.082502271621657</v>
      </c>
      <c r="K78" s="189">
        <v>31.996398811217055</v>
      </c>
      <c r="L78" s="188">
        <v>26.597935178999514</v>
      </c>
      <c r="M78" s="189"/>
      <c r="N78" s="189">
        <v>41.060218747929468</v>
      </c>
      <c r="O78" s="189">
        <v>45.999153113919157</v>
      </c>
      <c r="P78" s="189">
        <v>48.876605166324701</v>
      </c>
      <c r="Q78" s="189">
        <v>48.74540509391106</v>
      </c>
      <c r="R78" s="188">
        <v>40.520943950922806</v>
      </c>
      <c r="S78" s="189"/>
      <c r="T78" s="189">
        <v>0</v>
      </c>
      <c r="U78" s="189">
        <v>0</v>
      </c>
      <c r="V78" s="189">
        <v>0</v>
      </c>
      <c r="W78" s="189">
        <v>0</v>
      </c>
      <c r="X78" s="188">
        <v>0</v>
      </c>
      <c r="Y78" s="91" t="str">
        <f t="shared" si="77"/>
        <v>55-59</v>
      </c>
      <c r="Z78" s="189">
        <v>72.790478327088792</v>
      </c>
      <c r="AA78" s="189">
        <v>72.824377516205331</v>
      </c>
      <c r="AB78" s="189">
        <v>88.796407596616632</v>
      </c>
      <c r="AC78" s="189">
        <v>107.12135329397736</v>
      </c>
      <c r="AD78" s="188">
        <v>114.12115272286486</v>
      </c>
      <c r="AE78" s="189"/>
      <c r="AF78" s="189">
        <v>68.801294834834081</v>
      </c>
      <c r="AG78" s="189">
        <v>68.83331603311845</v>
      </c>
      <c r="AH78" s="189">
        <v>83.930009776338608</v>
      </c>
      <c r="AI78" s="189">
        <v>101.25067814642075</v>
      </c>
      <c r="AJ78" s="188">
        <v>107.86683113473264</v>
      </c>
      <c r="AK78" s="189"/>
      <c r="AL78" s="189">
        <v>3.9891834922546994</v>
      </c>
      <c r="AM78" s="189">
        <v>3.9910614830868849</v>
      </c>
      <c r="AN78" s="189">
        <v>4.8663978202780056</v>
      </c>
      <c r="AO78" s="189">
        <v>5.8706751475565877</v>
      </c>
      <c r="AP78" s="188">
        <v>6.2543215881322256</v>
      </c>
      <c r="AQ78" s="91" t="str">
        <f t="shared" si="78"/>
        <v>55-59</v>
      </c>
      <c r="AR78" s="189">
        <v>71.997430500958913</v>
      </c>
      <c r="AS78" s="189">
        <v>80.286723364726001</v>
      </c>
      <c r="AT78" s="189">
        <v>97.623484965437029</v>
      </c>
      <c r="AU78" s="189">
        <v>111.25484280089452</v>
      </c>
      <c r="AV78" s="188">
        <v>119.13196814721282</v>
      </c>
      <c r="AW78" s="189"/>
      <c r="AX78" s="189">
        <v>69.435486947844097</v>
      </c>
      <c r="AY78" s="189">
        <v>77.429759529039274</v>
      </c>
      <c r="AZ78" s="189">
        <v>94.149691730122299</v>
      </c>
      <c r="BA78" s="189">
        <v>107.29594200979159</v>
      </c>
      <c r="BB78" s="188">
        <v>114.89276509261856</v>
      </c>
      <c r="BC78" s="189"/>
      <c r="BD78" s="189">
        <v>2.5619435531148169</v>
      </c>
      <c r="BE78" s="189">
        <v>2.8569638356867268</v>
      </c>
      <c r="BF78" s="189">
        <v>3.4737932353147438</v>
      </c>
      <c r="BG78" s="189">
        <v>3.9589007911029319</v>
      </c>
      <c r="BH78" s="188">
        <v>4.2392030545942614</v>
      </c>
    </row>
    <row r="79" spans="1:60" x14ac:dyDescent="0.2">
      <c r="A79" s="91" t="str">
        <f t="shared" si="76"/>
        <v>60-64</v>
      </c>
      <c r="B79" s="189">
        <v>22.058986538549966</v>
      </c>
      <c r="C79" s="189">
        <v>25.725899636040516</v>
      </c>
      <c r="D79" s="189">
        <v>23.105090180247199</v>
      </c>
      <c r="E79" s="189">
        <v>23.482130526076944</v>
      </c>
      <c r="F79" s="188">
        <v>20.863456754363423</v>
      </c>
      <c r="G79" s="189"/>
      <c r="H79" s="189">
        <v>10.261625462059436</v>
      </c>
      <c r="I79" s="189">
        <v>11.967431555445883</v>
      </c>
      <c r="J79" s="189">
        <v>10.748274288790256</v>
      </c>
      <c r="K79" s="189">
        <v>10.923637169620605</v>
      </c>
      <c r="L79" s="188">
        <v>9.7054628731438477</v>
      </c>
      <c r="M79" s="189"/>
      <c r="N79" s="189">
        <v>11.797361076490528</v>
      </c>
      <c r="O79" s="189">
        <v>13.758468080594636</v>
      </c>
      <c r="P79" s="189">
        <v>12.356815891456941</v>
      </c>
      <c r="Q79" s="189">
        <v>12.558493356456339</v>
      </c>
      <c r="R79" s="188">
        <v>11.157993881219575</v>
      </c>
      <c r="S79" s="189"/>
      <c r="T79" s="189">
        <v>0</v>
      </c>
      <c r="U79" s="189">
        <v>0</v>
      </c>
      <c r="V79" s="189">
        <v>0</v>
      </c>
      <c r="W79" s="189">
        <v>0</v>
      </c>
      <c r="X79" s="188">
        <v>0</v>
      </c>
      <c r="Y79" s="91" t="str">
        <f t="shared" si="77"/>
        <v>60-64</v>
      </c>
      <c r="Z79" s="189">
        <v>19.033134372987352</v>
      </c>
      <c r="AA79" s="189">
        <v>23.139563185511207</v>
      </c>
      <c r="AB79" s="189">
        <v>29.062611970564706</v>
      </c>
      <c r="AC79" s="189">
        <v>37.775985439184019</v>
      </c>
      <c r="AD79" s="188">
        <v>45.699503561805081</v>
      </c>
      <c r="AE79" s="189"/>
      <c r="AF79" s="189">
        <v>18.159098770843201</v>
      </c>
      <c r="AG79" s="189">
        <v>22.076986233291766</v>
      </c>
      <c r="AH79" s="189">
        <v>27.728037414140051</v>
      </c>
      <c r="AI79" s="189">
        <v>36.041367319946715</v>
      </c>
      <c r="AJ79" s="188">
        <v>43.600996459396789</v>
      </c>
      <c r="AK79" s="189"/>
      <c r="AL79" s="189">
        <v>0.87403560214415288</v>
      </c>
      <c r="AM79" s="189">
        <v>1.0625769522194444</v>
      </c>
      <c r="AN79" s="189">
        <v>1.3345745564246547</v>
      </c>
      <c r="AO79" s="189">
        <v>1.7346181192372983</v>
      </c>
      <c r="AP79" s="188">
        <v>2.0985071024082935</v>
      </c>
      <c r="AQ79" s="91" t="str">
        <f t="shared" si="78"/>
        <v>60-64</v>
      </c>
      <c r="AR79" s="189">
        <v>28.502879088462684</v>
      </c>
      <c r="AS79" s="189">
        <v>37.330537178448267</v>
      </c>
      <c r="AT79" s="189">
        <v>46.611297849188091</v>
      </c>
      <c r="AU79" s="189">
        <v>59.348884034739037</v>
      </c>
      <c r="AV79" s="188">
        <v>72.006039683831503</v>
      </c>
      <c r="AW79" s="189"/>
      <c r="AX79" s="189">
        <v>26.621847428232694</v>
      </c>
      <c r="AY79" s="189">
        <v>34.866929781336395</v>
      </c>
      <c r="AZ79" s="189">
        <v>43.535121181596431</v>
      </c>
      <c r="BA79" s="189">
        <v>55.432075117845166</v>
      </c>
      <c r="BB79" s="188">
        <v>67.253939495670267</v>
      </c>
      <c r="BC79" s="189"/>
      <c r="BD79" s="189">
        <v>1.881031660229987</v>
      </c>
      <c r="BE79" s="189">
        <v>2.463607397111879</v>
      </c>
      <c r="BF79" s="189">
        <v>3.0761766675916631</v>
      </c>
      <c r="BG79" s="189">
        <v>3.9168089168938671</v>
      </c>
      <c r="BH79" s="188">
        <v>4.7521001881612417</v>
      </c>
    </row>
    <row r="80" spans="1:60" x14ac:dyDescent="0.2">
      <c r="A80" s="91" t="str">
        <f t="shared" si="76"/>
        <v>65+</v>
      </c>
      <c r="B80" s="189">
        <v>6.9211439895691509</v>
      </c>
      <c r="C80" s="189">
        <v>11.403315499909841</v>
      </c>
      <c r="D80" s="189">
        <v>10.028756519263442</v>
      </c>
      <c r="E80" s="189">
        <v>7.9572606059831097</v>
      </c>
      <c r="F80" s="188">
        <v>6.1556020468771537</v>
      </c>
      <c r="G80" s="189"/>
      <c r="H80" s="189">
        <v>3.3880153703013169</v>
      </c>
      <c r="I80" s="189">
        <v>5.5821599276043257</v>
      </c>
      <c r="J80" s="189">
        <v>4.9092330155000692</v>
      </c>
      <c r="K80" s="189">
        <v>3.8952339057066752</v>
      </c>
      <c r="L80" s="188">
        <v>3.0132549845592425</v>
      </c>
      <c r="M80" s="189"/>
      <c r="N80" s="189">
        <v>3.5331286192678335</v>
      </c>
      <c r="O80" s="189">
        <v>5.8211555723055133</v>
      </c>
      <c r="P80" s="189">
        <v>5.1195235037633742</v>
      </c>
      <c r="Q80" s="189">
        <v>4.0620267002764345</v>
      </c>
      <c r="R80" s="188">
        <v>3.1423470623179108</v>
      </c>
      <c r="S80" s="189"/>
      <c r="T80" s="189">
        <v>0</v>
      </c>
      <c r="U80" s="189">
        <v>0</v>
      </c>
      <c r="V80" s="189">
        <v>0</v>
      </c>
      <c r="W80" s="189">
        <v>0</v>
      </c>
      <c r="X80" s="188">
        <v>0</v>
      </c>
      <c r="Y80" s="91" t="str">
        <f t="shared" si="77"/>
        <v>65+</v>
      </c>
      <c r="Z80" s="189">
        <v>5.0779151858860399</v>
      </c>
      <c r="AA80" s="189">
        <v>5.8560125079035359</v>
      </c>
      <c r="AB80" s="189">
        <v>7.4475071119826133</v>
      </c>
      <c r="AC80" s="189">
        <v>8.0611678258540653</v>
      </c>
      <c r="AD80" s="188">
        <v>8.6521443263082798</v>
      </c>
      <c r="AE80" s="189"/>
      <c r="AF80" s="189">
        <v>4.4280912105889678</v>
      </c>
      <c r="AG80" s="189">
        <v>5.1066439452522596</v>
      </c>
      <c r="AH80" s="189">
        <v>6.4944416235841498</v>
      </c>
      <c r="AI80" s="189">
        <v>7.0296284480755258</v>
      </c>
      <c r="AJ80" s="188">
        <v>7.5449282666861546</v>
      </c>
      <c r="AK80" s="189"/>
      <c r="AL80" s="189">
        <v>0.64982397529707225</v>
      </c>
      <c r="AM80" s="189">
        <v>0.74936856265127538</v>
      </c>
      <c r="AN80" s="189">
        <v>0.95306548839846261</v>
      </c>
      <c r="AO80" s="189">
        <v>1.03153937777854</v>
      </c>
      <c r="AP80" s="188">
        <v>1.1072160596221259</v>
      </c>
      <c r="AQ80" s="91" t="str">
        <f t="shared" si="78"/>
        <v>65+</v>
      </c>
      <c r="AR80" s="189">
        <v>10.295940824544813</v>
      </c>
      <c r="AS80" s="189">
        <v>8.0706719921866217</v>
      </c>
      <c r="AT80" s="189">
        <v>14.988736368753946</v>
      </c>
      <c r="AU80" s="189">
        <v>18.053571568162823</v>
      </c>
      <c r="AV80" s="188">
        <v>21.595253626814571</v>
      </c>
      <c r="AW80" s="189"/>
      <c r="AX80" s="189">
        <v>9.5711093689595526</v>
      </c>
      <c r="AY80" s="189">
        <v>7.5024694874410747</v>
      </c>
      <c r="AZ80" s="189">
        <v>13.933474089451744</v>
      </c>
      <c r="BA80" s="189">
        <v>16.782613628155822</v>
      </c>
      <c r="BB80" s="188">
        <v>20.07497877515241</v>
      </c>
      <c r="BC80" s="189"/>
      <c r="BD80" s="189">
        <v>0.72483145558525974</v>
      </c>
      <c r="BE80" s="189">
        <v>0.5682025047455489</v>
      </c>
      <c r="BF80" s="189">
        <v>1.0552622793022017</v>
      </c>
      <c r="BG80" s="189">
        <v>1.2709579400070001</v>
      </c>
      <c r="BH80" s="188">
        <v>1.5202748516621645</v>
      </c>
    </row>
    <row r="81" spans="1:60" x14ac:dyDescent="0.2">
      <c r="B81" s="188"/>
      <c r="C81" s="188"/>
      <c r="D81" s="188"/>
      <c r="E81" s="188"/>
      <c r="F81" s="188"/>
      <c r="G81" s="188"/>
      <c r="H81" s="188"/>
      <c r="I81" s="188"/>
      <c r="J81" s="188"/>
      <c r="K81" s="188"/>
      <c r="L81" s="188"/>
      <c r="M81" s="188"/>
      <c r="N81" s="188"/>
      <c r="O81" s="188"/>
      <c r="P81" s="188"/>
      <c r="Q81" s="188"/>
      <c r="R81" s="188"/>
      <c r="S81" s="188"/>
      <c r="T81" s="94"/>
      <c r="U81" s="94"/>
      <c r="V81" s="94"/>
      <c r="W81" s="94"/>
      <c r="X81" s="94"/>
      <c r="Z81" s="188"/>
      <c r="AA81" s="188"/>
      <c r="AB81" s="188"/>
      <c r="AC81" s="188"/>
      <c r="AD81" s="188"/>
      <c r="AE81" s="188"/>
      <c r="AF81" s="188"/>
      <c r="AG81" s="188"/>
      <c r="AH81" s="188"/>
      <c r="AI81" s="188"/>
      <c r="AJ81" s="188"/>
      <c r="AK81" s="188"/>
      <c r="AL81" s="188"/>
      <c r="AM81" s="188"/>
      <c r="AN81" s="188"/>
      <c r="AO81" s="188"/>
      <c r="AP81" s="188"/>
      <c r="AR81" s="189"/>
      <c r="AS81" s="189"/>
      <c r="AT81" s="189"/>
      <c r="AU81" s="189"/>
      <c r="AV81" s="188"/>
      <c r="AW81" s="188"/>
      <c r="AX81" s="188"/>
      <c r="AY81" s="188"/>
      <c r="AZ81" s="188"/>
      <c r="BA81" s="188"/>
      <c r="BB81" s="188"/>
      <c r="BC81" s="188"/>
      <c r="BD81" s="188"/>
      <c r="BE81" s="188"/>
      <c r="BF81" s="188"/>
      <c r="BG81" s="188"/>
      <c r="BH81" s="188"/>
    </row>
    <row r="82" spans="1:60" x14ac:dyDescent="0.2">
      <c r="A82" s="114" t="str">
        <f>A34</f>
        <v>Females</v>
      </c>
      <c r="B82" s="188"/>
      <c r="C82" s="188"/>
      <c r="D82" s="188"/>
      <c r="E82" s="188"/>
      <c r="F82" s="188"/>
      <c r="G82" s="188"/>
      <c r="H82" s="188"/>
      <c r="I82" s="188"/>
      <c r="J82" s="188"/>
      <c r="K82" s="188"/>
      <c r="L82" s="188"/>
      <c r="M82" s="188"/>
      <c r="N82" s="188"/>
      <c r="O82" s="188"/>
      <c r="P82" s="188"/>
      <c r="Q82" s="188"/>
      <c r="R82" s="188"/>
      <c r="S82" s="188"/>
      <c r="T82" s="94"/>
      <c r="U82" s="94"/>
      <c r="V82" s="94"/>
      <c r="W82" s="94"/>
      <c r="X82" s="94"/>
      <c r="Y82" s="114" t="str">
        <f>Y34</f>
        <v>Females</v>
      </c>
      <c r="Z82" s="188"/>
      <c r="AA82" s="188"/>
      <c r="AB82" s="188"/>
      <c r="AC82" s="188"/>
      <c r="AD82" s="188"/>
      <c r="AE82" s="188"/>
      <c r="AF82" s="188"/>
      <c r="AG82" s="188"/>
      <c r="AH82" s="188"/>
      <c r="AI82" s="188"/>
      <c r="AJ82" s="188"/>
      <c r="AK82" s="188"/>
      <c r="AL82" s="188"/>
      <c r="AM82" s="188"/>
      <c r="AN82" s="188"/>
      <c r="AO82" s="188"/>
      <c r="AP82" s="188"/>
      <c r="AQ82" s="114" t="str">
        <f>AQ34</f>
        <v>Females</v>
      </c>
      <c r="AR82" s="94"/>
      <c r="AS82" s="94"/>
      <c r="AT82" s="94"/>
      <c r="AU82" s="94"/>
      <c r="AV82" s="188"/>
      <c r="AW82" s="188"/>
      <c r="AX82" s="188"/>
      <c r="AY82" s="188"/>
      <c r="AZ82" s="188"/>
      <c r="BA82" s="188"/>
      <c r="BB82" s="188"/>
      <c r="BC82" s="188"/>
      <c r="BD82" s="188"/>
      <c r="BE82" s="188"/>
      <c r="BF82" s="188"/>
      <c r="BG82" s="188"/>
      <c r="BH82" s="188"/>
    </row>
    <row r="83" spans="1:60" x14ac:dyDescent="0.2">
      <c r="A83" s="91" t="str">
        <f>A35</f>
        <v>15+</v>
      </c>
      <c r="B83" s="189">
        <f>SUM(B84:B94)</f>
        <v>423.06360139942507</v>
      </c>
      <c r="C83" s="189">
        <f t="shared" ref="C83:F83" si="79">SUM(C84:C94)</f>
        <v>420.02944292320001</v>
      </c>
      <c r="D83" s="189">
        <f t="shared" si="79"/>
        <v>340.32430055838188</v>
      </c>
      <c r="E83" s="189">
        <f t="shared" si="79"/>
        <v>280.86469102706656</v>
      </c>
      <c r="F83" s="189">
        <f t="shared" si="79"/>
        <v>223.76680386266278</v>
      </c>
      <c r="G83" s="189"/>
      <c r="H83" s="189">
        <f>SUM(H84:H94)</f>
        <v>145.89694047973552</v>
      </c>
      <c r="I83" s="189">
        <f t="shared" ref="I83:L83" si="80">SUM(I84:I94)</f>
        <v>145.07481013301967</v>
      </c>
      <c r="J83" s="189">
        <f t="shared" si="80"/>
        <v>119.0698940829858</v>
      </c>
      <c r="K83" s="189">
        <f t="shared" si="80"/>
        <v>97.685423606672089</v>
      </c>
      <c r="L83" s="189">
        <f t="shared" si="80"/>
        <v>77.126697351246889</v>
      </c>
      <c r="M83" s="189"/>
      <c r="N83" s="189">
        <f>SUM(N84:N94)</f>
        <v>277.16666091968955</v>
      </c>
      <c r="O83" s="189">
        <f t="shared" ref="O83:R83" si="81">SUM(O84:O94)</f>
        <v>274.95463279018031</v>
      </c>
      <c r="P83" s="189">
        <f t="shared" si="81"/>
        <v>221.25440647539608</v>
      </c>
      <c r="Q83" s="189">
        <f t="shared" si="81"/>
        <v>183.17926742039447</v>
      </c>
      <c r="R83" s="189">
        <f t="shared" si="81"/>
        <v>146.64010651141589</v>
      </c>
      <c r="S83" s="189"/>
      <c r="T83" s="189">
        <f>SUM(T84:T94)</f>
        <v>0</v>
      </c>
      <c r="U83" s="189">
        <f t="shared" ref="U83:X83" si="82">SUM(U84:U94)</f>
        <v>0</v>
      </c>
      <c r="V83" s="189">
        <f t="shared" si="82"/>
        <v>0</v>
      </c>
      <c r="W83" s="189">
        <f t="shared" si="82"/>
        <v>0</v>
      </c>
      <c r="X83" s="189">
        <f t="shared" si="82"/>
        <v>0</v>
      </c>
      <c r="Y83" s="91" t="str">
        <f>Y35</f>
        <v>15+</v>
      </c>
      <c r="Z83" s="189">
        <f>SUM(Z84:Z94)</f>
        <v>835.78959562739158</v>
      </c>
      <c r="AA83" s="189">
        <f t="shared" ref="AA83:AD83" si="83">SUM(AA84:AA94)</f>
        <v>817.71951299037789</v>
      </c>
      <c r="AB83" s="189">
        <f t="shared" si="83"/>
        <v>833.46122225056911</v>
      </c>
      <c r="AC83" s="189">
        <f t="shared" si="83"/>
        <v>872.7568149707464</v>
      </c>
      <c r="AD83" s="189">
        <f t="shared" si="83"/>
        <v>906.76405425389191</v>
      </c>
      <c r="AE83" s="189"/>
      <c r="AF83" s="189">
        <f>SUM(AF84:AF94)</f>
        <v>775.49874803920272</v>
      </c>
      <c r="AG83" s="189">
        <f t="shared" ref="AG83:AJ83" si="84">SUM(AG84:AG94)</f>
        <v>758.80872601036992</v>
      </c>
      <c r="AH83" s="189">
        <f t="shared" si="84"/>
        <v>773.5162619397023</v>
      </c>
      <c r="AI83" s="189">
        <f t="shared" si="84"/>
        <v>810.06846896436525</v>
      </c>
      <c r="AJ83" s="189">
        <f t="shared" si="84"/>
        <v>841.89337685638475</v>
      </c>
      <c r="AK83" s="189"/>
      <c r="AL83" s="189">
        <f>SUM(AL84:AL94)</f>
        <v>60.29084758818869</v>
      </c>
      <c r="AM83" s="189">
        <f t="shared" ref="AM83:AP83" si="85">SUM(AM84:AM94)</f>
        <v>58.910786980008034</v>
      </c>
      <c r="AN83" s="189">
        <f t="shared" si="85"/>
        <v>59.944960310866939</v>
      </c>
      <c r="AO83" s="189">
        <f t="shared" si="85"/>
        <v>62.688346006381188</v>
      </c>
      <c r="AP83" s="189">
        <f t="shared" si="85"/>
        <v>64.870677397506995</v>
      </c>
      <c r="AQ83" s="91" t="str">
        <f>AQ35</f>
        <v>15+</v>
      </c>
      <c r="AR83" s="189">
        <f>SUM(AR84:AR94)</f>
        <v>889.40880297318358</v>
      </c>
      <c r="AS83" s="189">
        <f t="shared" ref="AS83:AV83" si="86">SUM(AS84:AS94)</f>
        <v>982.33504408642204</v>
      </c>
      <c r="AT83" s="189">
        <f t="shared" si="86"/>
        <v>1108.5044771910491</v>
      </c>
      <c r="AU83" s="189">
        <f t="shared" si="86"/>
        <v>1230.8314940021869</v>
      </c>
      <c r="AV83" s="189">
        <f t="shared" si="86"/>
        <v>1348.9681418834455</v>
      </c>
      <c r="AW83" s="189"/>
      <c r="AX83" s="189">
        <f>SUM(AX84:AX94)</f>
        <v>879.74824720033962</v>
      </c>
      <c r="AY83" s="189">
        <f t="shared" ref="AY83:BB83" si="87">SUM(AY84:AY94)</f>
        <v>971.10421223711137</v>
      </c>
      <c r="AZ83" s="189">
        <f t="shared" si="87"/>
        <v>1095.1677547026629</v>
      </c>
      <c r="BA83" s="189">
        <f t="shared" si="87"/>
        <v>1216.0188704547381</v>
      </c>
      <c r="BB83" s="189">
        <f t="shared" si="87"/>
        <v>1332.3320678155631</v>
      </c>
      <c r="BC83" s="189"/>
      <c r="BD83" s="189">
        <f>SUM(BD84:BD94)</f>
        <v>9.6605557728437574</v>
      </c>
      <c r="BE83" s="189">
        <f t="shared" ref="BE83:BH83" si="88">SUM(BE84:BE94)</f>
        <v>11.105764362713181</v>
      </c>
      <c r="BF83" s="189">
        <f t="shared" si="88"/>
        <v>13.018684577213577</v>
      </c>
      <c r="BG83" s="189">
        <f t="shared" si="88"/>
        <v>14.812623547448824</v>
      </c>
      <c r="BH83" s="189">
        <f t="shared" si="88"/>
        <v>16.636074067882518</v>
      </c>
    </row>
    <row r="84" spans="1:60" x14ac:dyDescent="0.2">
      <c r="A84" s="91" t="str">
        <f t="shared" ref="A84:A94" si="89">A36</f>
        <v>15-19</v>
      </c>
      <c r="B84" s="189">
        <v>11.952178011992856</v>
      </c>
      <c r="C84" s="189">
        <v>13.402887260222242</v>
      </c>
      <c r="D84" s="189">
        <v>10.497400074288828</v>
      </c>
      <c r="E84" s="189">
        <v>10.487079759394881</v>
      </c>
      <c r="F84" s="188">
        <v>11.380731286753464</v>
      </c>
      <c r="G84" s="188"/>
      <c r="H84" s="189">
        <v>1.9311383476471966</v>
      </c>
      <c r="I84" s="189">
        <v>2.1654425866600273</v>
      </c>
      <c r="J84" s="189">
        <v>1.6960330233653167</v>
      </c>
      <c r="K84" s="189">
        <v>1.6944183086206663</v>
      </c>
      <c r="L84" s="188">
        <v>1.8387489146198699</v>
      </c>
      <c r="M84" s="188"/>
      <c r="N84" s="189">
        <v>10.021039664345659</v>
      </c>
      <c r="O84" s="189">
        <v>11.237444673562216</v>
      </c>
      <c r="P84" s="189">
        <v>8.8013670509235116</v>
      </c>
      <c r="Q84" s="189">
        <v>8.7926614507742151</v>
      </c>
      <c r="R84" s="188">
        <v>9.5419823721335941</v>
      </c>
      <c r="S84" s="188"/>
      <c r="T84" s="189">
        <v>0</v>
      </c>
      <c r="U84" s="189">
        <v>0</v>
      </c>
      <c r="V84" s="189">
        <v>0</v>
      </c>
      <c r="W84" s="189">
        <v>0</v>
      </c>
      <c r="X84" s="188">
        <v>0</v>
      </c>
      <c r="Y84" s="91" t="str">
        <f t="shared" ref="Y84:Y94" si="90">Y36</f>
        <v>15-19</v>
      </c>
      <c r="Z84" s="189">
        <v>10.828592838586953</v>
      </c>
      <c r="AA84" s="189">
        <v>10.260045253180333</v>
      </c>
      <c r="AB84" s="189">
        <v>8.3705620145386224</v>
      </c>
      <c r="AC84" s="189">
        <v>8.9334389435199988</v>
      </c>
      <c r="AD84" s="188">
        <v>10.306241587925554</v>
      </c>
      <c r="AE84" s="188"/>
      <c r="AF84" s="189">
        <v>10.269940466538486</v>
      </c>
      <c r="AG84" s="189">
        <v>9.7306883630573378</v>
      </c>
      <c r="AH84" s="189">
        <v>7.9386523921141237</v>
      </c>
      <c r="AI84" s="189">
        <v>8.4725263317021824</v>
      </c>
      <c r="AJ84" s="188">
        <v>9.7745223494256592</v>
      </c>
      <c r="AK84" s="188"/>
      <c r="AL84" s="189">
        <v>0.55865237204846663</v>
      </c>
      <c r="AM84" s="189">
        <v>0.52935689012299614</v>
      </c>
      <c r="AN84" s="189">
        <v>0.43190962242449843</v>
      </c>
      <c r="AO84" s="189">
        <v>0.46091261181781773</v>
      </c>
      <c r="AP84" s="188">
        <v>0.53171923849989433</v>
      </c>
      <c r="AQ84" s="91" t="str">
        <f t="shared" ref="AQ84:AQ94" si="91">AQ36</f>
        <v>15-19</v>
      </c>
      <c r="AR84" s="189">
        <v>0.12322914942019014</v>
      </c>
      <c r="AS84" s="189">
        <v>0.12506748659742103</v>
      </c>
      <c r="AT84" s="189">
        <v>0.31803791117255348</v>
      </c>
      <c r="AU84" s="189">
        <v>0.32248129708511647</v>
      </c>
      <c r="AV84" s="188">
        <v>0.3530271253209819</v>
      </c>
      <c r="AW84" s="188"/>
      <c r="AX84" s="189">
        <v>0.12322914942019014</v>
      </c>
      <c r="AY84" s="189">
        <v>0</v>
      </c>
      <c r="AZ84" s="189">
        <v>0</v>
      </c>
      <c r="BA84" s="189">
        <v>0.32248129708511647</v>
      </c>
      <c r="BB84" s="188">
        <v>0.3530271253209819</v>
      </c>
      <c r="BC84" s="188"/>
      <c r="BD84" s="189">
        <v>0</v>
      </c>
      <c r="BE84" s="189">
        <v>0</v>
      </c>
      <c r="BF84" s="189">
        <v>0</v>
      </c>
      <c r="BG84" s="189">
        <v>0</v>
      </c>
      <c r="BH84" s="188">
        <v>0</v>
      </c>
    </row>
    <row r="85" spans="1:60" x14ac:dyDescent="0.2">
      <c r="A85" s="91" t="str">
        <f t="shared" si="89"/>
        <v>20-24</v>
      </c>
      <c r="B85" s="189">
        <v>27.162073940488085</v>
      </c>
      <c r="C85" s="189">
        <v>25.818959473458939</v>
      </c>
      <c r="D85" s="189">
        <v>19.430418992506574</v>
      </c>
      <c r="E85" s="189">
        <v>17.065770140454763</v>
      </c>
      <c r="F85" s="188">
        <v>15.339491201948526</v>
      </c>
      <c r="G85" s="188"/>
      <c r="H85" s="189">
        <v>7.738175779416105</v>
      </c>
      <c r="I85" s="189">
        <v>7.3555159173417479</v>
      </c>
      <c r="J85" s="189">
        <v>5.5355294417133862</v>
      </c>
      <c r="K85" s="189">
        <v>4.8618655592881783</v>
      </c>
      <c r="L85" s="188">
        <v>4.370057954996903</v>
      </c>
      <c r="M85" s="188"/>
      <c r="N85" s="189">
        <v>19.423898161071982</v>
      </c>
      <c r="O85" s="189">
        <v>18.463443556117188</v>
      </c>
      <c r="P85" s="189">
        <v>13.894889550793188</v>
      </c>
      <c r="Q85" s="189">
        <v>12.203904581166585</v>
      </c>
      <c r="R85" s="188">
        <v>10.96943324695162</v>
      </c>
      <c r="S85" s="188"/>
      <c r="T85" s="189">
        <v>0</v>
      </c>
      <c r="U85" s="189">
        <v>0</v>
      </c>
      <c r="V85" s="189">
        <v>0</v>
      </c>
      <c r="W85" s="189">
        <v>0</v>
      </c>
      <c r="X85" s="188">
        <v>0</v>
      </c>
      <c r="Y85" s="91" t="str">
        <f t="shared" si="90"/>
        <v>20-24</v>
      </c>
      <c r="Z85" s="189">
        <v>83.029902962100564</v>
      </c>
      <c r="AA85" s="189">
        <v>84.099064086151856</v>
      </c>
      <c r="AB85" s="189">
        <v>75.456016390238844</v>
      </c>
      <c r="AC85" s="189">
        <v>72.409581167242635</v>
      </c>
      <c r="AD85" s="188">
        <v>70.925077672432323</v>
      </c>
      <c r="AE85" s="188"/>
      <c r="AF85" s="189">
        <v>74.996139409236491</v>
      </c>
      <c r="AG85" s="189">
        <v>75.961913287114783</v>
      </c>
      <c r="AH85" s="189">
        <v>68.155149094152151</v>
      </c>
      <c r="AI85" s="189">
        <v>65.403445863093296</v>
      </c>
      <c r="AJ85" s="188">
        <v>64.062544551136526</v>
      </c>
      <c r="AK85" s="188"/>
      <c r="AL85" s="189">
        <v>8.0337635528640625</v>
      </c>
      <c r="AM85" s="189">
        <v>8.1371507990370748</v>
      </c>
      <c r="AN85" s="189">
        <v>7.3008672960866994</v>
      </c>
      <c r="AO85" s="189">
        <v>7.0061353041493399</v>
      </c>
      <c r="AP85" s="188">
        <v>6.8625331212957974</v>
      </c>
      <c r="AQ85" s="91" t="str">
        <f t="shared" si="91"/>
        <v>20-24</v>
      </c>
      <c r="AR85" s="189">
        <v>64.096023097411347</v>
      </c>
      <c r="AS85" s="189">
        <v>59.5749764403892</v>
      </c>
      <c r="AT85" s="189">
        <v>64.928564617254594</v>
      </c>
      <c r="AU85" s="189">
        <v>69.876648692302624</v>
      </c>
      <c r="AV85" s="188">
        <v>76.967431125619157</v>
      </c>
      <c r="AW85" s="188"/>
      <c r="AX85" s="189">
        <v>63.936315058758787</v>
      </c>
      <c r="AY85" s="189">
        <v>59.426553735923072</v>
      </c>
      <c r="AZ85" s="189">
        <v>64.766758302259873</v>
      </c>
      <c r="BA85" s="189">
        <v>69.702519316956455</v>
      </c>
      <c r="BB85" s="188">
        <v>76.775653915926199</v>
      </c>
      <c r="BC85" s="188"/>
      <c r="BD85" s="189">
        <v>0.1597080386525653</v>
      </c>
      <c r="BE85" s="189">
        <v>0.14842270446612335</v>
      </c>
      <c r="BF85" s="189">
        <v>0.16180631499472672</v>
      </c>
      <c r="BG85" s="189">
        <v>0.17412937534616696</v>
      </c>
      <c r="BH85" s="188">
        <v>0.19177720969295214</v>
      </c>
    </row>
    <row r="86" spans="1:60" x14ac:dyDescent="0.2">
      <c r="A86" s="91" t="str">
        <f t="shared" si="89"/>
        <v>25-29</v>
      </c>
      <c r="B86" s="189">
        <v>28.972672566594831</v>
      </c>
      <c r="C86" s="189">
        <v>33.619340539542968</v>
      </c>
      <c r="D86" s="189">
        <v>28.636722146171739</v>
      </c>
      <c r="E86" s="189">
        <v>27.654766165607402</v>
      </c>
      <c r="F86" s="188">
        <v>24.701036177168444</v>
      </c>
      <c r="G86" s="188"/>
      <c r="H86" s="189">
        <v>7.950704122039733</v>
      </c>
      <c r="I86" s="189">
        <v>9.2258401283768823</v>
      </c>
      <c r="J86" s="189">
        <v>7.8585514263485647</v>
      </c>
      <c r="K86" s="189">
        <v>7.589044948115105</v>
      </c>
      <c r="L86" s="188">
        <v>6.778482350960795</v>
      </c>
      <c r="M86" s="188"/>
      <c r="N86" s="189">
        <v>21.021968444555103</v>
      </c>
      <c r="O86" s="189">
        <v>24.393500411166084</v>
      </c>
      <c r="P86" s="189">
        <v>20.778170719823173</v>
      </c>
      <c r="Q86" s="189">
        <v>20.065721217492296</v>
      </c>
      <c r="R86" s="188">
        <v>17.922553826207647</v>
      </c>
      <c r="S86" s="188"/>
      <c r="T86" s="189">
        <v>0</v>
      </c>
      <c r="U86" s="189">
        <v>0</v>
      </c>
      <c r="V86" s="189">
        <v>0</v>
      </c>
      <c r="W86" s="189">
        <v>0</v>
      </c>
      <c r="X86" s="188">
        <v>0</v>
      </c>
      <c r="Y86" s="91" t="str">
        <f t="shared" si="90"/>
        <v>25-29</v>
      </c>
      <c r="Z86" s="189">
        <v>104.35741449365315</v>
      </c>
      <c r="AA86" s="189">
        <v>97.185337610544352</v>
      </c>
      <c r="AB86" s="189">
        <v>95.599811894115447</v>
      </c>
      <c r="AC86" s="189">
        <v>97.118545376405621</v>
      </c>
      <c r="AD86" s="188">
        <v>91.712418531394292</v>
      </c>
      <c r="AE86" s="188"/>
      <c r="AF86" s="189">
        <v>94.421539979508964</v>
      </c>
      <c r="AG86" s="189">
        <v>87.932329636056579</v>
      </c>
      <c r="AH86" s="189">
        <v>86.497719374499709</v>
      </c>
      <c r="AI86" s="189">
        <v>87.87184276496231</v>
      </c>
      <c r="AJ86" s="188">
        <v>82.980425552523215</v>
      </c>
      <c r="AK86" s="188"/>
      <c r="AL86" s="189">
        <v>9.9358745141441993</v>
      </c>
      <c r="AM86" s="189">
        <v>9.2530079744877742</v>
      </c>
      <c r="AN86" s="189">
        <v>9.1020925196157414</v>
      </c>
      <c r="AO86" s="189">
        <v>9.2467026114433057</v>
      </c>
      <c r="AP86" s="188">
        <v>8.7319929788710677</v>
      </c>
      <c r="AQ86" s="91" t="str">
        <f t="shared" si="91"/>
        <v>25-29</v>
      </c>
      <c r="AR86" s="189">
        <v>154.57691293975205</v>
      </c>
      <c r="AS86" s="189">
        <v>158.68732184991271</v>
      </c>
      <c r="AT86" s="189">
        <v>170.7534659597128</v>
      </c>
      <c r="AU86" s="189">
        <v>191.50468845798702</v>
      </c>
      <c r="AV86" s="188">
        <v>199.18454529143727</v>
      </c>
      <c r="AW86" s="188"/>
      <c r="AX86" s="189">
        <v>153.36078875627214</v>
      </c>
      <c r="AY86" s="189">
        <v>157.4389010397588</v>
      </c>
      <c r="AZ86" s="189">
        <v>169.41011412348425</v>
      </c>
      <c r="BA86" s="189">
        <v>189.99801160263456</v>
      </c>
      <c r="BB86" s="188">
        <v>197.61746925057139</v>
      </c>
      <c r="BC86" s="188"/>
      <c r="BD86" s="189">
        <v>1.216124183479921</v>
      </c>
      <c r="BE86" s="189">
        <v>1.2484208101538898</v>
      </c>
      <c r="BF86" s="189">
        <v>1.3433518362285748</v>
      </c>
      <c r="BG86" s="189">
        <v>1.5066768553524434</v>
      </c>
      <c r="BH86" s="188">
        <v>1.5670760408658764</v>
      </c>
    </row>
    <row r="87" spans="1:60" x14ac:dyDescent="0.2">
      <c r="A87" s="91" t="str">
        <f t="shared" si="89"/>
        <v>30-34</v>
      </c>
      <c r="B87" s="189">
        <v>28.548429106302432</v>
      </c>
      <c r="C87" s="189">
        <v>33.358134400600257</v>
      </c>
      <c r="D87" s="189">
        <v>26.133347885177166</v>
      </c>
      <c r="E87" s="189">
        <v>24.365255828037625</v>
      </c>
      <c r="F87" s="188">
        <v>20.217650831183683</v>
      </c>
      <c r="G87" s="188"/>
      <c r="H87" s="189">
        <v>8.8494100941278067</v>
      </c>
      <c r="I87" s="189">
        <v>10.340333649356303</v>
      </c>
      <c r="J87" s="189">
        <v>8.1007469331818331</v>
      </c>
      <c r="K87" s="189">
        <v>7.5527322076666525</v>
      </c>
      <c r="L87" s="188">
        <v>6.2670936294528277</v>
      </c>
      <c r="M87" s="188"/>
      <c r="N87" s="189">
        <v>19.699019012174627</v>
      </c>
      <c r="O87" s="189">
        <v>23.017800751243954</v>
      </c>
      <c r="P87" s="189">
        <v>18.032600951995331</v>
      </c>
      <c r="Q87" s="189">
        <v>16.812523620370971</v>
      </c>
      <c r="R87" s="188">
        <v>13.950557201730856</v>
      </c>
      <c r="S87" s="188"/>
      <c r="T87" s="189">
        <v>0</v>
      </c>
      <c r="U87" s="189">
        <v>0</v>
      </c>
      <c r="V87" s="189">
        <v>0</v>
      </c>
      <c r="W87" s="189">
        <v>0</v>
      </c>
      <c r="X87" s="188">
        <v>0</v>
      </c>
      <c r="Y87" s="91" t="str">
        <f t="shared" si="90"/>
        <v>30-34</v>
      </c>
      <c r="Z87" s="189">
        <v>108.05302506717383</v>
      </c>
      <c r="AA87" s="189">
        <v>98.910651662683122</v>
      </c>
      <c r="AB87" s="189">
        <v>99.823038706554627</v>
      </c>
      <c r="AC87" s="189">
        <v>99.91027324420439</v>
      </c>
      <c r="AD87" s="188">
        <v>100.65577680822747</v>
      </c>
      <c r="AE87" s="188"/>
      <c r="AF87" s="189">
        <v>98.864662354008289</v>
      </c>
      <c r="AG87" s="189">
        <v>90.499770716250708</v>
      </c>
      <c r="AH87" s="189">
        <v>91.334572918369915</v>
      </c>
      <c r="AI87" s="189">
        <v>91.414386042419594</v>
      </c>
      <c r="AJ87" s="188">
        <v>92.096473466363605</v>
      </c>
      <c r="AK87" s="188"/>
      <c r="AL87" s="189">
        <v>9.1883627131655423</v>
      </c>
      <c r="AM87" s="189">
        <v>8.4108809464324228</v>
      </c>
      <c r="AN87" s="189">
        <v>8.4884657881847136</v>
      </c>
      <c r="AO87" s="189">
        <v>8.4958872017847948</v>
      </c>
      <c r="AP87" s="188">
        <v>8.5593033418638793</v>
      </c>
      <c r="AQ87" s="91" t="str">
        <f t="shared" si="91"/>
        <v>30-34</v>
      </c>
      <c r="AR87" s="189">
        <v>154.40154582652374</v>
      </c>
      <c r="AS87" s="189">
        <v>164.11921393671662</v>
      </c>
      <c r="AT87" s="189">
        <v>176.72761340826818</v>
      </c>
      <c r="AU87" s="189">
        <v>194.300470927758</v>
      </c>
      <c r="AV87" s="188">
        <v>216.50257236058886</v>
      </c>
      <c r="AW87" s="188"/>
      <c r="AX87" s="189">
        <v>152.67917871565837</v>
      </c>
      <c r="AY87" s="189">
        <v>162.28847354227025</v>
      </c>
      <c r="AZ87" s="189">
        <v>174.75627406499731</v>
      </c>
      <c r="BA87" s="189">
        <v>192.1331101550017</v>
      </c>
      <c r="BB87" s="188">
        <v>214.08754627952416</v>
      </c>
      <c r="BC87" s="188"/>
      <c r="BD87" s="189">
        <v>1.7223671108653775</v>
      </c>
      <c r="BE87" s="189">
        <v>1.8307403944463407</v>
      </c>
      <c r="BF87" s="189">
        <v>1.9713393432708828</v>
      </c>
      <c r="BG87" s="189">
        <v>2.1673607727562971</v>
      </c>
      <c r="BH87" s="188">
        <v>2.415026081064688</v>
      </c>
    </row>
    <row r="88" spans="1:60" x14ac:dyDescent="0.2">
      <c r="A88" s="91" t="str">
        <f t="shared" si="89"/>
        <v>35-39</v>
      </c>
      <c r="B88" s="189">
        <v>44.016457260235349</v>
      </c>
      <c r="C88" s="189">
        <v>39.976771904202742</v>
      </c>
      <c r="D88" s="189">
        <v>30.464108582682162</v>
      </c>
      <c r="E88" s="189">
        <v>25.442342869618368</v>
      </c>
      <c r="F88" s="188">
        <v>19.313398032930589</v>
      </c>
      <c r="G88" s="188"/>
      <c r="H88" s="189">
        <v>13.170766467977897</v>
      </c>
      <c r="I88" s="189">
        <v>11.962019761666104</v>
      </c>
      <c r="J88" s="189">
        <v>9.1155623116308764</v>
      </c>
      <c r="K88" s="189">
        <v>7.6129848602255867</v>
      </c>
      <c r="L88" s="188">
        <v>5.7790036533667513</v>
      </c>
      <c r="M88" s="188"/>
      <c r="N88" s="189">
        <v>30.845690792257454</v>
      </c>
      <c r="O88" s="189">
        <v>28.014752142536643</v>
      </c>
      <c r="P88" s="189">
        <v>21.348546271051283</v>
      </c>
      <c r="Q88" s="189">
        <v>17.829358009392781</v>
      </c>
      <c r="R88" s="188">
        <v>13.534394379563837</v>
      </c>
      <c r="S88" s="188"/>
      <c r="T88" s="189">
        <v>0</v>
      </c>
      <c r="U88" s="189">
        <v>0</v>
      </c>
      <c r="V88" s="189">
        <v>0</v>
      </c>
      <c r="W88" s="189">
        <v>0</v>
      </c>
      <c r="X88" s="188">
        <v>0</v>
      </c>
      <c r="Y88" s="91" t="str">
        <f t="shared" si="90"/>
        <v>35-39</v>
      </c>
      <c r="Z88" s="189">
        <v>124.3317548459237</v>
      </c>
      <c r="AA88" s="189">
        <v>115.20319439668521</v>
      </c>
      <c r="AB88" s="189">
        <v>103.99848531956397</v>
      </c>
      <c r="AC88" s="189">
        <v>107.78515736503378</v>
      </c>
      <c r="AD88" s="188">
        <v>110.93136167790429</v>
      </c>
      <c r="AE88" s="188"/>
      <c r="AF88" s="189">
        <v>116.17651410584847</v>
      </c>
      <c r="AG88" s="189">
        <v>107.64676072030048</v>
      </c>
      <c r="AH88" s="189">
        <v>97.176962171565435</v>
      </c>
      <c r="AI88" s="189">
        <v>100.71524913353808</v>
      </c>
      <c r="AJ88" s="188">
        <v>103.65514843528025</v>
      </c>
      <c r="AK88" s="188"/>
      <c r="AL88" s="189">
        <v>8.1552407400752234</v>
      </c>
      <c r="AM88" s="189">
        <v>7.5564336763847377</v>
      </c>
      <c r="AN88" s="189">
        <v>6.821523147998537</v>
      </c>
      <c r="AO88" s="189">
        <v>7.06990823149569</v>
      </c>
      <c r="AP88" s="188">
        <v>7.2762132426240571</v>
      </c>
      <c r="AQ88" s="91" t="str">
        <f t="shared" si="91"/>
        <v>35-39</v>
      </c>
      <c r="AR88" s="189">
        <v>141.16078789384099</v>
      </c>
      <c r="AS88" s="189">
        <v>157.71103369911205</v>
      </c>
      <c r="AT88" s="189">
        <v>168.57540609775387</v>
      </c>
      <c r="AU88" s="189">
        <v>191.25249976534786</v>
      </c>
      <c r="AV88" s="188">
        <v>212.66724028916508</v>
      </c>
      <c r="AW88" s="188"/>
      <c r="AX88" s="189">
        <v>139.58664839223439</v>
      </c>
      <c r="AY88" s="189">
        <v>155.9523133601179</v>
      </c>
      <c r="AZ88" s="189">
        <v>166.69556733261371</v>
      </c>
      <c r="BA88" s="189">
        <v>189.11981088672707</v>
      </c>
      <c r="BB88" s="188">
        <v>210.29565301075678</v>
      </c>
      <c r="BC88" s="188"/>
      <c r="BD88" s="189">
        <v>1.5741395016066007</v>
      </c>
      <c r="BE88" s="189">
        <v>1.758720338994133</v>
      </c>
      <c r="BF88" s="189">
        <v>1.8798387651401465</v>
      </c>
      <c r="BG88" s="189">
        <v>2.1326888786208036</v>
      </c>
      <c r="BH88" s="188">
        <v>2.3715872784083478</v>
      </c>
    </row>
    <row r="89" spans="1:60" x14ac:dyDescent="0.2">
      <c r="A89" s="91" t="str">
        <f t="shared" si="89"/>
        <v>40-44</v>
      </c>
      <c r="B89" s="189">
        <v>62.562497845796578</v>
      </c>
      <c r="C89" s="189">
        <v>52.041253862300799</v>
      </c>
      <c r="D89" s="189">
        <v>37.292808343338905</v>
      </c>
      <c r="E89" s="189">
        <v>25.730317953372698</v>
      </c>
      <c r="F89" s="188">
        <v>17.848161884307732</v>
      </c>
      <c r="G89" s="188"/>
      <c r="H89" s="189">
        <v>21.068964130305993</v>
      </c>
      <c r="I89" s="189">
        <v>17.525770127794758</v>
      </c>
      <c r="J89" s="189">
        <v>12.558954308409454</v>
      </c>
      <c r="K89" s="189">
        <v>8.6650962158735219</v>
      </c>
      <c r="L89" s="188">
        <v>6.0106773270790361</v>
      </c>
      <c r="M89" s="188"/>
      <c r="N89" s="189">
        <v>41.493533715490578</v>
      </c>
      <c r="O89" s="189">
        <v>34.515483734506034</v>
      </c>
      <c r="P89" s="189">
        <v>24.73385403492945</v>
      </c>
      <c r="Q89" s="189">
        <v>17.065221737499176</v>
      </c>
      <c r="R89" s="188">
        <v>11.837484557228693</v>
      </c>
      <c r="S89" s="188"/>
      <c r="T89" s="189">
        <v>0</v>
      </c>
      <c r="U89" s="189">
        <v>0</v>
      </c>
      <c r="V89" s="189">
        <v>0</v>
      </c>
      <c r="W89" s="189">
        <v>0</v>
      </c>
      <c r="X89" s="188">
        <v>0</v>
      </c>
      <c r="Y89" s="91" t="str">
        <f t="shared" si="90"/>
        <v>40-44</v>
      </c>
      <c r="Z89" s="189">
        <v>133.43211125882925</v>
      </c>
      <c r="AA89" s="189">
        <v>124.30920077827601</v>
      </c>
      <c r="AB89" s="189">
        <v>114.42328927804037</v>
      </c>
      <c r="AC89" s="189">
        <v>113.59093257500689</v>
      </c>
      <c r="AD89" s="188">
        <v>119.96086291422256</v>
      </c>
      <c r="AE89" s="188"/>
      <c r="AF89" s="189">
        <v>125.56555151187415</v>
      </c>
      <c r="AG89" s="189">
        <v>116.9805269711083</v>
      </c>
      <c r="AH89" s="189">
        <v>107.6774160354275</v>
      </c>
      <c r="AI89" s="189">
        <v>106.89413288813921</v>
      </c>
      <c r="AJ89" s="188">
        <v>112.88853405200165</v>
      </c>
      <c r="AK89" s="188"/>
      <c r="AL89" s="189">
        <v>7.8665597469551063</v>
      </c>
      <c r="AM89" s="189">
        <v>7.3286738071676902</v>
      </c>
      <c r="AN89" s="189">
        <v>6.7458732426128867</v>
      </c>
      <c r="AO89" s="189">
        <v>6.6967996868676751</v>
      </c>
      <c r="AP89" s="188">
        <v>7.0723288622208971</v>
      </c>
      <c r="AQ89" s="91" t="str">
        <f t="shared" si="91"/>
        <v>40-44</v>
      </c>
      <c r="AR89" s="189">
        <v>128.51739089537415</v>
      </c>
      <c r="AS89" s="189">
        <v>144.36154535942319</v>
      </c>
      <c r="AT89" s="189">
        <v>158.66390237862072</v>
      </c>
      <c r="AU89" s="189">
        <v>166.99874947162044</v>
      </c>
      <c r="AV89" s="188">
        <v>185.07097520146974</v>
      </c>
      <c r="AW89" s="188"/>
      <c r="AX89" s="189">
        <v>126.94819387148412</v>
      </c>
      <c r="AY89" s="189">
        <v>142.59892905662338</v>
      </c>
      <c r="AZ89" s="189">
        <v>156.72664379404665</v>
      </c>
      <c r="BA89" s="189">
        <v>164.95975684612029</v>
      </c>
      <c r="BB89" s="188">
        <v>182.81128024141026</v>
      </c>
      <c r="BC89" s="188"/>
      <c r="BD89" s="189">
        <v>1.5691970238900339</v>
      </c>
      <c r="BE89" s="189">
        <v>1.7626163027998376</v>
      </c>
      <c r="BF89" s="189">
        <v>1.937258584574042</v>
      </c>
      <c r="BG89" s="189">
        <v>2.0389926255001587</v>
      </c>
      <c r="BH89" s="188">
        <v>2.2596949600594747</v>
      </c>
    </row>
    <row r="90" spans="1:60" x14ac:dyDescent="0.2">
      <c r="A90" s="91" t="str">
        <f t="shared" si="89"/>
        <v>45-49</v>
      </c>
      <c r="B90" s="189">
        <v>76.803506450596231</v>
      </c>
      <c r="C90" s="189">
        <v>72.369670614720619</v>
      </c>
      <c r="D90" s="189">
        <v>46.757578011014346</v>
      </c>
      <c r="E90" s="189">
        <v>32.914709981477799</v>
      </c>
      <c r="F90" s="188">
        <v>22.643570627464889</v>
      </c>
      <c r="G90" s="188"/>
      <c r="H90" s="189">
        <v>27.94396864638491</v>
      </c>
      <c r="I90" s="189">
        <v>26.330826958934129</v>
      </c>
      <c r="J90" s="189">
        <v>17.012164489510464</v>
      </c>
      <c r="K90" s="189">
        <v>11.975614453855373</v>
      </c>
      <c r="L90" s="188">
        <v>8.2386021908984706</v>
      </c>
      <c r="M90" s="188"/>
      <c r="N90" s="189">
        <v>48.859537804211321</v>
      </c>
      <c r="O90" s="189">
        <v>46.038843655786486</v>
      </c>
      <c r="P90" s="189">
        <v>29.745413521503881</v>
      </c>
      <c r="Q90" s="189">
        <v>20.939095527622428</v>
      </c>
      <c r="R90" s="188">
        <v>14.404968436566421</v>
      </c>
      <c r="S90" s="188"/>
      <c r="T90" s="189">
        <v>0</v>
      </c>
      <c r="U90" s="189">
        <v>0</v>
      </c>
      <c r="V90" s="189">
        <v>0</v>
      </c>
      <c r="W90" s="189">
        <v>0</v>
      </c>
      <c r="X90" s="188">
        <v>0</v>
      </c>
      <c r="Y90" s="91" t="str">
        <f t="shared" si="90"/>
        <v>45-49</v>
      </c>
      <c r="Z90" s="189">
        <v>119.91671183726781</v>
      </c>
      <c r="AA90" s="189">
        <v>117.54013515583459</v>
      </c>
      <c r="AB90" s="189">
        <v>126.00211978783305</v>
      </c>
      <c r="AC90" s="189">
        <v>129.89925725652535</v>
      </c>
      <c r="AD90" s="188">
        <v>132.56976051535059</v>
      </c>
      <c r="AE90" s="188"/>
      <c r="AF90" s="189">
        <v>113.53631898468487</v>
      </c>
      <c r="AG90" s="189">
        <v>111.28619702022586</v>
      </c>
      <c r="AH90" s="189">
        <v>119.29796634507618</v>
      </c>
      <c r="AI90" s="189">
        <v>122.98778022947444</v>
      </c>
      <c r="AJ90" s="188">
        <v>125.51614028502338</v>
      </c>
      <c r="AK90" s="188"/>
      <c r="AL90" s="189">
        <v>6.3803928525829319</v>
      </c>
      <c r="AM90" s="189">
        <v>6.2539381356087462</v>
      </c>
      <c r="AN90" s="189">
        <v>6.7041534427568807</v>
      </c>
      <c r="AO90" s="189">
        <v>6.9114770270509069</v>
      </c>
      <c r="AP90" s="188">
        <v>7.0536202303272111</v>
      </c>
      <c r="AQ90" s="91" t="str">
        <f t="shared" si="91"/>
        <v>45-49</v>
      </c>
      <c r="AR90" s="189">
        <v>113.07878171213598</v>
      </c>
      <c r="AS90" s="189">
        <v>125.98319422944476</v>
      </c>
      <c r="AT90" s="189">
        <v>142.77630220115262</v>
      </c>
      <c r="AU90" s="189">
        <v>151.84003276199684</v>
      </c>
      <c r="AV90" s="188">
        <v>159.15166885718455</v>
      </c>
      <c r="AW90" s="188"/>
      <c r="AX90" s="189">
        <v>111.76159647140302</v>
      </c>
      <c r="AY90" s="189">
        <v>124.51577593370071</v>
      </c>
      <c r="AZ90" s="189">
        <v>141.11320504624786</v>
      </c>
      <c r="BA90" s="189">
        <v>150.07143093938149</v>
      </c>
      <c r="BB90" s="188">
        <v>157.29788066457172</v>
      </c>
      <c r="BC90" s="188"/>
      <c r="BD90" s="189">
        <v>1.3171852407329641</v>
      </c>
      <c r="BE90" s="189">
        <v>1.4674182957440471</v>
      </c>
      <c r="BF90" s="189">
        <v>1.663097154904764</v>
      </c>
      <c r="BG90" s="189">
        <v>1.7686018226153735</v>
      </c>
      <c r="BH90" s="188">
        <v>1.8537881926128472</v>
      </c>
    </row>
    <row r="91" spans="1:60" x14ac:dyDescent="0.2">
      <c r="A91" s="91" t="str">
        <f t="shared" si="89"/>
        <v>50-54</v>
      </c>
      <c r="B91" s="189">
        <v>74.130845817172315</v>
      </c>
      <c r="C91" s="189">
        <v>76.292901659215687</v>
      </c>
      <c r="D91" s="189">
        <v>62.868745854171486</v>
      </c>
      <c r="E91" s="189">
        <v>48.927498060783627</v>
      </c>
      <c r="F91" s="188">
        <v>37.108932956215206</v>
      </c>
      <c r="G91" s="188"/>
      <c r="H91" s="189">
        <v>27.517951911427684</v>
      </c>
      <c r="I91" s="189">
        <v>28.320507284713951</v>
      </c>
      <c r="J91" s="189">
        <v>23.337364458948031</v>
      </c>
      <c r="K91" s="189">
        <v>18.162254416964728</v>
      </c>
      <c r="L91" s="188">
        <v>13.775148267079187</v>
      </c>
      <c r="M91" s="188"/>
      <c r="N91" s="189">
        <v>46.612893905744635</v>
      </c>
      <c r="O91" s="189">
        <v>47.972394374501732</v>
      </c>
      <c r="P91" s="189">
        <v>39.531381395223455</v>
      </c>
      <c r="Q91" s="189">
        <v>30.765243643818895</v>
      </c>
      <c r="R91" s="188">
        <v>23.333784689136024</v>
      </c>
      <c r="S91" s="188"/>
      <c r="T91" s="189">
        <v>0</v>
      </c>
      <c r="U91" s="189">
        <v>0</v>
      </c>
      <c r="V91" s="189">
        <v>0</v>
      </c>
      <c r="W91" s="189">
        <v>0</v>
      </c>
      <c r="X91" s="188">
        <v>0</v>
      </c>
      <c r="Y91" s="91" t="str">
        <f t="shared" si="90"/>
        <v>50-54</v>
      </c>
      <c r="Z91" s="189">
        <v>86.760993384439232</v>
      </c>
      <c r="AA91" s="189">
        <v>96.953240370929649</v>
      </c>
      <c r="AB91" s="189">
        <v>105.73855197584399</v>
      </c>
      <c r="AC91" s="189">
        <v>116.22864044167615</v>
      </c>
      <c r="AD91" s="188">
        <v>126.02469049917889</v>
      </c>
      <c r="AE91" s="188"/>
      <c r="AF91" s="189">
        <v>81.596570349738855</v>
      </c>
      <c r="AG91" s="189">
        <v>91.182181714094824</v>
      </c>
      <c r="AH91" s="189">
        <v>99.444551689154906</v>
      </c>
      <c r="AI91" s="189">
        <v>109.31026683421746</v>
      </c>
      <c r="AJ91" s="188">
        <v>118.52317446256983</v>
      </c>
      <c r="AK91" s="188"/>
      <c r="AL91" s="189">
        <v>5.1644230347003779</v>
      </c>
      <c r="AM91" s="189">
        <v>5.7710586568348159</v>
      </c>
      <c r="AN91" s="189">
        <v>6.2940002866890863</v>
      </c>
      <c r="AO91" s="189">
        <v>6.9183736074586868</v>
      </c>
      <c r="AP91" s="188">
        <v>7.5015160366090656</v>
      </c>
      <c r="AQ91" s="91" t="str">
        <f t="shared" si="91"/>
        <v>50-54</v>
      </c>
      <c r="AR91" s="189">
        <v>76.999160798388473</v>
      </c>
      <c r="AS91" s="189">
        <v>96.560857969854624</v>
      </c>
      <c r="AT91" s="189">
        <v>116.57270216998455</v>
      </c>
      <c r="AU91" s="189">
        <v>128.98986149754023</v>
      </c>
      <c r="AV91" s="188">
        <v>140.9583765446059</v>
      </c>
      <c r="AW91" s="188"/>
      <c r="AX91" s="189">
        <v>76.294968712849709</v>
      </c>
      <c r="AY91" s="189">
        <v>95.677849729956222</v>
      </c>
      <c r="AZ91" s="189">
        <v>115.50670905420014</v>
      </c>
      <c r="BA91" s="189">
        <v>127.81028960948962</v>
      </c>
      <c r="BB91" s="188">
        <v>139.6692906114707</v>
      </c>
      <c r="BC91" s="188"/>
      <c r="BD91" s="189">
        <v>0.70419208553877055</v>
      </c>
      <c r="BE91" s="189">
        <v>0.88300823989842003</v>
      </c>
      <c r="BF91" s="189">
        <v>1.0659931157844085</v>
      </c>
      <c r="BG91" s="189">
        <v>1.1795718880506243</v>
      </c>
      <c r="BH91" s="188">
        <v>1.2890859331351963</v>
      </c>
    </row>
    <row r="92" spans="1:60" x14ac:dyDescent="0.2">
      <c r="A92" s="91" t="str">
        <f t="shared" si="89"/>
        <v>55-59</v>
      </c>
      <c r="B92" s="189">
        <v>50.123111298551322</v>
      </c>
      <c r="C92" s="189">
        <v>49.323988494669976</v>
      </c>
      <c r="D92" s="189">
        <v>54.734368903773372</v>
      </c>
      <c r="E92" s="189">
        <v>46.878192366194043</v>
      </c>
      <c r="F92" s="188">
        <v>36.717928947865651</v>
      </c>
      <c r="G92" s="188"/>
      <c r="H92" s="189">
        <v>20.068212623946785</v>
      </c>
      <c r="I92" s="189">
        <v>19.748271942588062</v>
      </c>
      <c r="J92" s="189">
        <v>21.914478270879478</v>
      </c>
      <c r="K92" s="189">
        <v>18.76897099596793</v>
      </c>
      <c r="L92" s="188">
        <v>14.701046063760439</v>
      </c>
      <c r="M92" s="188"/>
      <c r="N92" s="189">
        <v>30.054898674604537</v>
      </c>
      <c r="O92" s="189">
        <v>29.575716552081918</v>
      </c>
      <c r="P92" s="189">
        <v>32.819890632893888</v>
      </c>
      <c r="Q92" s="189">
        <v>28.109221370226116</v>
      </c>
      <c r="R92" s="188">
        <v>22.016882884105211</v>
      </c>
      <c r="S92" s="188"/>
      <c r="T92" s="189">
        <v>0</v>
      </c>
      <c r="U92" s="189">
        <v>0</v>
      </c>
      <c r="V92" s="189">
        <v>0</v>
      </c>
      <c r="W92" s="189">
        <v>0</v>
      </c>
      <c r="X92" s="188">
        <v>0</v>
      </c>
      <c r="Y92" s="91" t="str">
        <f t="shared" si="90"/>
        <v>55-59</v>
      </c>
      <c r="Z92" s="189">
        <v>50.022718415568512</v>
      </c>
      <c r="AA92" s="189">
        <v>54.941387327680005</v>
      </c>
      <c r="AB92" s="189">
        <v>78.772938863638728</v>
      </c>
      <c r="AC92" s="189">
        <v>94.437586570976393</v>
      </c>
      <c r="AD92" s="188">
        <v>103.91445213238326</v>
      </c>
      <c r="AE92" s="188"/>
      <c r="AF92" s="189">
        <v>46.530169779779939</v>
      </c>
      <c r="AG92" s="189">
        <v>51.105378605023787</v>
      </c>
      <c r="AH92" s="189">
        <v>73.273049746677671</v>
      </c>
      <c r="AI92" s="189">
        <v>87.843993736619538</v>
      </c>
      <c r="AJ92" s="188">
        <v>96.659206845843883</v>
      </c>
      <c r="AK92" s="188"/>
      <c r="AL92" s="189">
        <v>3.4925486357885691</v>
      </c>
      <c r="AM92" s="189">
        <v>3.8360087226562167</v>
      </c>
      <c r="AN92" s="189">
        <v>5.4998891169610493</v>
      </c>
      <c r="AO92" s="189">
        <v>6.5935928343568344</v>
      </c>
      <c r="AP92" s="188">
        <v>7.2552452865393828</v>
      </c>
      <c r="AQ92" s="91" t="str">
        <f t="shared" si="91"/>
        <v>55-59</v>
      </c>
      <c r="AR92" s="189">
        <v>43.944170285880162</v>
      </c>
      <c r="AS92" s="189">
        <v>55.229624177650017</v>
      </c>
      <c r="AT92" s="189">
        <v>80.0286922325879</v>
      </c>
      <c r="AU92" s="189">
        <v>97.06122106282956</v>
      </c>
      <c r="AV92" s="188">
        <v>107.73061891975107</v>
      </c>
      <c r="AW92" s="188"/>
      <c r="AX92" s="189">
        <v>43.298834557519996</v>
      </c>
      <c r="AY92" s="189">
        <v>54.418522326695687</v>
      </c>
      <c r="AZ92" s="189">
        <v>78.853443932668</v>
      </c>
      <c r="BA92" s="189">
        <v>95.635738085376531</v>
      </c>
      <c r="BB92" s="188">
        <v>106.14856157242835</v>
      </c>
      <c r="BC92" s="188"/>
      <c r="BD92" s="189">
        <v>0.64533572836017361</v>
      </c>
      <c r="BE92" s="189">
        <v>0.81110185095432563</v>
      </c>
      <c r="BF92" s="189">
        <v>1.1752482999198919</v>
      </c>
      <c r="BG92" s="189">
        <v>1.4254829774530267</v>
      </c>
      <c r="BH92" s="188">
        <v>1.5820573473227093</v>
      </c>
    </row>
    <row r="93" spans="1:60" x14ac:dyDescent="0.2">
      <c r="A93" s="91" t="str">
        <f t="shared" si="89"/>
        <v>60-64</v>
      </c>
      <c r="B93" s="189">
        <v>13.764231925065078</v>
      </c>
      <c r="C93" s="189">
        <v>18.76836361753071</v>
      </c>
      <c r="D93" s="189">
        <v>18.508542780694757</v>
      </c>
      <c r="E93" s="189">
        <v>17.452835144978611</v>
      </c>
      <c r="F93" s="188">
        <v>14.804084816049919</v>
      </c>
      <c r="G93" s="188"/>
      <c r="H93" s="189">
        <v>6.6702307458031802</v>
      </c>
      <c r="I93" s="189">
        <v>9.0952856087735459</v>
      </c>
      <c r="J93" s="189">
        <v>8.9693500547268563</v>
      </c>
      <c r="K93" s="189">
        <v>8.4577572298816346</v>
      </c>
      <c r="L93" s="188">
        <v>7.1741516654067379</v>
      </c>
      <c r="M93" s="188"/>
      <c r="N93" s="189">
        <v>7.0940011792618973</v>
      </c>
      <c r="O93" s="189">
        <v>9.6730780087571677</v>
      </c>
      <c r="P93" s="189">
        <v>9.5391927259679008</v>
      </c>
      <c r="Q93" s="189">
        <v>8.9950779150969762</v>
      </c>
      <c r="R93" s="188">
        <v>7.62993315064318</v>
      </c>
      <c r="S93" s="188"/>
      <c r="T93" s="189">
        <v>0</v>
      </c>
      <c r="U93" s="189">
        <v>0</v>
      </c>
      <c r="V93" s="189">
        <v>0</v>
      </c>
      <c r="W93" s="189">
        <v>0</v>
      </c>
      <c r="X93" s="188">
        <v>0</v>
      </c>
      <c r="Y93" s="91" t="str">
        <f t="shared" si="90"/>
        <v>60-64</v>
      </c>
      <c r="Z93" s="189">
        <v>12.31020529409596</v>
      </c>
      <c r="AA93" s="189">
        <v>14.261344557443534</v>
      </c>
      <c r="AB93" s="189">
        <v>21.71515850756559</v>
      </c>
      <c r="AC93" s="189">
        <v>28.490108641285989</v>
      </c>
      <c r="AD93" s="188">
        <v>34.561262922202097</v>
      </c>
      <c r="AE93" s="188"/>
      <c r="AF93" s="189">
        <v>11.043928783107889</v>
      </c>
      <c r="AG93" s="189">
        <v>12.794409216272046</v>
      </c>
      <c r="AH93" s="189">
        <v>19.481518497742734</v>
      </c>
      <c r="AI93" s="189">
        <v>25.559606891725771</v>
      </c>
      <c r="AJ93" s="188">
        <v>31.006230901067084</v>
      </c>
      <c r="AK93" s="188"/>
      <c r="AL93" s="189">
        <v>1.2662765109880707</v>
      </c>
      <c r="AM93" s="189">
        <v>1.4669353411714883</v>
      </c>
      <c r="AN93" s="189">
        <v>2.233640009822857</v>
      </c>
      <c r="AO93" s="189">
        <v>2.9305017495602126</v>
      </c>
      <c r="AP93" s="188">
        <v>3.5550320211350139</v>
      </c>
      <c r="AQ93" s="91" t="str">
        <f t="shared" si="91"/>
        <v>60-64</v>
      </c>
      <c r="AR93" s="189">
        <v>10.014562780838963</v>
      </c>
      <c r="AS93" s="189">
        <v>15.861291825025759</v>
      </c>
      <c r="AT93" s="189">
        <v>24.782298711739656</v>
      </c>
      <c r="AU93" s="189">
        <v>32.955056213735411</v>
      </c>
      <c r="AV93" s="188">
        <v>41.965652261747991</v>
      </c>
      <c r="AW93" s="188"/>
      <c r="AX93" s="189">
        <v>9.3191096537115143</v>
      </c>
      <c r="AY93" s="189">
        <v>14.759802271763046</v>
      </c>
      <c r="AZ93" s="189">
        <v>23.061241083126763</v>
      </c>
      <c r="BA93" s="189">
        <v>30.666373272484456</v>
      </c>
      <c r="BB93" s="188">
        <v>39.05130130334193</v>
      </c>
      <c r="BC93" s="188"/>
      <c r="BD93" s="189">
        <v>0.69545312712745089</v>
      </c>
      <c r="BE93" s="189">
        <v>1.1014895532627123</v>
      </c>
      <c r="BF93" s="189">
        <v>1.721057628612892</v>
      </c>
      <c r="BG93" s="189">
        <v>2.2886829412509542</v>
      </c>
      <c r="BH93" s="188">
        <v>2.9143509584060596</v>
      </c>
    </row>
    <row r="94" spans="1:60" x14ac:dyDescent="0.2">
      <c r="A94" s="92" t="str">
        <f t="shared" si="89"/>
        <v>65+</v>
      </c>
      <c r="B94" s="189">
        <v>5.0275971766300218</v>
      </c>
      <c r="C94" s="189">
        <v>5.0571710967350976</v>
      </c>
      <c r="D94" s="189">
        <v>5.0002589845625298</v>
      </c>
      <c r="E94" s="189">
        <v>3.9459227571467377</v>
      </c>
      <c r="F94" s="188">
        <v>3.6918171007746805</v>
      </c>
      <c r="G94" s="190"/>
      <c r="H94" s="189">
        <v>2.987417610658246</v>
      </c>
      <c r="I94" s="189">
        <v>3.0049961668141885</v>
      </c>
      <c r="J94" s="189">
        <v>2.9711593642715379</v>
      </c>
      <c r="K94" s="189">
        <v>2.3446844102127109</v>
      </c>
      <c r="L94" s="188">
        <v>2.1936853336258615</v>
      </c>
      <c r="M94" s="190"/>
      <c r="N94" s="189">
        <v>2.0401795659717767</v>
      </c>
      <c r="O94" s="189">
        <v>2.0521749299209091</v>
      </c>
      <c r="P94" s="189">
        <v>2.0290996202909919</v>
      </c>
      <c r="Q94" s="189">
        <v>1.6012383469340266</v>
      </c>
      <c r="R94" s="188">
        <v>1.4981317671488188</v>
      </c>
      <c r="S94" s="190"/>
      <c r="T94" s="190">
        <v>0</v>
      </c>
      <c r="U94" s="190">
        <v>0</v>
      </c>
      <c r="V94" s="190">
        <v>0</v>
      </c>
      <c r="W94" s="190">
        <v>0</v>
      </c>
      <c r="X94" s="190">
        <v>0</v>
      </c>
      <c r="Y94" s="92" t="str">
        <f t="shared" si="90"/>
        <v>65+</v>
      </c>
      <c r="Z94" s="189">
        <v>2.7461652297525743</v>
      </c>
      <c r="AA94" s="189">
        <v>4.055911790969331</v>
      </c>
      <c r="AB94" s="189">
        <v>3.5612495126359529</v>
      </c>
      <c r="AC94" s="189">
        <v>3.9532933888693056</v>
      </c>
      <c r="AD94" s="188">
        <v>5.2021489926704287</v>
      </c>
      <c r="AE94" s="190"/>
      <c r="AF94" s="189">
        <v>2.4974123148764233</v>
      </c>
      <c r="AG94" s="189">
        <v>3.6885697608652581</v>
      </c>
      <c r="AH94" s="189">
        <v>3.2387036749219651</v>
      </c>
      <c r="AI94" s="189">
        <v>3.5952382484733798</v>
      </c>
      <c r="AJ94" s="188">
        <v>4.7309759551497086</v>
      </c>
      <c r="AK94" s="190"/>
      <c r="AL94" s="189">
        <v>0.24875291487615106</v>
      </c>
      <c r="AM94" s="189">
        <v>0.3673420301040734</v>
      </c>
      <c r="AN94" s="189">
        <v>0.32254583771398837</v>
      </c>
      <c r="AO94" s="189">
        <v>0.35805514039592606</v>
      </c>
      <c r="AP94" s="188">
        <v>0.47117303752072126</v>
      </c>
      <c r="AQ94" s="92" t="str">
        <f t="shared" si="91"/>
        <v>65+</v>
      </c>
      <c r="AR94" s="189">
        <v>2.4962375936174048</v>
      </c>
      <c r="AS94" s="189">
        <v>4.1209171122955697</v>
      </c>
      <c r="AT94" s="189">
        <v>4.3774915028015169</v>
      </c>
      <c r="AU94" s="189">
        <v>5.7297838539839567</v>
      </c>
      <c r="AV94" s="188">
        <v>8.4160339065548904</v>
      </c>
      <c r="AW94" s="190"/>
      <c r="AX94" s="189">
        <v>2.4393838610275034</v>
      </c>
      <c r="AY94" s="189">
        <v>4.0270912403022177</v>
      </c>
      <c r="AZ94" s="189">
        <v>4.2777979690182679</v>
      </c>
      <c r="BA94" s="189">
        <v>5.5993484434809799</v>
      </c>
      <c r="BB94" s="188">
        <v>8.2244038402405248</v>
      </c>
      <c r="BC94" s="190"/>
      <c r="BD94" s="189">
        <v>5.6853732589901257E-2</v>
      </c>
      <c r="BE94" s="189">
        <v>9.3825871993351684E-2</v>
      </c>
      <c r="BF94" s="189">
        <v>9.9693533783248439E-2</v>
      </c>
      <c r="BG94" s="189">
        <v>0.13043541050297702</v>
      </c>
      <c r="BH94" s="188">
        <v>0.19163006631436572</v>
      </c>
    </row>
    <row r="95" spans="1:60" x14ac:dyDescent="0.2">
      <c r="A95" s="96"/>
      <c r="B95" s="191"/>
      <c r="C95" s="191"/>
      <c r="D95" s="191"/>
      <c r="E95" s="191"/>
      <c r="F95" s="191"/>
      <c r="G95" s="191"/>
      <c r="H95" s="191"/>
      <c r="I95" s="191"/>
      <c r="J95" s="191"/>
      <c r="K95" s="191"/>
      <c r="L95" s="191"/>
      <c r="M95" s="191"/>
      <c r="N95" s="191"/>
      <c r="O95" s="191"/>
      <c r="P95" s="191"/>
      <c r="Q95" s="191"/>
      <c r="R95" s="191"/>
      <c r="S95" s="191"/>
      <c r="Y95" s="96"/>
      <c r="Z95" s="191"/>
      <c r="AA95" s="191"/>
      <c r="AB95" s="191"/>
      <c r="AC95" s="191"/>
      <c r="AD95" s="191"/>
      <c r="AE95" s="191"/>
      <c r="AF95" s="191"/>
      <c r="AG95" s="191"/>
      <c r="AH95" s="191"/>
      <c r="AI95" s="191"/>
      <c r="AJ95" s="191"/>
      <c r="AK95" s="191"/>
      <c r="AL95" s="191"/>
      <c r="AM95" s="191"/>
      <c r="AN95" s="191"/>
      <c r="AO95" s="191"/>
      <c r="AP95" s="191"/>
      <c r="AQ95" s="96"/>
      <c r="AR95" s="191"/>
      <c r="AS95" s="191"/>
      <c r="AT95" s="191"/>
      <c r="AU95" s="191"/>
      <c r="AV95" s="191"/>
      <c r="AW95" s="191"/>
      <c r="AX95" s="191"/>
      <c r="AY95" s="191"/>
      <c r="AZ95" s="191"/>
      <c r="BA95" s="191"/>
      <c r="BB95" s="191"/>
      <c r="BC95" s="191"/>
      <c r="BD95" s="191"/>
      <c r="BE95" s="191"/>
      <c r="BF95" s="191"/>
      <c r="BG95" s="191"/>
      <c r="BH95" s="191"/>
    </row>
    <row r="97" spans="1:1" x14ac:dyDescent="0.2">
      <c r="A97" s="91" t="s">
        <v>112</v>
      </c>
    </row>
  </sheetData>
  <mergeCells count="8">
    <mergeCell ref="BD3:BH3"/>
    <mergeCell ref="W50:X50"/>
    <mergeCell ref="T51:X51"/>
    <mergeCell ref="W2:X2"/>
    <mergeCell ref="T3:X3"/>
    <mergeCell ref="Z3:AD3"/>
    <mergeCell ref="AL3:AP3"/>
    <mergeCell ref="AR3:AV3"/>
  </mergeCells>
  <pageMargins left="0.35433070866141736" right="0.35433070866141736" top="0.74803149606299213" bottom="0.74803149606299213" header="0.31496062992125984" footer="0.31496062992125984"/>
  <pageSetup paperSize="9" scale="75" pageOrder="overThenDown" orientation="landscape" r:id="rId1"/>
  <rowBreaks count="1" manualBreakCount="1">
    <brk id="48" max="16383" man="1"/>
  </rowBreaks>
  <colBreaks count="2" manualBreakCount="2">
    <brk id="24" max="1048575" man="1"/>
    <brk id="42" max="1048575" man="1"/>
  </colBreaks>
</worksheet>
</file>

<file path=xl/worksheets/sheet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400-000000000000}">
  <sheetPr codeName="Sheet2"/>
  <dimension ref="A1:L143"/>
  <sheetViews>
    <sheetView zoomScale="85" zoomScaleNormal="85" workbookViewId="0">
      <pane ySplit="2" topLeftCell="A3" activePane="bottomLeft" state="frozen"/>
      <selection pane="bottomLeft"/>
    </sheetView>
  </sheetViews>
  <sheetFormatPr defaultRowHeight="12.75" x14ac:dyDescent="0.2"/>
  <cols>
    <col min="1" max="3" width="26.7109375" customWidth="1"/>
    <col min="4" max="4" width="46.5703125" customWidth="1"/>
    <col min="5" max="5" width="36.28515625" customWidth="1"/>
    <col min="6" max="7" width="34.7109375" customWidth="1"/>
    <col min="8" max="8" width="6.140625" customWidth="1"/>
    <col min="9" max="9" width="20.28515625" customWidth="1"/>
    <col min="10" max="10" width="4.85546875" customWidth="1"/>
    <col min="11" max="11" width="24.7109375" customWidth="1"/>
    <col min="12" max="12" width="9.140625" customWidth="1"/>
  </cols>
  <sheetData>
    <row r="1" spans="1:12" x14ac:dyDescent="0.2">
      <c r="A1" s="228" t="s">
        <v>252</v>
      </c>
      <c r="B1" s="228" t="s">
        <v>312</v>
      </c>
      <c r="C1" s="228" t="s">
        <v>4</v>
      </c>
      <c r="D1" s="228" t="s">
        <v>496</v>
      </c>
      <c r="E1" s="228" t="s">
        <v>326</v>
      </c>
      <c r="F1" s="230" t="s">
        <v>332</v>
      </c>
      <c r="G1" s="230" t="s">
        <v>351</v>
      </c>
      <c r="H1" s="230" t="s">
        <v>334</v>
      </c>
      <c r="I1" s="230"/>
      <c r="J1" s="230" t="s">
        <v>335</v>
      </c>
      <c r="K1" s="126"/>
      <c r="L1" s="1"/>
    </row>
    <row r="2" spans="1:12" s="13" customFormat="1" x14ac:dyDescent="0.2">
      <c r="A2" s="229" t="s">
        <v>353</v>
      </c>
      <c r="B2" s="229" t="s">
        <v>349</v>
      </c>
      <c r="C2" s="229" t="s">
        <v>350</v>
      </c>
      <c r="D2" s="126" t="s">
        <v>325</v>
      </c>
      <c r="E2" s="126" t="s">
        <v>327</v>
      </c>
      <c r="F2" s="229" t="s">
        <v>41</v>
      </c>
      <c r="G2" s="229" t="s">
        <v>352</v>
      </c>
      <c r="H2" s="126" t="s">
        <v>336</v>
      </c>
      <c r="I2" s="126" t="s">
        <v>106</v>
      </c>
      <c r="J2" s="126" t="s">
        <v>337</v>
      </c>
      <c r="K2" s="126" t="s">
        <v>338</v>
      </c>
      <c r="L2" s="83"/>
    </row>
    <row r="3" spans="1:12" x14ac:dyDescent="0.2">
      <c r="A3" s="10" t="s">
        <v>0</v>
      </c>
      <c r="B3" s="126" t="s">
        <v>0</v>
      </c>
      <c r="C3" s="10" t="s">
        <v>0</v>
      </c>
      <c r="D3" s="126" t="s">
        <v>10</v>
      </c>
      <c r="E3" s="126" t="s">
        <v>10</v>
      </c>
      <c r="F3" s="126" t="s">
        <v>40</v>
      </c>
      <c r="G3" s="126" t="s">
        <v>40</v>
      </c>
      <c r="H3" s="126" t="s">
        <v>339</v>
      </c>
      <c r="I3" s="126" t="s">
        <v>104</v>
      </c>
      <c r="J3" s="126" t="s">
        <v>340</v>
      </c>
      <c r="K3" s="126" t="s">
        <v>341</v>
      </c>
    </row>
    <row r="4" spans="1:12" x14ac:dyDescent="0.2">
      <c r="A4" s="10" t="s">
        <v>86</v>
      </c>
      <c r="B4" s="126" t="s">
        <v>313</v>
      </c>
      <c r="C4" s="10" t="s">
        <v>249</v>
      </c>
      <c r="D4" s="126" t="s">
        <v>470</v>
      </c>
      <c r="E4" s="126" t="s">
        <v>328</v>
      </c>
      <c r="F4" s="126" t="s">
        <v>442</v>
      </c>
      <c r="G4" s="126" t="s">
        <v>443</v>
      </c>
      <c r="H4" s="126" t="s">
        <v>342</v>
      </c>
      <c r="I4" s="126" t="s">
        <v>105</v>
      </c>
      <c r="J4" s="126" t="s">
        <v>343</v>
      </c>
      <c r="K4" s="126" t="s">
        <v>344</v>
      </c>
    </row>
    <row r="5" spans="1:12" x14ac:dyDescent="0.2">
      <c r="A5" s="10" t="s">
        <v>253</v>
      </c>
      <c r="B5" s="126" t="s">
        <v>87</v>
      </c>
      <c r="C5" s="10" t="s">
        <v>8</v>
      </c>
      <c r="D5" s="126" t="s">
        <v>471</v>
      </c>
      <c r="E5" s="126" t="s">
        <v>329</v>
      </c>
      <c r="F5" s="126" t="s">
        <v>444</v>
      </c>
      <c r="G5" s="126" t="s">
        <v>445</v>
      </c>
      <c r="H5" s="126"/>
      <c r="I5" s="126"/>
      <c r="J5" s="126" t="s">
        <v>345</v>
      </c>
      <c r="K5" s="126" t="s">
        <v>346</v>
      </c>
    </row>
    <row r="6" spans="1:12" x14ac:dyDescent="0.2">
      <c r="A6" s="10" t="s">
        <v>254</v>
      </c>
      <c r="B6" s="126" t="s">
        <v>314</v>
      </c>
      <c r="C6" s="10" t="s">
        <v>2</v>
      </c>
      <c r="D6" s="126" t="s">
        <v>472</v>
      </c>
      <c r="E6" s="126" t="s">
        <v>497</v>
      </c>
      <c r="F6" s="126" t="s">
        <v>446</v>
      </c>
      <c r="G6" s="126" t="s">
        <v>447</v>
      </c>
      <c r="H6" s="126"/>
      <c r="I6" s="126"/>
      <c r="J6" s="126" t="s">
        <v>347</v>
      </c>
      <c r="K6" s="126" t="s">
        <v>348</v>
      </c>
    </row>
    <row r="7" spans="1:12" x14ac:dyDescent="0.2">
      <c r="A7" s="10" t="s">
        <v>255</v>
      </c>
      <c r="B7" s="126" t="s">
        <v>5</v>
      </c>
      <c r="C7" s="10" t="s">
        <v>250</v>
      </c>
      <c r="D7" s="126" t="s">
        <v>473</v>
      </c>
      <c r="E7" s="126" t="s">
        <v>498</v>
      </c>
      <c r="F7" s="126" t="s">
        <v>448</v>
      </c>
      <c r="G7" s="126" t="s">
        <v>449</v>
      </c>
    </row>
    <row r="8" spans="1:12" x14ac:dyDescent="0.2">
      <c r="A8" s="10" t="s">
        <v>256</v>
      </c>
      <c r="B8" s="126" t="s">
        <v>6</v>
      </c>
      <c r="C8" s="10" t="s">
        <v>251</v>
      </c>
      <c r="D8" s="126" t="s">
        <v>474</v>
      </c>
      <c r="E8" s="126" t="s">
        <v>330</v>
      </c>
      <c r="F8" s="126" t="s">
        <v>450</v>
      </c>
      <c r="G8" s="126" t="s">
        <v>451</v>
      </c>
    </row>
    <row r="9" spans="1:12" x14ac:dyDescent="0.2">
      <c r="A9" s="10" t="s">
        <v>257</v>
      </c>
      <c r="B9" s="126" t="s">
        <v>315</v>
      </c>
      <c r="C9" s="10" t="s">
        <v>452</v>
      </c>
      <c r="D9" s="126" t="s">
        <v>475</v>
      </c>
      <c r="E9" s="126" t="s">
        <v>499</v>
      </c>
      <c r="F9" s="126" t="s">
        <v>447</v>
      </c>
      <c r="G9" s="126" t="s">
        <v>333</v>
      </c>
    </row>
    <row r="10" spans="1:12" x14ac:dyDescent="0.2">
      <c r="A10" s="10" t="s">
        <v>258</v>
      </c>
      <c r="B10" s="126" t="s">
        <v>316</v>
      </c>
      <c r="C10" t="s">
        <v>11</v>
      </c>
      <c r="D10" s="126" t="s">
        <v>476</v>
      </c>
      <c r="E10" s="126" t="s">
        <v>500</v>
      </c>
      <c r="F10" s="126" t="s">
        <v>449</v>
      </c>
      <c r="G10" s="126"/>
    </row>
    <row r="11" spans="1:12" x14ac:dyDescent="0.2">
      <c r="A11" s="10" t="s">
        <v>259</v>
      </c>
      <c r="B11" s="126" t="s">
        <v>2</v>
      </c>
      <c r="C11" t="s">
        <v>11</v>
      </c>
      <c r="D11" s="126" t="s">
        <v>477</v>
      </c>
      <c r="E11" s="126" t="s">
        <v>331</v>
      </c>
      <c r="F11" s="126" t="s">
        <v>451</v>
      </c>
      <c r="G11" s="126"/>
      <c r="I11" s="83"/>
    </row>
    <row r="12" spans="1:12" x14ac:dyDescent="0.2">
      <c r="A12" s="10" t="s">
        <v>260</v>
      </c>
      <c r="B12" s="126" t="s">
        <v>89</v>
      </c>
      <c r="C12" t="s">
        <v>11</v>
      </c>
      <c r="D12" s="126" t="s">
        <v>478</v>
      </c>
      <c r="E12" s="126" t="s">
        <v>9</v>
      </c>
      <c r="F12" s="126" t="s">
        <v>333</v>
      </c>
      <c r="G12" s="126"/>
    </row>
    <row r="13" spans="1:12" x14ac:dyDescent="0.2">
      <c r="A13" s="10" t="s">
        <v>261</v>
      </c>
      <c r="B13" s="126" t="s">
        <v>317</v>
      </c>
      <c r="C13" t="s">
        <v>11</v>
      </c>
      <c r="D13" s="126" t="s">
        <v>479</v>
      </c>
    </row>
    <row r="14" spans="1:12" x14ac:dyDescent="0.2">
      <c r="A14" s="10" t="s">
        <v>1</v>
      </c>
      <c r="B14" s="126" t="s">
        <v>318</v>
      </c>
      <c r="C14" t="s">
        <v>11</v>
      </c>
      <c r="D14" s="126" t="s">
        <v>480</v>
      </c>
      <c r="E14" t="s">
        <v>11</v>
      </c>
    </row>
    <row r="15" spans="1:12" x14ac:dyDescent="0.2">
      <c r="A15" s="10" t="s">
        <v>262</v>
      </c>
      <c r="B15" s="126" t="s">
        <v>90</v>
      </c>
      <c r="C15" t="s">
        <v>11</v>
      </c>
      <c r="D15" s="126" t="s">
        <v>481</v>
      </c>
      <c r="E15" t="s">
        <v>11</v>
      </c>
      <c r="I15" s="83"/>
    </row>
    <row r="16" spans="1:12" x14ac:dyDescent="0.2">
      <c r="A16" s="10" t="s">
        <v>263</v>
      </c>
      <c r="B16" s="126" t="s">
        <v>319</v>
      </c>
      <c r="C16" t="s">
        <v>11</v>
      </c>
      <c r="D16" s="126" t="s">
        <v>482</v>
      </c>
      <c r="E16" t="s">
        <v>11</v>
      </c>
    </row>
    <row r="17" spans="1:9" x14ac:dyDescent="0.2">
      <c r="A17" s="10" t="s">
        <v>264</v>
      </c>
      <c r="B17" s="126" t="s">
        <v>320</v>
      </c>
      <c r="C17" t="s">
        <v>11</v>
      </c>
      <c r="D17" s="126" t="s">
        <v>483</v>
      </c>
      <c r="E17" t="s">
        <v>11</v>
      </c>
      <c r="I17" s="83"/>
    </row>
    <row r="18" spans="1:9" x14ac:dyDescent="0.2">
      <c r="A18" s="10" t="s">
        <v>265</v>
      </c>
      <c r="B18" s="126" t="s">
        <v>290</v>
      </c>
      <c r="C18" t="s">
        <v>11</v>
      </c>
      <c r="D18" s="126" t="s">
        <v>484</v>
      </c>
      <c r="E18" t="s">
        <v>11</v>
      </c>
    </row>
    <row r="19" spans="1:9" x14ac:dyDescent="0.2">
      <c r="A19" s="10" t="s">
        <v>266</v>
      </c>
      <c r="B19" s="126" t="s">
        <v>321</v>
      </c>
      <c r="C19" t="s">
        <v>11</v>
      </c>
      <c r="D19" s="126" t="s">
        <v>485</v>
      </c>
      <c r="E19" t="s">
        <v>11</v>
      </c>
    </row>
    <row r="20" spans="1:9" x14ac:dyDescent="0.2">
      <c r="A20" s="10" t="s">
        <v>88</v>
      </c>
      <c r="B20" s="126" t="s">
        <v>322</v>
      </c>
      <c r="C20" t="s">
        <v>11</v>
      </c>
      <c r="D20" s="126" t="s">
        <v>486</v>
      </c>
      <c r="E20" t="s">
        <v>11</v>
      </c>
    </row>
    <row r="21" spans="1:9" x14ac:dyDescent="0.2">
      <c r="A21" s="10" t="s">
        <v>267</v>
      </c>
      <c r="B21" s="126" t="s">
        <v>323</v>
      </c>
      <c r="C21" t="s">
        <v>11</v>
      </c>
      <c r="D21" s="126" t="s">
        <v>487</v>
      </c>
    </row>
    <row r="22" spans="1:9" x14ac:dyDescent="0.2">
      <c r="A22" s="10" t="s">
        <v>268</v>
      </c>
      <c r="B22" s="126" t="s">
        <v>3</v>
      </c>
      <c r="C22" t="s">
        <v>11</v>
      </c>
      <c r="D22" s="126" t="s">
        <v>488</v>
      </c>
      <c r="E22" t="s">
        <v>11</v>
      </c>
      <c r="I22" s="83"/>
    </row>
    <row r="23" spans="1:9" x14ac:dyDescent="0.2">
      <c r="A23" s="10" t="s">
        <v>269</v>
      </c>
      <c r="B23" s="126" t="s">
        <v>7</v>
      </c>
      <c r="C23" t="s">
        <v>11</v>
      </c>
      <c r="D23" s="126" t="s">
        <v>489</v>
      </c>
      <c r="E23" t="s">
        <v>11</v>
      </c>
    </row>
    <row r="24" spans="1:9" x14ac:dyDescent="0.2">
      <c r="A24" s="10" t="s">
        <v>270</v>
      </c>
      <c r="B24" s="126" t="s">
        <v>93</v>
      </c>
      <c r="C24" t="s">
        <v>11</v>
      </c>
      <c r="D24" s="126" t="s">
        <v>490</v>
      </c>
      <c r="E24" t="s">
        <v>11</v>
      </c>
    </row>
    <row r="25" spans="1:9" x14ac:dyDescent="0.2">
      <c r="A25" s="10" t="s">
        <v>134</v>
      </c>
      <c r="B25" s="126" t="s">
        <v>324</v>
      </c>
      <c r="C25" t="s">
        <v>11</v>
      </c>
      <c r="D25" s="126" t="s">
        <v>491</v>
      </c>
      <c r="E25" t="s">
        <v>11</v>
      </c>
    </row>
    <row r="26" spans="1:9" x14ac:dyDescent="0.2">
      <c r="A26" s="10" t="s">
        <v>271</v>
      </c>
      <c r="C26" t="s">
        <v>11</v>
      </c>
      <c r="D26" s="126" t="s">
        <v>492</v>
      </c>
      <c r="E26" t="s">
        <v>11</v>
      </c>
      <c r="I26" s="83"/>
    </row>
    <row r="27" spans="1:9" x14ac:dyDescent="0.2">
      <c r="A27" s="10" t="s">
        <v>272</v>
      </c>
      <c r="C27" t="s">
        <v>11</v>
      </c>
      <c r="D27" s="126" t="s">
        <v>493</v>
      </c>
      <c r="E27" t="s">
        <v>11</v>
      </c>
    </row>
    <row r="28" spans="1:9" x14ac:dyDescent="0.2">
      <c r="A28" s="10" t="s">
        <v>273</v>
      </c>
      <c r="C28" t="s">
        <v>11</v>
      </c>
      <c r="D28" s="126" t="s">
        <v>494</v>
      </c>
      <c r="E28" t="s">
        <v>11</v>
      </c>
    </row>
    <row r="29" spans="1:9" x14ac:dyDescent="0.2">
      <c r="A29" s="10" t="s">
        <v>135</v>
      </c>
      <c r="C29" t="s">
        <v>11</v>
      </c>
      <c r="D29" t="s">
        <v>495</v>
      </c>
      <c r="E29" t="s">
        <v>11</v>
      </c>
    </row>
    <row r="30" spans="1:9" x14ac:dyDescent="0.2">
      <c r="A30" s="10" t="s">
        <v>274</v>
      </c>
      <c r="C30" t="s">
        <v>11</v>
      </c>
      <c r="E30" t="s">
        <v>11</v>
      </c>
    </row>
    <row r="31" spans="1:9" x14ac:dyDescent="0.2">
      <c r="A31" s="10" t="s">
        <v>2</v>
      </c>
      <c r="C31" t="s">
        <v>11</v>
      </c>
      <c r="D31" t="s">
        <v>11</v>
      </c>
      <c r="E31" t="s">
        <v>11</v>
      </c>
    </row>
    <row r="32" spans="1:9" x14ac:dyDescent="0.2">
      <c r="A32" s="10" t="s">
        <v>136</v>
      </c>
      <c r="C32" t="s">
        <v>11</v>
      </c>
      <c r="D32" t="s">
        <v>11</v>
      </c>
      <c r="E32" t="s">
        <v>11</v>
      </c>
      <c r="I32" s="83"/>
    </row>
    <row r="33" spans="1:9" x14ac:dyDescent="0.2">
      <c r="A33" s="10" t="s">
        <v>275</v>
      </c>
      <c r="C33" t="s">
        <v>11</v>
      </c>
      <c r="D33" t="s">
        <v>11</v>
      </c>
      <c r="E33" t="s">
        <v>11</v>
      </c>
    </row>
    <row r="34" spans="1:9" x14ac:dyDescent="0.2">
      <c r="A34" s="10" t="s">
        <v>276</v>
      </c>
      <c r="C34" t="s">
        <v>11</v>
      </c>
      <c r="D34" t="s">
        <v>11</v>
      </c>
      <c r="E34" t="s">
        <v>11</v>
      </c>
    </row>
    <row r="35" spans="1:9" x14ac:dyDescent="0.2">
      <c r="A35" s="10" t="s">
        <v>277</v>
      </c>
      <c r="C35" t="s">
        <v>11</v>
      </c>
      <c r="D35" t="s">
        <v>11</v>
      </c>
      <c r="E35" t="s">
        <v>11</v>
      </c>
    </row>
    <row r="36" spans="1:9" x14ac:dyDescent="0.2">
      <c r="A36" s="10" t="s">
        <v>278</v>
      </c>
      <c r="C36" t="s">
        <v>11</v>
      </c>
      <c r="D36" t="s">
        <v>11</v>
      </c>
      <c r="E36" t="s">
        <v>11</v>
      </c>
    </row>
    <row r="37" spans="1:9" x14ac:dyDescent="0.2">
      <c r="A37" s="10" t="s">
        <v>279</v>
      </c>
      <c r="C37" t="s">
        <v>11</v>
      </c>
      <c r="D37" t="s">
        <v>11</v>
      </c>
      <c r="E37" t="s">
        <v>11</v>
      </c>
    </row>
    <row r="38" spans="1:9" x14ac:dyDescent="0.2">
      <c r="A38" s="10" t="s">
        <v>137</v>
      </c>
      <c r="C38" t="s">
        <v>11</v>
      </c>
      <c r="D38" t="s">
        <v>11</v>
      </c>
      <c r="E38" t="s">
        <v>11</v>
      </c>
    </row>
    <row r="39" spans="1:9" x14ac:dyDescent="0.2">
      <c r="A39" s="10" t="s">
        <v>138</v>
      </c>
      <c r="C39" t="s">
        <v>11</v>
      </c>
      <c r="D39" t="s">
        <v>11</v>
      </c>
      <c r="E39" t="s">
        <v>11</v>
      </c>
      <c r="I39" s="124"/>
    </row>
    <row r="40" spans="1:9" x14ac:dyDescent="0.2">
      <c r="A40" s="10" t="s">
        <v>280</v>
      </c>
      <c r="C40" t="s">
        <v>11</v>
      </c>
      <c r="D40" t="s">
        <v>11</v>
      </c>
      <c r="E40" t="s">
        <v>11</v>
      </c>
      <c r="I40" s="83"/>
    </row>
    <row r="41" spans="1:9" x14ac:dyDescent="0.2">
      <c r="A41" s="10" t="s">
        <v>281</v>
      </c>
      <c r="C41" t="s">
        <v>11</v>
      </c>
      <c r="D41" t="s">
        <v>11</v>
      </c>
      <c r="E41" t="s">
        <v>11</v>
      </c>
    </row>
    <row r="42" spans="1:9" x14ac:dyDescent="0.2">
      <c r="A42" s="10" t="s">
        <v>139</v>
      </c>
      <c r="C42" t="s">
        <v>11</v>
      </c>
      <c r="D42" t="s">
        <v>11</v>
      </c>
      <c r="E42" t="s">
        <v>11</v>
      </c>
    </row>
    <row r="43" spans="1:9" x14ac:dyDescent="0.2">
      <c r="A43" s="10" t="s">
        <v>282</v>
      </c>
      <c r="C43" t="s">
        <v>11</v>
      </c>
      <c r="D43" t="s">
        <v>11</v>
      </c>
      <c r="E43" t="s">
        <v>11</v>
      </c>
    </row>
    <row r="44" spans="1:9" x14ac:dyDescent="0.2">
      <c r="A44" s="10" t="s">
        <v>140</v>
      </c>
      <c r="D44" t="s">
        <v>11</v>
      </c>
      <c r="E44" t="s">
        <v>11</v>
      </c>
    </row>
    <row r="45" spans="1:9" x14ac:dyDescent="0.2">
      <c r="A45" s="10" t="s">
        <v>283</v>
      </c>
    </row>
    <row r="46" spans="1:9" x14ac:dyDescent="0.2">
      <c r="A46" s="10" t="s">
        <v>284</v>
      </c>
      <c r="I46" s="83"/>
    </row>
    <row r="47" spans="1:9" x14ac:dyDescent="0.2">
      <c r="A47" s="10" t="s">
        <v>91</v>
      </c>
    </row>
    <row r="48" spans="1:9" x14ac:dyDescent="0.2">
      <c r="A48" s="10" t="s">
        <v>285</v>
      </c>
    </row>
    <row r="49" spans="1:9" x14ac:dyDescent="0.2">
      <c r="A49" s="10" t="s">
        <v>286</v>
      </c>
    </row>
    <row r="50" spans="1:9" x14ac:dyDescent="0.2">
      <c r="A50" s="10" t="s">
        <v>287</v>
      </c>
    </row>
    <row r="51" spans="1:9" x14ac:dyDescent="0.2">
      <c r="A51" s="10" t="s">
        <v>288</v>
      </c>
      <c r="I51" s="83"/>
    </row>
    <row r="52" spans="1:9" x14ac:dyDescent="0.2">
      <c r="A52" s="10" t="s">
        <v>289</v>
      </c>
    </row>
    <row r="53" spans="1:9" x14ac:dyDescent="0.2">
      <c r="A53" s="10" t="s">
        <v>290</v>
      </c>
    </row>
    <row r="54" spans="1:9" x14ac:dyDescent="0.2">
      <c r="A54" s="10" t="s">
        <v>291</v>
      </c>
    </row>
    <row r="55" spans="1:9" x14ac:dyDescent="0.2">
      <c r="A55" s="10" t="s">
        <v>292</v>
      </c>
    </row>
    <row r="56" spans="1:9" x14ac:dyDescent="0.2">
      <c r="A56" s="10" t="s">
        <v>293</v>
      </c>
      <c r="I56" s="83"/>
    </row>
    <row r="57" spans="1:9" x14ac:dyDescent="0.2">
      <c r="A57" s="10" t="s">
        <v>141</v>
      </c>
    </row>
    <row r="58" spans="1:9" x14ac:dyDescent="0.2">
      <c r="A58" s="10" t="s">
        <v>294</v>
      </c>
    </row>
    <row r="59" spans="1:9" x14ac:dyDescent="0.2">
      <c r="A59" s="10" t="s">
        <v>295</v>
      </c>
    </row>
    <row r="60" spans="1:9" x14ac:dyDescent="0.2">
      <c r="A60" s="10" t="s">
        <v>296</v>
      </c>
    </row>
    <row r="61" spans="1:9" x14ac:dyDescent="0.2">
      <c r="A61" s="10" t="s">
        <v>297</v>
      </c>
    </row>
    <row r="62" spans="1:9" x14ac:dyDescent="0.2">
      <c r="A62" s="10" t="s">
        <v>142</v>
      </c>
    </row>
    <row r="63" spans="1:9" x14ac:dyDescent="0.2">
      <c r="A63" s="10" t="s">
        <v>298</v>
      </c>
    </row>
    <row r="64" spans="1:9" x14ac:dyDescent="0.2">
      <c r="A64" s="10" t="s">
        <v>299</v>
      </c>
    </row>
    <row r="65" spans="1:9" x14ac:dyDescent="0.2">
      <c r="A65" s="10" t="s">
        <v>300</v>
      </c>
      <c r="I65" s="83"/>
    </row>
    <row r="66" spans="1:9" x14ac:dyDescent="0.2">
      <c r="A66" s="10" t="s">
        <v>301</v>
      </c>
    </row>
    <row r="67" spans="1:9" x14ac:dyDescent="0.2">
      <c r="A67" s="10" t="s">
        <v>302</v>
      </c>
    </row>
    <row r="68" spans="1:9" x14ac:dyDescent="0.2">
      <c r="A68" s="10" t="s">
        <v>303</v>
      </c>
    </row>
    <row r="69" spans="1:9" x14ac:dyDescent="0.2">
      <c r="A69" s="10" t="s">
        <v>92</v>
      </c>
    </row>
    <row r="70" spans="1:9" x14ac:dyDescent="0.2">
      <c r="A70" s="10" t="s">
        <v>304</v>
      </c>
    </row>
    <row r="71" spans="1:9" x14ac:dyDescent="0.2">
      <c r="A71" s="10" t="s">
        <v>305</v>
      </c>
      <c r="I71" s="83"/>
    </row>
    <row r="72" spans="1:9" x14ac:dyDescent="0.2">
      <c r="A72" s="10" t="s">
        <v>93</v>
      </c>
    </row>
    <row r="73" spans="1:9" x14ac:dyDescent="0.2">
      <c r="A73" s="10" t="s">
        <v>306</v>
      </c>
    </row>
    <row r="74" spans="1:9" x14ac:dyDescent="0.2">
      <c r="A74" s="10" t="s">
        <v>307</v>
      </c>
      <c r="I74" s="83"/>
    </row>
    <row r="75" spans="1:9" x14ac:dyDescent="0.2">
      <c r="A75" s="10" t="s">
        <v>308</v>
      </c>
    </row>
    <row r="76" spans="1:9" x14ac:dyDescent="0.2">
      <c r="A76" s="10" t="s">
        <v>309</v>
      </c>
    </row>
    <row r="77" spans="1:9" x14ac:dyDescent="0.2">
      <c r="A77" s="10" t="s">
        <v>310</v>
      </c>
    </row>
    <row r="78" spans="1:9" x14ac:dyDescent="0.2">
      <c r="A78" s="10" t="s">
        <v>311</v>
      </c>
    </row>
    <row r="81" spans="9:9" x14ac:dyDescent="0.2">
      <c r="I81" s="83"/>
    </row>
    <row r="85" spans="9:9" x14ac:dyDescent="0.2">
      <c r="I85" s="83"/>
    </row>
    <row r="91" spans="9:9" x14ac:dyDescent="0.2">
      <c r="I91" s="83"/>
    </row>
    <row r="96" spans="9:9" x14ac:dyDescent="0.2">
      <c r="I96" s="83"/>
    </row>
    <row r="101" spans="9:9" x14ac:dyDescent="0.2">
      <c r="I101" s="83"/>
    </row>
    <row r="106" spans="9:9" x14ac:dyDescent="0.2">
      <c r="I106" s="83"/>
    </row>
    <row r="111" spans="9:9" x14ac:dyDescent="0.2">
      <c r="I111" s="83"/>
    </row>
    <row r="119" spans="9:9" x14ac:dyDescent="0.2">
      <c r="I119" s="83"/>
    </row>
    <row r="129" spans="9:9" x14ac:dyDescent="0.2">
      <c r="I129" s="83"/>
    </row>
    <row r="134" spans="9:9" x14ac:dyDescent="0.2">
      <c r="I134" s="83"/>
    </row>
    <row r="141" spans="9:9" x14ac:dyDescent="0.2">
      <c r="I141" s="83"/>
    </row>
    <row r="143" spans="9:9" x14ac:dyDescent="0.2">
      <c r="I143" s="83"/>
    </row>
  </sheetData>
  <phoneticPr fontId="4" type="noConversion"/>
  <pageMargins left="0.55118110236220474" right="0.55118110236220474" top="0.98425196850393704" bottom="0.98425196850393704" header="0.51181102362204722" footer="0.51181102362204722"/>
  <pageSetup paperSize="9" scale="72" orientation="portrait" r:id="rId1"/>
  <headerFooter alignWithMargins="0"/>
  <colBreaks count="2" manualBreakCount="2">
    <brk id="3" max="1048575" man="1"/>
    <brk id="5" max="1048575" man="1"/>
  </colBreaks>
</worksheet>
</file>

<file path=xl/worksheets/sheet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500-000000000000}">
  <sheetPr codeName="Sheet3"/>
  <dimension ref="A1:CD34"/>
  <sheetViews>
    <sheetView topLeftCell="A9" zoomScale="85" zoomScaleNormal="85" workbookViewId="0"/>
  </sheetViews>
  <sheetFormatPr defaultRowHeight="12.75" x14ac:dyDescent="0.2"/>
  <cols>
    <col min="1" max="1" width="27.5703125" customWidth="1"/>
    <col min="2" max="145" width="3" customWidth="1"/>
  </cols>
  <sheetData>
    <row r="1" spans="1:82" x14ac:dyDescent="0.2">
      <c r="A1" s="1" t="str">
        <f>CONCATENATE("Aggregation 22 industry groups to 6 ",name!$C$2)</f>
        <v>Aggregation 22 industry groups to 6 Industry sectors</v>
      </c>
    </row>
    <row r="2" spans="1:82" ht="164.25" customHeight="1" thickBot="1" x14ac:dyDescent="0.25">
      <c r="B2" s="125" t="str">
        <f t="array" ref="B2:W2">TRANSPOSE(name!B4:B25)</f>
        <v>Agriculture</v>
      </c>
      <c r="C2" s="125" t="str">
        <v>Mining and quarrying</v>
      </c>
      <c r="D2" s="125" t="str">
        <v>Food drink and tobacco</v>
      </c>
      <c r="E2" s="125" t="str">
        <v>Engineering</v>
      </c>
      <c r="F2" s="125" t="str">
        <v>Rest of manufacturing</v>
      </c>
      <c r="G2" s="125" t="str">
        <v>Electricity and gas</v>
      </c>
      <c r="H2" s="125" t="str">
        <v>Water and sewerage</v>
      </c>
      <c r="I2" s="125" t="str">
        <v>Construction</v>
      </c>
      <c r="J2" s="125" t="str">
        <v>Wholesale and retail trade</v>
      </c>
      <c r="K2" s="125" t="str">
        <v>Transport and storage</v>
      </c>
      <c r="L2" s="125" t="str">
        <v>Accommodation and food</v>
      </c>
      <c r="M2" s="125" t="str">
        <v>Media</v>
      </c>
      <c r="N2" s="125" t="str">
        <v>Information technology</v>
      </c>
      <c r="O2" s="125" t="str">
        <v>Finance and insurance</v>
      </c>
      <c r="P2" s="125" t="str">
        <v>Real estate</v>
      </c>
      <c r="Q2" s="125" t="str">
        <v>Professional services</v>
      </c>
      <c r="R2" s="125" t="str">
        <v>Support services</v>
      </c>
      <c r="S2" s="125" t="str">
        <v>Public admin. and defence</v>
      </c>
      <c r="T2" s="125" t="str">
        <v>Education</v>
      </c>
      <c r="U2" s="125" t="str">
        <v>Health and social work</v>
      </c>
      <c r="V2" s="125" t="str">
        <v>Arts and entertainment</v>
      </c>
      <c r="W2" s="125" t="str">
        <v>Other services</v>
      </c>
      <c r="X2" s="125"/>
      <c r="Y2" s="125"/>
      <c r="Z2" s="125"/>
      <c r="AA2" s="125"/>
      <c r="AB2" s="125"/>
      <c r="AC2" s="125"/>
      <c r="AD2" s="125"/>
      <c r="AE2" s="125"/>
      <c r="AF2" s="125"/>
      <c r="AG2" s="125"/>
      <c r="AH2" s="125"/>
      <c r="AI2" s="125"/>
      <c r="AJ2" s="125"/>
      <c r="AK2" s="125"/>
      <c r="AL2" s="125"/>
      <c r="AM2" s="125"/>
      <c r="AN2" s="125"/>
      <c r="AO2" s="125"/>
      <c r="AP2" s="125"/>
      <c r="AQ2" s="125"/>
      <c r="AR2" s="125"/>
      <c r="AS2" s="125"/>
      <c r="AT2" s="125"/>
      <c r="AU2" s="125"/>
      <c r="AV2" s="125"/>
      <c r="AW2" s="125"/>
      <c r="AX2" s="125"/>
      <c r="AY2" s="125"/>
      <c r="AZ2" s="125"/>
      <c r="BA2" s="125"/>
      <c r="BB2" s="125"/>
      <c r="BC2" s="125"/>
      <c r="BD2" s="125"/>
      <c r="BE2" s="125"/>
      <c r="BF2" s="125"/>
      <c r="BG2" s="125"/>
      <c r="BH2" s="125"/>
      <c r="BI2" s="125"/>
      <c r="BJ2" s="125"/>
      <c r="BK2" s="125"/>
      <c r="BL2" s="125"/>
      <c r="BM2" s="125"/>
      <c r="BN2" s="125"/>
      <c r="BO2" s="125"/>
      <c r="BP2" s="125"/>
      <c r="BQ2" s="125"/>
      <c r="BR2" s="125"/>
      <c r="BS2" s="125"/>
      <c r="BT2" s="125"/>
      <c r="BU2" s="125"/>
      <c r="BV2" s="125"/>
      <c r="BW2" s="125"/>
      <c r="BX2" s="125"/>
      <c r="BY2" s="125"/>
      <c r="BZ2" s="125"/>
      <c r="CA2" s="125"/>
      <c r="CB2" s="125"/>
      <c r="CC2" s="125"/>
      <c r="CD2" s="125"/>
    </row>
    <row r="3" spans="1:82" x14ac:dyDescent="0.2">
      <c r="A3" s="10" t="str">
        <f>name!C4</f>
        <v>Primary sector and utilities</v>
      </c>
      <c r="B3" s="2">
        <v>1</v>
      </c>
      <c r="C3" s="3">
        <v>1</v>
      </c>
      <c r="D3" s="3">
        <v>0</v>
      </c>
      <c r="E3" s="3">
        <v>0</v>
      </c>
      <c r="F3" s="3">
        <v>0</v>
      </c>
      <c r="G3" s="3">
        <v>1</v>
      </c>
      <c r="H3" s="3">
        <v>1</v>
      </c>
      <c r="I3" s="3">
        <v>0</v>
      </c>
      <c r="J3" s="3">
        <v>0</v>
      </c>
      <c r="K3" s="3">
        <v>0</v>
      </c>
      <c r="L3" s="3">
        <v>0</v>
      </c>
      <c r="M3" s="3">
        <v>0</v>
      </c>
      <c r="N3" s="3">
        <v>0</v>
      </c>
      <c r="O3" s="3">
        <v>0</v>
      </c>
      <c r="P3" s="3">
        <v>0</v>
      </c>
      <c r="Q3" s="3">
        <v>0</v>
      </c>
      <c r="R3" s="3">
        <v>0</v>
      </c>
      <c r="S3" s="3">
        <v>0</v>
      </c>
      <c r="T3" s="3">
        <v>0</v>
      </c>
      <c r="U3" s="3">
        <v>0</v>
      </c>
      <c r="V3" s="3">
        <v>0</v>
      </c>
      <c r="W3" s="4">
        <v>0</v>
      </c>
      <c r="X3">
        <v>1</v>
      </c>
    </row>
    <row r="4" spans="1:82" x14ac:dyDescent="0.2">
      <c r="A4" s="10" t="str">
        <f>name!C5</f>
        <v>Manufacturing</v>
      </c>
      <c r="B4" s="5">
        <v>0</v>
      </c>
      <c r="C4">
        <v>0</v>
      </c>
      <c r="D4">
        <v>1</v>
      </c>
      <c r="E4">
        <v>1</v>
      </c>
      <c r="F4">
        <v>1</v>
      </c>
      <c r="G4">
        <v>0</v>
      </c>
      <c r="H4">
        <v>0</v>
      </c>
      <c r="I4">
        <v>0</v>
      </c>
      <c r="J4">
        <v>0</v>
      </c>
      <c r="K4">
        <v>0</v>
      </c>
      <c r="L4">
        <v>0</v>
      </c>
      <c r="M4">
        <v>0</v>
      </c>
      <c r="N4">
        <v>0</v>
      </c>
      <c r="O4">
        <v>0</v>
      </c>
      <c r="P4">
        <v>0</v>
      </c>
      <c r="Q4">
        <v>0</v>
      </c>
      <c r="R4">
        <v>0</v>
      </c>
      <c r="S4">
        <v>0</v>
      </c>
      <c r="T4">
        <v>0</v>
      </c>
      <c r="U4">
        <v>0</v>
      </c>
      <c r="V4">
        <v>0</v>
      </c>
      <c r="W4" s="6">
        <v>0</v>
      </c>
      <c r="X4">
        <v>2</v>
      </c>
    </row>
    <row r="5" spans="1:82" x14ac:dyDescent="0.2">
      <c r="A5" s="10" t="str">
        <f>name!C6</f>
        <v>Construction</v>
      </c>
      <c r="B5" s="5">
        <v>0</v>
      </c>
      <c r="C5">
        <v>0</v>
      </c>
      <c r="D5">
        <v>0</v>
      </c>
      <c r="E5">
        <v>0</v>
      </c>
      <c r="F5">
        <v>0</v>
      </c>
      <c r="G5">
        <v>0</v>
      </c>
      <c r="H5">
        <v>0</v>
      </c>
      <c r="I5">
        <v>1</v>
      </c>
      <c r="J5">
        <v>0</v>
      </c>
      <c r="K5">
        <v>0</v>
      </c>
      <c r="L5">
        <v>0</v>
      </c>
      <c r="M5">
        <v>0</v>
      </c>
      <c r="N5">
        <v>0</v>
      </c>
      <c r="O5">
        <v>0</v>
      </c>
      <c r="P5">
        <v>0</v>
      </c>
      <c r="Q5">
        <v>0</v>
      </c>
      <c r="R5">
        <v>0</v>
      </c>
      <c r="S5">
        <v>0</v>
      </c>
      <c r="T5">
        <v>0</v>
      </c>
      <c r="U5">
        <v>0</v>
      </c>
      <c r="V5">
        <v>0</v>
      </c>
      <c r="W5" s="6">
        <v>0</v>
      </c>
      <c r="X5">
        <v>3</v>
      </c>
    </row>
    <row r="6" spans="1:82" x14ac:dyDescent="0.2">
      <c r="A6" s="10" t="str">
        <f>name!C7</f>
        <v>Trade, accomod. and transport</v>
      </c>
      <c r="B6" s="5">
        <v>0</v>
      </c>
      <c r="C6">
        <v>0</v>
      </c>
      <c r="D6">
        <v>0</v>
      </c>
      <c r="E6">
        <v>0</v>
      </c>
      <c r="F6">
        <v>0</v>
      </c>
      <c r="G6">
        <v>0</v>
      </c>
      <c r="H6">
        <v>0</v>
      </c>
      <c r="I6">
        <v>0</v>
      </c>
      <c r="J6">
        <v>1</v>
      </c>
      <c r="K6">
        <v>1</v>
      </c>
      <c r="L6">
        <v>1</v>
      </c>
      <c r="M6">
        <v>0</v>
      </c>
      <c r="N6">
        <v>0</v>
      </c>
      <c r="O6">
        <v>0</v>
      </c>
      <c r="P6">
        <v>0</v>
      </c>
      <c r="Q6">
        <v>0</v>
      </c>
      <c r="R6">
        <v>0</v>
      </c>
      <c r="S6">
        <v>0</v>
      </c>
      <c r="T6">
        <v>0</v>
      </c>
      <c r="U6">
        <v>0</v>
      </c>
      <c r="V6">
        <v>0</v>
      </c>
      <c r="W6" s="6">
        <v>0</v>
      </c>
      <c r="X6">
        <v>4</v>
      </c>
    </row>
    <row r="7" spans="1:82" x14ac:dyDescent="0.2">
      <c r="A7" s="10" t="str">
        <f>name!C8</f>
        <v>Business and other services</v>
      </c>
      <c r="B7" s="5">
        <v>0</v>
      </c>
      <c r="C7">
        <v>0</v>
      </c>
      <c r="D7">
        <v>0</v>
      </c>
      <c r="E7">
        <v>0</v>
      </c>
      <c r="F7">
        <v>0</v>
      </c>
      <c r="G7">
        <v>0</v>
      </c>
      <c r="H7">
        <v>0</v>
      </c>
      <c r="I7">
        <v>0</v>
      </c>
      <c r="J7">
        <v>0</v>
      </c>
      <c r="K7">
        <v>0</v>
      </c>
      <c r="L7">
        <v>0</v>
      </c>
      <c r="M7">
        <v>1</v>
      </c>
      <c r="N7">
        <v>1</v>
      </c>
      <c r="O7">
        <v>1</v>
      </c>
      <c r="P7">
        <v>1</v>
      </c>
      <c r="Q7">
        <v>1</v>
      </c>
      <c r="R7">
        <v>1</v>
      </c>
      <c r="S7">
        <v>0</v>
      </c>
      <c r="T7">
        <v>0</v>
      </c>
      <c r="U7">
        <v>0</v>
      </c>
      <c r="V7">
        <v>1</v>
      </c>
      <c r="W7" s="6">
        <v>1</v>
      </c>
      <c r="X7">
        <v>5</v>
      </c>
    </row>
    <row r="8" spans="1:82" ht="13.5" thickBot="1" x14ac:dyDescent="0.25">
      <c r="A8" s="10" t="str">
        <f>name!C9</f>
        <v>Non-marketed services</v>
      </c>
      <c r="B8" s="7">
        <v>0</v>
      </c>
      <c r="C8" s="8">
        <v>0</v>
      </c>
      <c r="D8" s="8">
        <v>0</v>
      </c>
      <c r="E8" s="8">
        <v>0</v>
      </c>
      <c r="F8" s="8">
        <v>0</v>
      </c>
      <c r="G8" s="8">
        <v>0</v>
      </c>
      <c r="H8" s="8">
        <v>0</v>
      </c>
      <c r="I8" s="8">
        <v>0</v>
      </c>
      <c r="J8" s="8">
        <v>0</v>
      </c>
      <c r="K8" s="8">
        <v>0</v>
      </c>
      <c r="L8" s="8">
        <v>0</v>
      </c>
      <c r="M8" s="8">
        <v>0</v>
      </c>
      <c r="N8" s="8">
        <v>0</v>
      </c>
      <c r="O8" s="8">
        <v>0</v>
      </c>
      <c r="P8" s="8">
        <v>0</v>
      </c>
      <c r="Q8" s="8">
        <v>0</v>
      </c>
      <c r="R8" s="8">
        <v>0</v>
      </c>
      <c r="S8" s="8">
        <v>1</v>
      </c>
      <c r="T8" s="8">
        <v>1</v>
      </c>
      <c r="U8" s="8">
        <v>1</v>
      </c>
      <c r="V8" s="8">
        <v>0</v>
      </c>
      <c r="W8" s="9">
        <v>0</v>
      </c>
      <c r="X8">
        <v>6</v>
      </c>
    </row>
    <row r="9" spans="1:82" x14ac:dyDescent="0.2">
      <c r="B9">
        <v>1</v>
      </c>
      <c r="C9">
        <v>2</v>
      </c>
      <c r="D9">
        <v>3</v>
      </c>
      <c r="E9">
        <v>4</v>
      </c>
      <c r="F9">
        <v>5</v>
      </c>
      <c r="G9">
        <v>6</v>
      </c>
      <c r="H9">
        <v>7</v>
      </c>
      <c r="I9">
        <v>8</v>
      </c>
      <c r="J9">
        <v>9</v>
      </c>
      <c r="K9">
        <v>10</v>
      </c>
      <c r="L9">
        <v>11</v>
      </c>
      <c r="M9">
        <v>12</v>
      </c>
      <c r="N9">
        <v>13</v>
      </c>
      <c r="O9">
        <v>14</v>
      </c>
      <c r="P9">
        <v>15</v>
      </c>
      <c r="Q9">
        <v>16</v>
      </c>
      <c r="R9">
        <v>17</v>
      </c>
      <c r="S9">
        <v>18</v>
      </c>
      <c r="T9">
        <v>19</v>
      </c>
      <c r="U9">
        <v>20</v>
      </c>
      <c r="V9">
        <v>21</v>
      </c>
      <c r="W9">
        <v>22</v>
      </c>
    </row>
    <row r="11" spans="1:82" x14ac:dyDescent="0.2">
      <c r="A11" s="1" t="str">
        <f>CONCATENATE("Aggregation 26 occupations to 9 ",name!$E$2)</f>
        <v>Aggregation 26 occupations to 9 Major group names:</v>
      </c>
    </row>
    <row r="12" spans="1:82" ht="120" customHeight="1" thickBot="1" x14ac:dyDescent="0.25">
      <c r="B12" s="358" t="s">
        <v>470</v>
      </c>
      <c r="C12" s="358" t="s">
        <v>471</v>
      </c>
      <c r="D12" s="358" t="s">
        <v>472</v>
      </c>
      <c r="E12" s="358" t="s">
        <v>473</v>
      </c>
      <c r="F12" s="358" t="s">
        <v>474</v>
      </c>
      <c r="G12" s="358" t="s">
        <v>475</v>
      </c>
      <c r="H12" s="358" t="s">
        <v>476</v>
      </c>
      <c r="I12" s="358" t="s">
        <v>477</v>
      </c>
      <c r="J12" s="358" t="s">
        <v>478</v>
      </c>
      <c r="K12" s="358" t="s">
        <v>479</v>
      </c>
      <c r="L12" s="358" t="s">
        <v>480</v>
      </c>
      <c r="M12" s="358" t="s">
        <v>481</v>
      </c>
      <c r="N12" s="358" t="s">
        <v>482</v>
      </c>
      <c r="O12" s="358" t="s">
        <v>483</v>
      </c>
      <c r="P12" s="358" t="s">
        <v>484</v>
      </c>
      <c r="Q12" s="358" t="s">
        <v>485</v>
      </c>
      <c r="R12" s="358" t="s">
        <v>486</v>
      </c>
      <c r="S12" s="358" t="s">
        <v>487</v>
      </c>
      <c r="T12" s="358" t="s">
        <v>488</v>
      </c>
      <c r="U12" s="358" t="s">
        <v>489</v>
      </c>
      <c r="V12" s="358" t="s">
        <v>490</v>
      </c>
      <c r="W12" s="358" t="s">
        <v>491</v>
      </c>
      <c r="X12" s="358" t="s">
        <v>492</v>
      </c>
      <c r="Y12" s="358" t="s">
        <v>493</v>
      </c>
      <c r="Z12" s="358" t="s">
        <v>494</v>
      </c>
      <c r="AA12" s="125" t="s">
        <v>495</v>
      </c>
      <c r="AB12" s="12"/>
    </row>
    <row r="13" spans="1:82" x14ac:dyDescent="0.2">
      <c r="A13" t="s">
        <v>328</v>
      </c>
      <c r="B13" s="2">
        <v>1</v>
      </c>
      <c r="C13" s="3">
        <v>1</v>
      </c>
      <c r="D13" s="3">
        <v>0</v>
      </c>
      <c r="E13" s="3">
        <v>0</v>
      </c>
      <c r="F13" s="3">
        <v>0</v>
      </c>
      <c r="G13" s="3">
        <v>0</v>
      </c>
      <c r="H13" s="3">
        <v>0</v>
      </c>
      <c r="I13" s="3">
        <v>0</v>
      </c>
      <c r="J13" s="3">
        <v>0</v>
      </c>
      <c r="K13" s="3">
        <v>0</v>
      </c>
      <c r="L13" s="3">
        <v>0</v>
      </c>
      <c r="M13" s="3">
        <v>0</v>
      </c>
      <c r="N13" s="3">
        <v>0</v>
      </c>
      <c r="O13" s="3">
        <v>0</v>
      </c>
      <c r="P13" s="3">
        <v>0</v>
      </c>
      <c r="Q13" s="3">
        <v>0</v>
      </c>
      <c r="R13" s="3">
        <v>0</v>
      </c>
      <c r="S13" s="3">
        <v>0</v>
      </c>
      <c r="T13" s="3">
        <v>0</v>
      </c>
      <c r="U13" s="3">
        <v>0</v>
      </c>
      <c r="V13" s="3">
        <v>0</v>
      </c>
      <c r="W13" s="3">
        <v>0</v>
      </c>
      <c r="X13" s="3">
        <v>0</v>
      </c>
      <c r="Y13" s="3">
        <v>0</v>
      </c>
      <c r="Z13" s="3">
        <v>0</v>
      </c>
      <c r="AA13" s="4">
        <v>0</v>
      </c>
      <c r="AB13">
        <v>1</v>
      </c>
    </row>
    <row r="14" spans="1:82" x14ac:dyDescent="0.2">
      <c r="A14" t="s">
        <v>329</v>
      </c>
      <c r="B14" s="5">
        <v>0</v>
      </c>
      <c r="C14">
        <v>0</v>
      </c>
      <c r="D14">
        <v>1</v>
      </c>
      <c r="E14">
        <v>1</v>
      </c>
      <c r="F14">
        <v>1</v>
      </c>
      <c r="G14">
        <v>1</v>
      </c>
      <c r="H14">
        <v>0</v>
      </c>
      <c r="I14">
        <v>0</v>
      </c>
      <c r="J14">
        <v>0</v>
      </c>
      <c r="K14">
        <v>0</v>
      </c>
      <c r="L14">
        <v>0</v>
      </c>
      <c r="M14">
        <v>0</v>
      </c>
      <c r="N14">
        <v>0</v>
      </c>
      <c r="O14">
        <v>0</v>
      </c>
      <c r="P14">
        <v>0</v>
      </c>
      <c r="Q14">
        <v>0</v>
      </c>
      <c r="R14">
        <v>0</v>
      </c>
      <c r="S14">
        <v>0</v>
      </c>
      <c r="T14">
        <v>0</v>
      </c>
      <c r="U14">
        <v>0</v>
      </c>
      <c r="V14">
        <v>0</v>
      </c>
      <c r="W14">
        <v>0</v>
      </c>
      <c r="X14">
        <v>0</v>
      </c>
      <c r="Y14">
        <v>0</v>
      </c>
      <c r="Z14">
        <v>0</v>
      </c>
      <c r="AA14" s="6">
        <v>0</v>
      </c>
      <c r="AB14">
        <v>2</v>
      </c>
    </row>
    <row r="15" spans="1:82" x14ac:dyDescent="0.2">
      <c r="A15" t="s">
        <v>497</v>
      </c>
      <c r="B15" s="5">
        <v>0</v>
      </c>
      <c r="C15">
        <v>0</v>
      </c>
      <c r="D15">
        <v>0</v>
      </c>
      <c r="E15">
        <v>0</v>
      </c>
      <c r="F15">
        <v>0</v>
      </c>
      <c r="G15">
        <v>0</v>
      </c>
      <c r="H15">
        <v>1</v>
      </c>
      <c r="I15">
        <v>1</v>
      </c>
      <c r="J15">
        <v>1</v>
      </c>
      <c r="K15">
        <v>1</v>
      </c>
      <c r="L15">
        <v>1</v>
      </c>
      <c r="M15">
        <v>0</v>
      </c>
      <c r="N15">
        <v>0</v>
      </c>
      <c r="O15">
        <v>0</v>
      </c>
      <c r="P15">
        <v>0</v>
      </c>
      <c r="Q15">
        <v>0</v>
      </c>
      <c r="R15">
        <v>0</v>
      </c>
      <c r="S15">
        <v>0</v>
      </c>
      <c r="T15">
        <v>0</v>
      </c>
      <c r="U15">
        <v>0</v>
      </c>
      <c r="V15">
        <v>0</v>
      </c>
      <c r="W15">
        <v>0</v>
      </c>
      <c r="X15">
        <v>0</v>
      </c>
      <c r="Y15">
        <v>0</v>
      </c>
      <c r="Z15">
        <v>0</v>
      </c>
      <c r="AA15" s="6">
        <v>0</v>
      </c>
      <c r="AB15">
        <v>3</v>
      </c>
    </row>
    <row r="16" spans="1:82" x14ac:dyDescent="0.2">
      <c r="A16" t="s">
        <v>498</v>
      </c>
      <c r="B16" s="5">
        <v>0</v>
      </c>
      <c r="C16">
        <v>0</v>
      </c>
      <c r="D16">
        <v>0</v>
      </c>
      <c r="E16">
        <v>0</v>
      </c>
      <c r="F16">
        <v>0</v>
      </c>
      <c r="G16">
        <v>0</v>
      </c>
      <c r="H16">
        <v>0</v>
      </c>
      <c r="I16">
        <v>0</v>
      </c>
      <c r="J16">
        <v>0</v>
      </c>
      <c r="K16">
        <v>0</v>
      </c>
      <c r="L16">
        <v>0</v>
      </c>
      <c r="M16">
        <v>1</v>
      </c>
      <c r="N16">
        <v>1</v>
      </c>
      <c r="O16">
        <v>0</v>
      </c>
      <c r="P16">
        <v>0</v>
      </c>
      <c r="Q16">
        <v>0</v>
      </c>
      <c r="R16">
        <v>0</v>
      </c>
      <c r="S16">
        <v>0</v>
      </c>
      <c r="T16">
        <v>0</v>
      </c>
      <c r="U16">
        <v>0</v>
      </c>
      <c r="V16">
        <v>0</v>
      </c>
      <c r="W16">
        <v>0</v>
      </c>
      <c r="X16">
        <v>0</v>
      </c>
      <c r="Y16">
        <v>0</v>
      </c>
      <c r="Z16">
        <v>0</v>
      </c>
      <c r="AA16" s="6">
        <v>0</v>
      </c>
      <c r="AB16">
        <v>4</v>
      </c>
    </row>
    <row r="17" spans="1:28" x14ac:dyDescent="0.2">
      <c r="A17" t="s">
        <v>330</v>
      </c>
      <c r="B17" s="5">
        <v>0</v>
      </c>
      <c r="C17">
        <v>0</v>
      </c>
      <c r="D17">
        <v>0</v>
      </c>
      <c r="E17">
        <v>0</v>
      </c>
      <c r="F17">
        <v>0</v>
      </c>
      <c r="G17">
        <v>0</v>
      </c>
      <c r="H17">
        <v>0</v>
      </c>
      <c r="I17">
        <v>0</v>
      </c>
      <c r="J17">
        <v>0</v>
      </c>
      <c r="K17">
        <v>0</v>
      </c>
      <c r="L17">
        <v>0</v>
      </c>
      <c r="M17">
        <v>0</v>
      </c>
      <c r="N17">
        <v>0</v>
      </c>
      <c r="O17">
        <v>1</v>
      </c>
      <c r="P17">
        <v>1</v>
      </c>
      <c r="Q17">
        <v>1</v>
      </c>
      <c r="R17">
        <v>1</v>
      </c>
      <c r="S17">
        <v>0</v>
      </c>
      <c r="T17">
        <v>0</v>
      </c>
      <c r="U17">
        <v>0</v>
      </c>
      <c r="V17">
        <v>0</v>
      </c>
      <c r="W17">
        <v>0</v>
      </c>
      <c r="X17">
        <v>0</v>
      </c>
      <c r="Y17">
        <v>0</v>
      </c>
      <c r="Z17">
        <v>0</v>
      </c>
      <c r="AA17" s="6">
        <v>0</v>
      </c>
      <c r="AB17">
        <v>5</v>
      </c>
    </row>
    <row r="18" spans="1:28" x14ac:dyDescent="0.2">
      <c r="A18" t="s">
        <v>499</v>
      </c>
      <c r="B18" s="5">
        <v>0</v>
      </c>
      <c r="C18">
        <v>0</v>
      </c>
      <c r="D18">
        <v>0</v>
      </c>
      <c r="E18">
        <v>0</v>
      </c>
      <c r="F18">
        <v>0</v>
      </c>
      <c r="G18">
        <v>0</v>
      </c>
      <c r="H18">
        <v>0</v>
      </c>
      <c r="I18">
        <v>0</v>
      </c>
      <c r="J18">
        <v>0</v>
      </c>
      <c r="K18">
        <v>0</v>
      </c>
      <c r="L18">
        <v>0</v>
      </c>
      <c r="M18">
        <v>0</v>
      </c>
      <c r="N18">
        <v>0</v>
      </c>
      <c r="O18">
        <v>0</v>
      </c>
      <c r="P18">
        <v>0</v>
      </c>
      <c r="Q18">
        <v>0</v>
      </c>
      <c r="R18">
        <v>0</v>
      </c>
      <c r="S18">
        <v>1</v>
      </c>
      <c r="T18">
        <v>1</v>
      </c>
      <c r="U18">
        <v>1</v>
      </c>
      <c r="V18">
        <v>0</v>
      </c>
      <c r="W18">
        <v>0</v>
      </c>
      <c r="X18">
        <v>0</v>
      </c>
      <c r="Y18">
        <v>0</v>
      </c>
      <c r="Z18">
        <v>0</v>
      </c>
      <c r="AA18" s="6">
        <v>0</v>
      </c>
      <c r="AB18">
        <v>6</v>
      </c>
    </row>
    <row r="19" spans="1:28" x14ac:dyDescent="0.2">
      <c r="A19" t="s">
        <v>500</v>
      </c>
      <c r="B19" s="5">
        <v>0</v>
      </c>
      <c r="C19">
        <v>0</v>
      </c>
      <c r="D19">
        <v>0</v>
      </c>
      <c r="E19">
        <v>0</v>
      </c>
      <c r="F19">
        <v>0</v>
      </c>
      <c r="G19">
        <v>0</v>
      </c>
      <c r="H19">
        <v>0</v>
      </c>
      <c r="I19">
        <v>0</v>
      </c>
      <c r="J19">
        <v>0</v>
      </c>
      <c r="K19">
        <v>0</v>
      </c>
      <c r="L19">
        <v>0</v>
      </c>
      <c r="M19">
        <v>0</v>
      </c>
      <c r="N19">
        <v>0</v>
      </c>
      <c r="O19">
        <v>0</v>
      </c>
      <c r="P19">
        <v>0</v>
      </c>
      <c r="Q19">
        <v>0</v>
      </c>
      <c r="R19">
        <v>0</v>
      </c>
      <c r="S19">
        <v>0</v>
      </c>
      <c r="T19">
        <v>0</v>
      </c>
      <c r="U19">
        <v>0</v>
      </c>
      <c r="V19">
        <v>1</v>
      </c>
      <c r="W19">
        <v>1</v>
      </c>
      <c r="X19">
        <v>0</v>
      </c>
      <c r="Y19">
        <v>0</v>
      </c>
      <c r="Z19">
        <v>0</v>
      </c>
      <c r="AA19" s="6">
        <v>0</v>
      </c>
      <c r="AB19">
        <v>7</v>
      </c>
    </row>
    <row r="20" spans="1:28" x14ac:dyDescent="0.2">
      <c r="A20" t="s">
        <v>331</v>
      </c>
      <c r="B20" s="5">
        <v>0</v>
      </c>
      <c r="C20">
        <v>0</v>
      </c>
      <c r="D20">
        <v>0</v>
      </c>
      <c r="E20">
        <v>0</v>
      </c>
      <c r="F20">
        <v>0</v>
      </c>
      <c r="G20">
        <v>0</v>
      </c>
      <c r="H20">
        <v>0</v>
      </c>
      <c r="I20">
        <v>0</v>
      </c>
      <c r="J20">
        <v>0</v>
      </c>
      <c r="K20">
        <v>0</v>
      </c>
      <c r="L20">
        <v>0</v>
      </c>
      <c r="M20">
        <v>0</v>
      </c>
      <c r="N20">
        <v>0</v>
      </c>
      <c r="O20">
        <v>0</v>
      </c>
      <c r="P20">
        <v>0</v>
      </c>
      <c r="Q20">
        <v>0</v>
      </c>
      <c r="R20">
        <v>0</v>
      </c>
      <c r="S20">
        <v>0</v>
      </c>
      <c r="T20">
        <v>0</v>
      </c>
      <c r="U20">
        <v>0</v>
      </c>
      <c r="V20">
        <v>0</v>
      </c>
      <c r="W20">
        <v>0</v>
      </c>
      <c r="X20">
        <v>1</v>
      </c>
      <c r="Y20">
        <v>1</v>
      </c>
      <c r="Z20">
        <v>0</v>
      </c>
      <c r="AA20" s="6">
        <v>0</v>
      </c>
      <c r="AB20">
        <v>8</v>
      </c>
    </row>
    <row r="21" spans="1:28" ht="13.5" thickBot="1" x14ac:dyDescent="0.25">
      <c r="A21" t="s">
        <v>9</v>
      </c>
      <c r="B21" s="7">
        <v>0</v>
      </c>
      <c r="C21" s="8">
        <v>0</v>
      </c>
      <c r="D21" s="8">
        <v>0</v>
      </c>
      <c r="E21" s="8">
        <v>0</v>
      </c>
      <c r="F21" s="8">
        <v>0</v>
      </c>
      <c r="G21" s="8">
        <v>0</v>
      </c>
      <c r="H21" s="8">
        <v>0</v>
      </c>
      <c r="I21" s="8">
        <v>0</v>
      </c>
      <c r="J21" s="8">
        <v>0</v>
      </c>
      <c r="K21" s="8">
        <v>0</v>
      </c>
      <c r="L21" s="8">
        <v>0</v>
      </c>
      <c r="M21" s="8">
        <v>0</v>
      </c>
      <c r="N21" s="8">
        <v>0</v>
      </c>
      <c r="O21" s="8">
        <v>0</v>
      </c>
      <c r="P21" s="8">
        <v>0</v>
      </c>
      <c r="Q21" s="8">
        <v>0</v>
      </c>
      <c r="R21" s="8">
        <v>0</v>
      </c>
      <c r="S21" s="8">
        <v>0</v>
      </c>
      <c r="T21" s="8">
        <v>0</v>
      </c>
      <c r="U21" s="8">
        <v>0</v>
      </c>
      <c r="V21" s="8">
        <v>0</v>
      </c>
      <c r="W21" s="8">
        <v>0</v>
      </c>
      <c r="X21" s="8">
        <v>0</v>
      </c>
      <c r="Y21" s="8">
        <v>0</v>
      </c>
      <c r="Z21" s="8">
        <v>1</v>
      </c>
      <c r="AA21" s="9">
        <v>1</v>
      </c>
      <c r="AB21">
        <v>9</v>
      </c>
    </row>
    <row r="22" spans="1:28" x14ac:dyDescent="0.2">
      <c r="B22">
        <v>1</v>
      </c>
      <c r="C22">
        <v>2</v>
      </c>
      <c r="D22">
        <v>3</v>
      </c>
      <c r="E22">
        <v>4</v>
      </c>
      <c r="F22">
        <v>5</v>
      </c>
      <c r="G22">
        <v>6</v>
      </c>
      <c r="H22">
        <v>7</v>
      </c>
      <c r="I22">
        <v>8</v>
      </c>
      <c r="J22">
        <v>9</v>
      </c>
      <c r="K22">
        <v>10</v>
      </c>
      <c r="L22">
        <v>11</v>
      </c>
      <c r="M22">
        <v>12</v>
      </c>
      <c r="N22">
        <v>13</v>
      </c>
      <c r="O22">
        <v>14</v>
      </c>
      <c r="P22">
        <v>15</v>
      </c>
      <c r="Q22">
        <v>16</v>
      </c>
      <c r="R22">
        <v>17</v>
      </c>
      <c r="S22">
        <v>18</v>
      </c>
      <c r="T22">
        <v>19</v>
      </c>
      <c r="U22">
        <v>20</v>
      </c>
      <c r="V22">
        <v>21</v>
      </c>
      <c r="W22">
        <v>22</v>
      </c>
      <c r="X22">
        <v>23</v>
      </c>
      <c r="Y22">
        <v>24</v>
      </c>
      <c r="Z22">
        <v>25</v>
      </c>
      <c r="AA22">
        <v>26</v>
      </c>
    </row>
    <row r="24" spans="1:28" x14ac:dyDescent="0.2">
      <c r="A24" s="1" t="str">
        <f>CONCATENATE("Aggregation 9 qualifications to 6 ",name!$G$2)</f>
        <v>Aggregation 9 qualifications to 6 Qualification groups</v>
      </c>
    </row>
    <row r="25" spans="1:28" ht="197.25" customHeight="1" thickBot="1" x14ac:dyDescent="0.25">
      <c r="B25" s="125" t="str">
        <f t="array" ref="B25:J25">TRANSPOSE(name!F4:F13)</f>
        <v>RQF8 Doctorate</v>
      </c>
      <c r="C25" s="125" t="str">
        <v>RQF7 Other higher degree</v>
      </c>
      <c r="D25" s="125" t="str">
        <v>RQF6 First degree</v>
      </c>
      <c r="E25" s="125" t="str">
        <v>RQF5 Foundation degree;Nursing;Teaching</v>
      </c>
      <c r="F25" s="125" t="str">
        <v>RQF4 HE below degree level</v>
      </c>
      <c r="G25" s="125" t="str">
        <v>RQF3 A level &amp; equivalent</v>
      </c>
      <c r="H25" s="125" t="str">
        <v>RQF2 GCSE(A-C) &amp; equivalent</v>
      </c>
      <c r="I25" s="125" t="str">
        <v>RQF1 GCSE(below grade C) &amp; equivalent</v>
      </c>
      <c r="J25" s="125" t="str">
        <v>No Qualification</v>
      </c>
    </row>
    <row r="26" spans="1:28" x14ac:dyDescent="0.2">
      <c r="A26" s="10" t="str">
        <f>name!G4</f>
        <v>RQF 7-8</v>
      </c>
      <c r="B26" s="2">
        <v>1</v>
      </c>
      <c r="C26" s="3">
        <v>1</v>
      </c>
      <c r="D26" s="3">
        <v>0</v>
      </c>
      <c r="E26" s="3">
        <v>0</v>
      </c>
      <c r="F26" s="3">
        <v>0</v>
      </c>
      <c r="G26" s="3">
        <v>0</v>
      </c>
      <c r="H26" s="3">
        <v>0</v>
      </c>
      <c r="I26" s="3">
        <v>0</v>
      </c>
      <c r="J26" s="4">
        <v>0</v>
      </c>
      <c r="K26">
        <v>1</v>
      </c>
    </row>
    <row r="27" spans="1:28" x14ac:dyDescent="0.2">
      <c r="A27" s="10" t="str">
        <f>name!G5</f>
        <v>RQF 4-6</v>
      </c>
      <c r="B27" s="5">
        <v>0</v>
      </c>
      <c r="C27">
        <v>0</v>
      </c>
      <c r="D27">
        <v>1</v>
      </c>
      <c r="E27">
        <v>1</v>
      </c>
      <c r="F27">
        <v>1</v>
      </c>
      <c r="G27">
        <v>0</v>
      </c>
      <c r="H27">
        <v>0</v>
      </c>
      <c r="I27">
        <v>0</v>
      </c>
      <c r="J27" s="6">
        <v>0</v>
      </c>
      <c r="K27">
        <v>2</v>
      </c>
    </row>
    <row r="28" spans="1:28" x14ac:dyDescent="0.2">
      <c r="A28" s="10" t="str">
        <f>name!G6</f>
        <v>RQF3 A level &amp; equivalent</v>
      </c>
      <c r="B28" s="5">
        <v>0</v>
      </c>
      <c r="C28">
        <v>0</v>
      </c>
      <c r="D28">
        <v>0</v>
      </c>
      <c r="E28">
        <v>0</v>
      </c>
      <c r="F28">
        <v>0</v>
      </c>
      <c r="G28">
        <v>1</v>
      </c>
      <c r="H28">
        <v>0</v>
      </c>
      <c r="I28">
        <v>0</v>
      </c>
      <c r="J28" s="6">
        <v>0</v>
      </c>
      <c r="K28">
        <v>3</v>
      </c>
    </row>
    <row r="29" spans="1:28" x14ac:dyDescent="0.2">
      <c r="A29" s="10" t="str">
        <f>name!G7</f>
        <v>RQF2 GCSE(A-C) &amp; equivalent</v>
      </c>
      <c r="B29" s="5">
        <v>0</v>
      </c>
      <c r="C29">
        <v>0</v>
      </c>
      <c r="D29">
        <v>0</v>
      </c>
      <c r="E29">
        <v>0</v>
      </c>
      <c r="F29">
        <v>0</v>
      </c>
      <c r="G29">
        <v>0</v>
      </c>
      <c r="H29">
        <v>1</v>
      </c>
      <c r="I29">
        <v>0</v>
      </c>
      <c r="J29" s="6">
        <v>0</v>
      </c>
      <c r="K29">
        <v>4</v>
      </c>
    </row>
    <row r="30" spans="1:28" x14ac:dyDescent="0.2">
      <c r="A30" s="10" t="str">
        <f>name!G8</f>
        <v>RQF1 GCSE(below grade C) &amp; equivalent</v>
      </c>
      <c r="B30" s="5">
        <v>0</v>
      </c>
      <c r="C30">
        <v>0</v>
      </c>
      <c r="D30">
        <v>0</v>
      </c>
      <c r="E30">
        <v>0</v>
      </c>
      <c r="F30">
        <v>0</v>
      </c>
      <c r="G30">
        <v>0</v>
      </c>
      <c r="H30">
        <v>0</v>
      </c>
      <c r="I30">
        <v>1</v>
      </c>
      <c r="J30" s="6">
        <v>0</v>
      </c>
      <c r="K30">
        <v>5</v>
      </c>
    </row>
    <row r="31" spans="1:28" ht="13.5" thickBot="1" x14ac:dyDescent="0.25">
      <c r="A31" s="10" t="str">
        <f>name!G9</f>
        <v>No Qualification</v>
      </c>
      <c r="B31" s="7">
        <v>0</v>
      </c>
      <c r="C31" s="8">
        <v>0</v>
      </c>
      <c r="D31" s="8">
        <v>0</v>
      </c>
      <c r="E31" s="8">
        <v>0</v>
      </c>
      <c r="F31" s="8">
        <v>0</v>
      </c>
      <c r="G31" s="8">
        <v>0</v>
      </c>
      <c r="H31" s="8">
        <v>0</v>
      </c>
      <c r="I31" s="8">
        <v>0</v>
      </c>
      <c r="J31" s="9">
        <v>1</v>
      </c>
      <c r="K31">
        <v>6</v>
      </c>
    </row>
    <row r="32" spans="1:28" x14ac:dyDescent="0.2">
      <c r="A32" s="10"/>
      <c r="B32">
        <v>1</v>
      </c>
      <c r="C32">
        <v>2</v>
      </c>
      <c r="D32">
        <v>3</v>
      </c>
      <c r="E32">
        <v>4</v>
      </c>
      <c r="F32">
        <v>5</v>
      </c>
      <c r="G32">
        <v>6</v>
      </c>
      <c r="H32">
        <v>7</v>
      </c>
      <c r="I32">
        <v>8</v>
      </c>
      <c r="J32">
        <v>9</v>
      </c>
    </row>
    <row r="33" spans="1:1" x14ac:dyDescent="0.2">
      <c r="A33" s="10"/>
    </row>
    <row r="34" spans="1:1" x14ac:dyDescent="0.2">
      <c r="A34" s="10"/>
    </row>
  </sheetData>
  <phoneticPr fontId="4" type="noConversion"/>
  <conditionalFormatting sqref="J27:J30">
    <cfRule type="cellIs" dxfId="5" priority="5" operator="equal">
      <formula>0</formula>
    </cfRule>
    <cfRule type="cellIs" dxfId="4" priority="6" stopIfTrue="1" operator="equal">
      <formula>1</formula>
    </cfRule>
  </conditionalFormatting>
  <conditionalFormatting sqref="B3:W8 B26:J31">
    <cfRule type="cellIs" dxfId="3" priority="17" operator="equal">
      <formula>0</formula>
    </cfRule>
    <cfRule type="cellIs" dxfId="2" priority="19" stopIfTrue="1" operator="equal">
      <formula>1</formula>
    </cfRule>
  </conditionalFormatting>
  <conditionalFormatting sqref="B13:AA21">
    <cfRule type="cellIs" dxfId="1" priority="1" operator="equal">
      <formula>0</formula>
    </cfRule>
    <cfRule type="cellIs" dxfId="0" priority="2" stopIfTrue="1" operator="equal">
      <formula>1</formula>
    </cfRule>
  </conditionalFormatting>
  <pageMargins left="0.55118110236220474" right="0.55118110236220474" top="0.98425196850393704" bottom="0.98425196850393704" header="0.51181102362204722" footer="0.51181102362204722"/>
  <pageSetup paperSize="9" scale="60" orientation="landscape" r:id="rId1"/>
  <headerFooter alignWithMargins="0"/>
  <rowBreaks count="1" manualBreakCount="1">
    <brk id="23" max="16383" man="1"/>
  </rowBreaks>
  <colBreaks count="1" manualBreakCount="1">
    <brk id="69" max="1048575" man="1"/>
  </colBreaks>
</worksheet>
</file>

<file path=xl/worksheets/sheet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600-000000000000}">
  <sheetPr codeName="Sheet19">
    <pageSetUpPr fitToPage="1"/>
  </sheetPr>
  <dimension ref="A1:F277"/>
  <sheetViews>
    <sheetView zoomScale="85" zoomScaleNormal="85" workbookViewId="0"/>
  </sheetViews>
  <sheetFormatPr defaultColWidth="10.28515625" defaultRowHeight="12.75" x14ac:dyDescent="0.2"/>
  <cols>
    <col min="1" max="1" width="4.140625" style="14" customWidth="1"/>
    <col min="2" max="2" width="55.7109375" style="14" customWidth="1"/>
    <col min="3" max="3" width="5.85546875" style="14" customWidth="1"/>
    <col min="4" max="4" width="65.7109375" style="14" customWidth="1"/>
    <col min="5" max="16384" width="10.28515625" style="14"/>
  </cols>
  <sheetData>
    <row r="1" spans="1:4" x14ac:dyDescent="0.2">
      <c r="A1" s="15" t="s">
        <v>166</v>
      </c>
    </row>
    <row r="3" spans="1:4" x14ac:dyDescent="0.2">
      <c r="A3" s="126"/>
      <c r="B3" s="126" t="s">
        <v>354</v>
      </c>
      <c r="C3" s="126"/>
      <c r="D3" s="126" t="s">
        <v>355</v>
      </c>
    </row>
    <row r="4" spans="1:4" x14ac:dyDescent="0.2">
      <c r="A4" s="126"/>
      <c r="B4" s="126"/>
      <c r="C4" s="126"/>
      <c r="D4" s="126"/>
    </row>
    <row r="5" spans="1:4" x14ac:dyDescent="0.2">
      <c r="A5" s="126">
        <v>1</v>
      </c>
      <c r="B5" s="126" t="s">
        <v>167</v>
      </c>
      <c r="C5" s="126">
        <v>1</v>
      </c>
      <c r="D5" s="126" t="s">
        <v>168</v>
      </c>
    </row>
    <row r="6" spans="1:4" x14ac:dyDescent="0.2">
      <c r="A6" s="126"/>
      <c r="B6" s="126"/>
      <c r="C6" s="126"/>
      <c r="D6" s="126"/>
    </row>
    <row r="7" spans="1:4" x14ac:dyDescent="0.2">
      <c r="A7" s="126">
        <v>2</v>
      </c>
      <c r="B7" s="126" t="s">
        <v>94</v>
      </c>
      <c r="C7" s="126">
        <v>2</v>
      </c>
      <c r="D7" s="126" t="s">
        <v>169</v>
      </c>
    </row>
    <row r="8" spans="1:4" x14ac:dyDescent="0.2">
      <c r="A8" s="126"/>
      <c r="B8" s="126"/>
      <c r="C8" s="126"/>
      <c r="D8" s="126"/>
    </row>
    <row r="9" spans="1:4" x14ac:dyDescent="0.2">
      <c r="A9" s="126">
        <v>3</v>
      </c>
      <c r="B9" s="126" t="s">
        <v>170</v>
      </c>
      <c r="C9" s="126">
        <v>3</v>
      </c>
      <c r="D9" s="126" t="s">
        <v>171</v>
      </c>
    </row>
    <row r="10" spans="1:4" x14ac:dyDescent="0.2">
      <c r="A10" s="126"/>
      <c r="B10" s="126"/>
      <c r="C10" s="126">
        <v>4</v>
      </c>
      <c r="D10" s="126" t="s">
        <v>172</v>
      </c>
    </row>
    <row r="11" spans="1:4" x14ac:dyDescent="0.2">
      <c r="A11" s="126"/>
      <c r="B11" s="126"/>
      <c r="C11" s="126"/>
      <c r="D11" s="126"/>
    </row>
    <row r="12" spans="1:4" x14ac:dyDescent="0.2">
      <c r="A12" s="126">
        <v>4</v>
      </c>
      <c r="B12" s="126" t="s">
        <v>69</v>
      </c>
      <c r="C12" s="126">
        <v>16</v>
      </c>
      <c r="D12" s="126" t="s">
        <v>173</v>
      </c>
    </row>
    <row r="13" spans="1:4" x14ac:dyDescent="0.2">
      <c r="A13" s="126"/>
      <c r="B13" s="126"/>
      <c r="C13" s="126">
        <v>17</v>
      </c>
      <c r="D13" s="126" t="s">
        <v>95</v>
      </c>
    </row>
    <row r="14" spans="1:4" x14ac:dyDescent="0.2">
      <c r="A14" s="126"/>
      <c r="B14" s="126"/>
      <c r="C14" s="126">
        <v>18</v>
      </c>
      <c r="D14" s="126" t="s">
        <v>174</v>
      </c>
    </row>
    <row r="15" spans="1:4" x14ac:dyDescent="0.2">
      <c r="A15" s="126"/>
      <c r="B15" s="126"/>
      <c r="C15" s="126"/>
      <c r="D15" s="126"/>
    </row>
    <row r="16" spans="1:4" x14ac:dyDescent="0.2">
      <c r="A16" s="126">
        <v>5</v>
      </c>
      <c r="B16" s="126" t="s">
        <v>96</v>
      </c>
      <c r="C16" s="126">
        <v>5</v>
      </c>
      <c r="D16" s="126" t="s">
        <v>175</v>
      </c>
    </row>
    <row r="17" spans="1:4" x14ac:dyDescent="0.2">
      <c r="A17" s="126"/>
      <c r="B17" s="126"/>
      <c r="C17" s="126">
        <v>6</v>
      </c>
      <c r="D17" s="126" t="s">
        <v>176</v>
      </c>
    </row>
    <row r="18" spans="1:4" x14ac:dyDescent="0.2">
      <c r="A18" s="126"/>
      <c r="B18" s="126"/>
      <c r="C18" s="126">
        <v>7</v>
      </c>
      <c r="D18" s="126" t="s">
        <v>177</v>
      </c>
    </row>
    <row r="19" spans="1:4" x14ac:dyDescent="0.2">
      <c r="A19" s="126"/>
      <c r="B19" s="126"/>
      <c r="C19" s="126">
        <v>8</v>
      </c>
      <c r="D19" s="126" t="s">
        <v>178</v>
      </c>
    </row>
    <row r="20" spans="1:4" x14ac:dyDescent="0.2">
      <c r="A20" s="126"/>
      <c r="B20" s="126"/>
      <c r="C20" s="126">
        <v>9</v>
      </c>
      <c r="D20" s="126" t="s">
        <v>179</v>
      </c>
    </row>
    <row r="21" spans="1:4" x14ac:dyDescent="0.2">
      <c r="A21" s="126"/>
      <c r="B21" s="126"/>
      <c r="C21" s="126">
        <v>10</v>
      </c>
      <c r="D21" s="126" t="s">
        <v>180</v>
      </c>
    </row>
    <row r="22" spans="1:4" x14ac:dyDescent="0.2">
      <c r="A22" s="126"/>
      <c r="B22" s="126"/>
      <c r="C22" s="126">
        <v>11</v>
      </c>
      <c r="D22" s="126" t="s">
        <v>70</v>
      </c>
    </row>
    <row r="23" spans="1:4" x14ac:dyDescent="0.2">
      <c r="A23" s="126"/>
      <c r="B23" s="126"/>
      <c r="C23" s="126">
        <v>12</v>
      </c>
      <c r="D23" s="126" t="s">
        <v>181</v>
      </c>
    </row>
    <row r="24" spans="1:4" x14ac:dyDescent="0.2">
      <c r="A24" s="126"/>
      <c r="B24" s="126"/>
      <c r="C24" s="126">
        <v>13</v>
      </c>
      <c r="D24" s="126" t="s">
        <v>182</v>
      </c>
    </row>
    <row r="25" spans="1:4" x14ac:dyDescent="0.2">
      <c r="A25" s="126"/>
      <c r="B25" s="126"/>
      <c r="C25" s="126">
        <v>14</v>
      </c>
      <c r="D25" s="126" t="s">
        <v>128</v>
      </c>
    </row>
    <row r="26" spans="1:4" x14ac:dyDescent="0.2">
      <c r="A26" s="126"/>
      <c r="B26" s="126"/>
      <c r="C26" s="126">
        <v>15</v>
      </c>
      <c r="D26" s="126" t="s">
        <v>129</v>
      </c>
    </row>
    <row r="27" spans="1:4" x14ac:dyDescent="0.2">
      <c r="A27" s="126"/>
      <c r="B27" s="126"/>
      <c r="C27" s="126">
        <v>19</v>
      </c>
      <c r="D27" s="126" t="s">
        <v>183</v>
      </c>
    </row>
    <row r="28" spans="1:4" x14ac:dyDescent="0.2">
      <c r="A28" s="126"/>
      <c r="B28" s="126"/>
      <c r="C28" s="126">
        <v>20</v>
      </c>
      <c r="D28" s="126" t="s">
        <v>184</v>
      </c>
    </row>
    <row r="29" spans="1:4" x14ac:dyDescent="0.2">
      <c r="A29" s="126"/>
      <c r="B29" s="126"/>
      <c r="C29" s="126">
        <v>21</v>
      </c>
      <c r="D29" s="126" t="s">
        <v>185</v>
      </c>
    </row>
    <row r="30" spans="1:4" x14ac:dyDescent="0.2">
      <c r="A30" s="126"/>
      <c r="B30" s="126"/>
      <c r="C30" s="126">
        <v>22</v>
      </c>
      <c r="D30" s="126" t="s">
        <v>186</v>
      </c>
    </row>
    <row r="31" spans="1:4" x14ac:dyDescent="0.2">
      <c r="A31" s="126"/>
      <c r="B31" s="126"/>
      <c r="C31" s="126">
        <v>23</v>
      </c>
      <c r="D31" s="126" t="s">
        <v>187</v>
      </c>
    </row>
    <row r="32" spans="1:4" x14ac:dyDescent="0.2">
      <c r="A32" s="126"/>
      <c r="B32" s="126"/>
      <c r="C32" s="126"/>
      <c r="D32" s="126"/>
    </row>
    <row r="33" spans="1:4" x14ac:dyDescent="0.2">
      <c r="A33" s="126">
        <v>6</v>
      </c>
      <c r="B33" s="126" t="s">
        <v>188</v>
      </c>
      <c r="C33" s="126">
        <v>24</v>
      </c>
      <c r="D33" s="126" t="s">
        <v>189</v>
      </c>
    </row>
    <row r="34" spans="1:4" x14ac:dyDescent="0.2">
      <c r="A34" s="126"/>
      <c r="B34" s="126"/>
      <c r="C34" s="126"/>
      <c r="D34" s="126"/>
    </row>
    <row r="35" spans="1:4" x14ac:dyDescent="0.2">
      <c r="A35" s="126">
        <v>7</v>
      </c>
      <c r="B35" s="126" t="s">
        <v>190</v>
      </c>
      <c r="C35" s="126">
        <v>25</v>
      </c>
      <c r="D35" s="126" t="s">
        <v>191</v>
      </c>
    </row>
    <row r="36" spans="1:4" x14ac:dyDescent="0.2">
      <c r="A36" s="126"/>
      <c r="B36" s="126"/>
      <c r="C36" s="126">
        <v>26</v>
      </c>
      <c r="D36" s="126" t="s">
        <v>192</v>
      </c>
    </row>
    <row r="37" spans="1:4" x14ac:dyDescent="0.2">
      <c r="A37" s="126"/>
      <c r="B37" s="126"/>
      <c r="C37" s="126">
        <v>27</v>
      </c>
      <c r="D37" s="126" t="s">
        <v>193</v>
      </c>
    </row>
    <row r="38" spans="1:4" x14ac:dyDescent="0.2">
      <c r="A38" s="126"/>
      <c r="B38" s="126"/>
      <c r="C38" s="126"/>
      <c r="D38" s="126"/>
    </row>
    <row r="39" spans="1:4" x14ac:dyDescent="0.2">
      <c r="A39" s="126">
        <v>8</v>
      </c>
      <c r="B39" s="126" t="s">
        <v>71</v>
      </c>
      <c r="C39" s="126">
        <v>28</v>
      </c>
      <c r="D39" s="126" t="s">
        <v>194</v>
      </c>
    </row>
    <row r="40" spans="1:4" x14ac:dyDescent="0.2">
      <c r="A40" s="126"/>
      <c r="B40" s="126"/>
      <c r="C40" s="126">
        <v>29</v>
      </c>
      <c r="D40" s="126" t="s">
        <v>195</v>
      </c>
    </row>
    <row r="41" spans="1:4" x14ac:dyDescent="0.2">
      <c r="A41" s="126"/>
      <c r="B41" s="126"/>
      <c r="C41" s="126">
        <v>30</v>
      </c>
      <c r="D41" s="126" t="s">
        <v>196</v>
      </c>
    </row>
    <row r="42" spans="1:4" x14ac:dyDescent="0.2">
      <c r="A42" s="126"/>
      <c r="B42" s="126"/>
      <c r="C42" s="126"/>
      <c r="D42" s="126"/>
    </row>
    <row r="43" spans="1:4" x14ac:dyDescent="0.2">
      <c r="A43" s="126">
        <v>9</v>
      </c>
      <c r="B43" s="126" t="s">
        <v>97</v>
      </c>
      <c r="C43" s="126">
        <v>31</v>
      </c>
      <c r="D43" s="126" t="s">
        <v>197</v>
      </c>
    </row>
    <row r="44" spans="1:4" x14ac:dyDescent="0.2">
      <c r="A44" s="126"/>
      <c r="B44" s="126"/>
      <c r="C44" s="126">
        <v>32</v>
      </c>
      <c r="D44" s="126" t="s">
        <v>198</v>
      </c>
    </row>
    <row r="45" spans="1:4" x14ac:dyDescent="0.2">
      <c r="A45" s="126"/>
      <c r="B45" s="126"/>
      <c r="C45" s="126">
        <v>33</v>
      </c>
      <c r="D45" s="126" t="s">
        <v>199</v>
      </c>
    </row>
    <row r="46" spans="1:4" x14ac:dyDescent="0.2">
      <c r="A46" s="126"/>
      <c r="B46" s="126"/>
      <c r="C46" s="126"/>
      <c r="D46" s="126"/>
    </row>
    <row r="47" spans="1:4" x14ac:dyDescent="0.2">
      <c r="A47" s="126">
        <v>10</v>
      </c>
      <c r="B47" s="126" t="s">
        <v>200</v>
      </c>
      <c r="C47" s="126">
        <v>34</v>
      </c>
      <c r="D47" s="126" t="s">
        <v>201</v>
      </c>
    </row>
    <row r="48" spans="1:4" x14ac:dyDescent="0.2">
      <c r="A48" s="126"/>
      <c r="B48" s="126"/>
      <c r="C48" s="126">
        <v>35</v>
      </c>
      <c r="D48" s="126" t="s">
        <v>202</v>
      </c>
    </row>
    <row r="49" spans="1:4" x14ac:dyDescent="0.2">
      <c r="A49" s="126"/>
      <c r="B49" s="126"/>
      <c r="C49" s="126">
        <v>36</v>
      </c>
      <c r="D49" s="126" t="s">
        <v>203</v>
      </c>
    </row>
    <row r="50" spans="1:4" x14ac:dyDescent="0.2">
      <c r="A50" s="126"/>
      <c r="B50" s="126"/>
      <c r="C50" s="126">
        <v>37</v>
      </c>
      <c r="D50" s="126" t="s">
        <v>204</v>
      </c>
    </row>
    <row r="51" spans="1:4" x14ac:dyDescent="0.2">
      <c r="A51" s="126"/>
      <c r="B51" s="126"/>
      <c r="C51" s="126">
        <v>38</v>
      </c>
      <c r="D51" s="126" t="s">
        <v>205</v>
      </c>
    </row>
    <row r="52" spans="1:4" x14ac:dyDescent="0.2">
      <c r="A52" s="126"/>
      <c r="B52" s="126"/>
      <c r="C52" s="126"/>
      <c r="D52" s="126"/>
    </row>
    <row r="53" spans="1:4" x14ac:dyDescent="0.2">
      <c r="A53" s="126">
        <v>11</v>
      </c>
      <c r="B53" s="126" t="s">
        <v>206</v>
      </c>
      <c r="C53" s="126">
        <v>39</v>
      </c>
      <c r="D53" s="126" t="s">
        <v>207</v>
      </c>
    </row>
    <row r="54" spans="1:4" x14ac:dyDescent="0.2">
      <c r="A54" s="126"/>
      <c r="B54" s="126"/>
      <c r="C54" s="126">
        <v>40</v>
      </c>
      <c r="D54" s="126" t="s">
        <v>208</v>
      </c>
    </row>
    <row r="55" spans="1:4" x14ac:dyDescent="0.2">
      <c r="A55" s="126"/>
      <c r="B55" s="126"/>
      <c r="C55" s="126"/>
      <c r="D55" s="126"/>
    </row>
    <row r="56" spans="1:4" x14ac:dyDescent="0.2">
      <c r="A56" s="126">
        <v>12</v>
      </c>
      <c r="B56" s="126" t="s">
        <v>100</v>
      </c>
      <c r="C56" s="126">
        <v>41</v>
      </c>
      <c r="D56" s="126" t="s">
        <v>130</v>
      </c>
    </row>
    <row r="57" spans="1:4" x14ac:dyDescent="0.2">
      <c r="A57" s="126"/>
      <c r="B57" s="126"/>
      <c r="C57" s="126">
        <v>42</v>
      </c>
      <c r="D57" s="126" t="s">
        <v>209</v>
      </c>
    </row>
    <row r="58" spans="1:4" x14ac:dyDescent="0.2">
      <c r="A58" s="126"/>
      <c r="B58" s="126"/>
      <c r="C58" s="126">
        <v>43</v>
      </c>
      <c r="D58" s="126" t="s">
        <v>210</v>
      </c>
    </row>
    <row r="59" spans="1:4" x14ac:dyDescent="0.2">
      <c r="A59" s="126"/>
      <c r="B59" s="126"/>
      <c r="C59" s="126"/>
      <c r="D59" s="126"/>
    </row>
    <row r="60" spans="1:4" x14ac:dyDescent="0.2">
      <c r="A60" s="126">
        <v>13</v>
      </c>
      <c r="B60" s="126" t="s">
        <v>211</v>
      </c>
      <c r="C60" s="126">
        <v>44</v>
      </c>
      <c r="D60" s="126" t="s">
        <v>98</v>
      </c>
    </row>
    <row r="61" spans="1:4" x14ac:dyDescent="0.2">
      <c r="A61" s="126"/>
      <c r="B61" s="126"/>
      <c r="C61" s="126">
        <v>45</v>
      </c>
      <c r="D61" s="126" t="s">
        <v>212</v>
      </c>
    </row>
    <row r="62" spans="1:4" x14ac:dyDescent="0.2">
      <c r="A62" s="126"/>
      <c r="B62" s="126"/>
      <c r="C62" s="126">
        <v>46</v>
      </c>
      <c r="D62" s="126" t="s">
        <v>213</v>
      </c>
    </row>
    <row r="63" spans="1:4" x14ac:dyDescent="0.2">
      <c r="A63" s="126"/>
      <c r="B63" s="126"/>
      <c r="C63" s="126"/>
      <c r="D63" s="126"/>
    </row>
    <row r="64" spans="1:4" x14ac:dyDescent="0.2">
      <c r="A64" s="126">
        <v>14</v>
      </c>
      <c r="B64" s="126" t="s">
        <v>214</v>
      </c>
      <c r="C64" s="126">
        <v>47</v>
      </c>
      <c r="D64" s="126" t="s">
        <v>131</v>
      </c>
    </row>
    <row r="65" spans="1:4" x14ac:dyDescent="0.2">
      <c r="A65" s="126"/>
      <c r="B65" s="126"/>
      <c r="C65" s="126">
        <v>48</v>
      </c>
      <c r="D65" s="126" t="s">
        <v>215</v>
      </c>
    </row>
    <row r="66" spans="1:4" x14ac:dyDescent="0.2">
      <c r="A66" s="126"/>
      <c r="B66" s="126"/>
      <c r="C66" s="126">
        <v>49</v>
      </c>
      <c r="D66" s="126" t="s">
        <v>216</v>
      </c>
    </row>
    <row r="67" spans="1:4" x14ac:dyDescent="0.2">
      <c r="A67" s="126"/>
      <c r="B67" s="126"/>
      <c r="C67" s="126"/>
      <c r="D67" s="126"/>
    </row>
    <row r="68" spans="1:4" x14ac:dyDescent="0.2">
      <c r="A68" s="126">
        <v>15</v>
      </c>
      <c r="B68" s="126" t="s">
        <v>217</v>
      </c>
      <c r="C68" s="126">
        <v>50</v>
      </c>
      <c r="D68" s="126" t="s">
        <v>217</v>
      </c>
    </row>
    <row r="69" spans="1:4" x14ac:dyDescent="0.2">
      <c r="A69" s="126"/>
      <c r="B69" s="126"/>
      <c r="C69" s="126"/>
      <c r="D69" s="126"/>
    </row>
    <row r="70" spans="1:4" x14ac:dyDescent="0.2">
      <c r="A70" s="126">
        <v>16</v>
      </c>
      <c r="B70" s="126" t="s">
        <v>218</v>
      </c>
      <c r="C70" s="126">
        <v>51</v>
      </c>
      <c r="D70" s="126" t="s">
        <v>219</v>
      </c>
    </row>
    <row r="71" spans="1:4" x14ac:dyDescent="0.2">
      <c r="A71" s="126"/>
      <c r="B71" s="126"/>
      <c r="C71" s="126">
        <v>52</v>
      </c>
      <c r="D71" s="126" t="s">
        <v>220</v>
      </c>
    </row>
    <row r="72" spans="1:4" x14ac:dyDescent="0.2">
      <c r="A72" s="126"/>
      <c r="B72" s="126"/>
      <c r="C72" s="126">
        <v>53</v>
      </c>
      <c r="D72" s="126" t="s">
        <v>221</v>
      </c>
    </row>
    <row r="73" spans="1:4" x14ac:dyDescent="0.2">
      <c r="A73" s="126"/>
      <c r="B73" s="126"/>
      <c r="C73" s="126">
        <v>54</v>
      </c>
      <c r="D73" s="126" t="s">
        <v>222</v>
      </c>
    </row>
    <row r="74" spans="1:4" x14ac:dyDescent="0.2">
      <c r="A74" s="126"/>
      <c r="B74" s="126"/>
      <c r="C74" s="126">
        <v>55</v>
      </c>
      <c r="D74" s="126" t="s">
        <v>223</v>
      </c>
    </row>
    <row r="75" spans="1:4" x14ac:dyDescent="0.2">
      <c r="A75" s="126"/>
      <c r="B75" s="126"/>
      <c r="C75" s="126">
        <v>56</v>
      </c>
      <c r="D75" s="126" t="s">
        <v>224</v>
      </c>
    </row>
    <row r="76" spans="1:4" x14ac:dyDescent="0.2">
      <c r="A76" s="126"/>
      <c r="B76" s="126"/>
      <c r="C76" s="126">
        <v>57</v>
      </c>
      <c r="D76" s="126" t="s">
        <v>225</v>
      </c>
    </row>
    <row r="77" spans="1:4" x14ac:dyDescent="0.2">
      <c r="A77" s="126"/>
      <c r="B77" s="126"/>
      <c r="C77" s="126"/>
      <c r="D77" s="126"/>
    </row>
    <row r="78" spans="1:4" x14ac:dyDescent="0.2">
      <c r="A78" s="126">
        <v>17</v>
      </c>
      <c r="B78" s="126" t="s">
        <v>226</v>
      </c>
      <c r="C78" s="126">
        <v>58</v>
      </c>
      <c r="D78" s="126" t="s">
        <v>227</v>
      </c>
    </row>
    <row r="79" spans="1:4" x14ac:dyDescent="0.2">
      <c r="A79" s="126"/>
      <c r="B79" s="126"/>
      <c r="C79" s="126">
        <v>59</v>
      </c>
      <c r="D79" s="126" t="s">
        <v>132</v>
      </c>
    </row>
    <row r="80" spans="1:4" x14ac:dyDescent="0.2">
      <c r="A80" s="126"/>
      <c r="B80" s="126"/>
      <c r="C80" s="126">
        <v>60</v>
      </c>
      <c r="D80" s="126" t="s">
        <v>228</v>
      </c>
    </row>
    <row r="81" spans="1:4" x14ac:dyDescent="0.2">
      <c r="A81" s="126"/>
      <c r="B81" s="126"/>
      <c r="C81" s="126">
        <v>61</v>
      </c>
      <c r="D81" s="126" t="s">
        <v>229</v>
      </c>
    </row>
    <row r="82" spans="1:4" x14ac:dyDescent="0.2">
      <c r="A82" s="126"/>
      <c r="B82" s="126"/>
      <c r="C82" s="126">
        <v>62</v>
      </c>
      <c r="D82" s="126" t="s">
        <v>230</v>
      </c>
    </row>
    <row r="83" spans="1:4" x14ac:dyDescent="0.2">
      <c r="A83" s="126"/>
      <c r="B83" s="126"/>
      <c r="C83" s="126">
        <v>63</v>
      </c>
      <c r="D83" s="126" t="s">
        <v>231</v>
      </c>
    </row>
    <row r="84" spans="1:4" x14ac:dyDescent="0.2">
      <c r="A84" s="126"/>
      <c r="B84" s="126"/>
      <c r="C84" s="126"/>
      <c r="D84" s="126"/>
    </row>
    <row r="85" spans="1:4" x14ac:dyDescent="0.2">
      <c r="A85" s="126">
        <v>18</v>
      </c>
      <c r="B85" s="126" t="s">
        <v>232</v>
      </c>
      <c r="C85" s="126">
        <v>64</v>
      </c>
      <c r="D85" s="126" t="s">
        <v>233</v>
      </c>
    </row>
    <row r="86" spans="1:4" x14ac:dyDescent="0.2">
      <c r="A86" s="126"/>
      <c r="B86" s="126"/>
      <c r="C86" s="126"/>
      <c r="D86" s="126"/>
    </row>
    <row r="87" spans="1:4" x14ac:dyDescent="0.2">
      <c r="A87" s="126">
        <v>19</v>
      </c>
      <c r="B87" s="126" t="s">
        <v>72</v>
      </c>
      <c r="C87" s="126">
        <v>65</v>
      </c>
      <c r="D87" s="126" t="s">
        <v>72</v>
      </c>
    </row>
    <row r="88" spans="1:4" x14ac:dyDescent="0.2">
      <c r="A88" s="126"/>
      <c r="B88" s="126"/>
      <c r="C88" s="126"/>
      <c r="D88" s="126"/>
    </row>
    <row r="89" spans="1:4" x14ac:dyDescent="0.2">
      <c r="A89" s="126">
        <v>20</v>
      </c>
      <c r="B89" s="126" t="s">
        <v>73</v>
      </c>
      <c r="C89" s="126">
        <v>66</v>
      </c>
      <c r="D89" s="126" t="s">
        <v>234</v>
      </c>
    </row>
    <row r="90" spans="1:4" x14ac:dyDescent="0.2">
      <c r="A90" s="126"/>
      <c r="B90" s="126"/>
      <c r="C90" s="126">
        <v>67</v>
      </c>
      <c r="D90" s="126" t="s">
        <v>235</v>
      </c>
    </row>
    <row r="91" spans="1:4" x14ac:dyDescent="0.2">
      <c r="A91" s="126"/>
      <c r="B91" s="126"/>
      <c r="C91" s="126">
        <v>68</v>
      </c>
      <c r="D91" s="126" t="s">
        <v>236</v>
      </c>
    </row>
    <row r="92" spans="1:4" x14ac:dyDescent="0.2">
      <c r="A92" s="126"/>
      <c r="B92" s="126"/>
      <c r="C92" s="126"/>
      <c r="D92" s="126"/>
    </row>
    <row r="93" spans="1:4" x14ac:dyDescent="0.2">
      <c r="A93" s="126">
        <v>21</v>
      </c>
      <c r="B93" s="126" t="s">
        <v>99</v>
      </c>
      <c r="C93" s="126">
        <v>69</v>
      </c>
      <c r="D93" s="126" t="s">
        <v>237</v>
      </c>
    </row>
    <row r="94" spans="1:4" x14ac:dyDescent="0.2">
      <c r="A94" s="126"/>
      <c r="B94" s="126"/>
      <c r="C94" s="126">
        <v>70</v>
      </c>
      <c r="D94" s="126" t="s">
        <v>238</v>
      </c>
    </row>
    <row r="95" spans="1:4" x14ac:dyDescent="0.2">
      <c r="A95" s="126"/>
      <c r="B95" s="126"/>
      <c r="C95" s="126">
        <v>71</v>
      </c>
      <c r="D95" s="126" t="s">
        <v>239</v>
      </c>
    </row>
    <row r="96" spans="1:4" x14ac:dyDescent="0.2">
      <c r="A96" s="126"/>
      <c r="B96" s="126"/>
      <c r="C96" s="126">
        <v>72</v>
      </c>
      <c r="D96" s="126" t="s">
        <v>240</v>
      </c>
    </row>
    <row r="97" spans="1:4" x14ac:dyDescent="0.2">
      <c r="A97" s="126"/>
      <c r="B97" s="126"/>
      <c r="C97" s="126"/>
      <c r="D97" s="126"/>
    </row>
    <row r="98" spans="1:4" x14ac:dyDescent="0.2">
      <c r="A98" s="126">
        <v>22</v>
      </c>
      <c r="B98" s="126" t="s">
        <v>241</v>
      </c>
      <c r="C98" s="126">
        <v>73</v>
      </c>
      <c r="D98" s="126" t="s">
        <v>133</v>
      </c>
    </row>
    <row r="99" spans="1:4" x14ac:dyDescent="0.2">
      <c r="A99" s="126"/>
      <c r="B99" s="126"/>
      <c r="C99" s="126">
        <v>74</v>
      </c>
      <c r="D99" s="126" t="s">
        <v>242</v>
      </c>
    </row>
    <row r="100" spans="1:4" x14ac:dyDescent="0.2">
      <c r="A100" s="126"/>
      <c r="B100" s="126"/>
      <c r="C100" s="126">
        <v>75</v>
      </c>
      <c r="D100" s="126" t="s">
        <v>243</v>
      </c>
    </row>
    <row r="101" spans="1:4" x14ac:dyDescent="0.2">
      <c r="A101"/>
      <c r="B101"/>
      <c r="C101" s="89"/>
      <c r="D101"/>
    </row>
    <row r="102" spans="1:4" x14ac:dyDescent="0.2">
      <c r="A102" s="17" t="s">
        <v>244</v>
      </c>
      <c r="B102" s="89"/>
      <c r="C102" s="89"/>
      <c r="D102"/>
    </row>
    <row r="103" spans="1:4" x14ac:dyDescent="0.2">
      <c r="A103" s="89"/>
      <c r="B103" s="89"/>
      <c r="C103" s="89"/>
      <c r="D103"/>
    </row>
    <row r="104" spans="1:4" x14ac:dyDescent="0.2">
      <c r="A104" s="10"/>
      <c r="B104" s="126" t="s">
        <v>356</v>
      </c>
      <c r="C104" s="10"/>
      <c r="D104" s="126" t="s">
        <v>355</v>
      </c>
    </row>
    <row r="105" spans="1:4" x14ac:dyDescent="0.2">
      <c r="A105" s="10"/>
      <c r="B105" s="10"/>
      <c r="C105" s="10"/>
      <c r="D105" s="10"/>
    </row>
    <row r="106" spans="1:4" x14ac:dyDescent="0.2">
      <c r="A106" s="10">
        <v>1</v>
      </c>
      <c r="B106" s="10" t="s">
        <v>245</v>
      </c>
      <c r="C106" s="10">
        <v>1</v>
      </c>
      <c r="D106" s="10" t="s">
        <v>168</v>
      </c>
    </row>
    <row r="107" spans="1:4" x14ac:dyDescent="0.2">
      <c r="A107" s="10"/>
      <c r="B107" s="10"/>
      <c r="C107" s="10">
        <v>2</v>
      </c>
      <c r="D107" s="10" t="s">
        <v>169</v>
      </c>
    </row>
    <row r="108" spans="1:4" x14ac:dyDescent="0.2">
      <c r="A108" s="10"/>
      <c r="B108" s="10"/>
      <c r="C108" s="10">
        <v>24</v>
      </c>
      <c r="D108" s="10" t="s">
        <v>189</v>
      </c>
    </row>
    <row r="109" spans="1:4" x14ac:dyDescent="0.2">
      <c r="A109" s="10"/>
      <c r="B109" s="10"/>
      <c r="C109" s="10">
        <v>25</v>
      </c>
      <c r="D109" s="10" t="s">
        <v>191</v>
      </c>
    </row>
    <row r="110" spans="1:4" x14ac:dyDescent="0.2">
      <c r="A110" s="10"/>
      <c r="B110" s="10"/>
      <c r="C110" s="10">
        <v>26</v>
      </c>
      <c r="D110" s="10" t="s">
        <v>192</v>
      </c>
    </row>
    <row r="111" spans="1:4" x14ac:dyDescent="0.2">
      <c r="A111" s="10"/>
      <c r="B111" s="10"/>
      <c r="C111" s="10">
        <v>27</v>
      </c>
      <c r="D111" s="10" t="s">
        <v>193</v>
      </c>
    </row>
    <row r="112" spans="1:4" x14ac:dyDescent="0.2">
      <c r="A112" s="10"/>
      <c r="B112" s="10"/>
      <c r="C112" s="10"/>
      <c r="D112" s="10"/>
    </row>
    <row r="113" spans="1:4" x14ac:dyDescent="0.2">
      <c r="A113" s="10">
        <v>2</v>
      </c>
      <c r="B113" s="10" t="s">
        <v>101</v>
      </c>
      <c r="C113" s="10">
        <v>3</v>
      </c>
      <c r="D113" s="10" t="s">
        <v>171</v>
      </c>
    </row>
    <row r="114" spans="1:4" x14ac:dyDescent="0.2">
      <c r="A114" s="10"/>
      <c r="B114" s="10"/>
      <c r="C114" s="10">
        <v>4</v>
      </c>
      <c r="D114" s="10" t="s">
        <v>172</v>
      </c>
    </row>
    <row r="115" spans="1:4" x14ac:dyDescent="0.2">
      <c r="A115" s="10"/>
      <c r="B115" s="10"/>
      <c r="C115" s="10">
        <v>5</v>
      </c>
      <c r="D115" s="10" t="s">
        <v>175</v>
      </c>
    </row>
    <row r="116" spans="1:4" x14ac:dyDescent="0.2">
      <c r="A116" s="10"/>
      <c r="B116" s="10"/>
      <c r="C116" s="10">
        <v>6</v>
      </c>
      <c r="D116" s="10" t="s">
        <v>176</v>
      </c>
    </row>
    <row r="117" spans="1:4" x14ac:dyDescent="0.2">
      <c r="A117" s="10"/>
      <c r="B117" s="10"/>
      <c r="C117" s="10">
        <v>7</v>
      </c>
      <c r="D117" s="10" t="s">
        <v>177</v>
      </c>
    </row>
    <row r="118" spans="1:4" x14ac:dyDescent="0.2">
      <c r="A118" s="10"/>
      <c r="B118" s="10"/>
      <c r="C118" s="10">
        <v>8</v>
      </c>
      <c r="D118" s="10" t="s">
        <v>178</v>
      </c>
    </row>
    <row r="119" spans="1:4" x14ac:dyDescent="0.2">
      <c r="A119" s="10"/>
      <c r="B119" s="10"/>
      <c r="C119" s="10">
        <v>9</v>
      </c>
      <c r="D119" s="10" t="s">
        <v>179</v>
      </c>
    </row>
    <row r="120" spans="1:4" x14ac:dyDescent="0.2">
      <c r="A120" s="10"/>
      <c r="B120" s="10"/>
      <c r="C120" s="10">
        <v>10</v>
      </c>
      <c r="D120" s="10" t="s">
        <v>180</v>
      </c>
    </row>
    <row r="121" spans="1:4" x14ac:dyDescent="0.2">
      <c r="A121" s="10"/>
      <c r="B121" s="10"/>
      <c r="C121" s="10">
        <v>11</v>
      </c>
      <c r="D121" s="10" t="s">
        <v>70</v>
      </c>
    </row>
    <row r="122" spans="1:4" x14ac:dyDescent="0.2">
      <c r="A122" s="10"/>
      <c r="B122" s="10"/>
      <c r="C122" s="10">
        <v>12</v>
      </c>
      <c r="D122" s="10" t="s">
        <v>181</v>
      </c>
    </row>
    <row r="123" spans="1:4" x14ac:dyDescent="0.2">
      <c r="A123" s="10"/>
      <c r="B123" s="10"/>
      <c r="C123" s="10">
        <v>13</v>
      </c>
      <c r="D123" s="10" t="s">
        <v>182</v>
      </c>
    </row>
    <row r="124" spans="1:4" x14ac:dyDescent="0.2">
      <c r="A124" s="10"/>
      <c r="B124" s="10"/>
      <c r="C124" s="10">
        <v>14</v>
      </c>
      <c r="D124" s="10" t="s">
        <v>128</v>
      </c>
    </row>
    <row r="125" spans="1:4" x14ac:dyDescent="0.2">
      <c r="A125" s="10"/>
      <c r="B125" s="10"/>
      <c r="C125" s="10">
        <v>15</v>
      </c>
      <c r="D125" s="10" t="s">
        <v>129</v>
      </c>
    </row>
    <row r="126" spans="1:4" x14ac:dyDescent="0.2">
      <c r="A126" s="10"/>
      <c r="B126" s="10"/>
      <c r="C126" s="10">
        <v>16</v>
      </c>
      <c r="D126" s="10" t="s">
        <v>173</v>
      </c>
    </row>
    <row r="127" spans="1:4" x14ac:dyDescent="0.2">
      <c r="A127" s="10"/>
      <c r="B127" s="10"/>
      <c r="C127" s="10">
        <v>17</v>
      </c>
      <c r="D127" s="10" t="s">
        <v>95</v>
      </c>
    </row>
    <row r="128" spans="1:4" x14ac:dyDescent="0.2">
      <c r="A128" s="10"/>
      <c r="B128" s="10"/>
      <c r="C128" s="10">
        <v>18</v>
      </c>
      <c r="D128" s="10" t="s">
        <v>174</v>
      </c>
    </row>
    <row r="129" spans="1:4" x14ac:dyDescent="0.2">
      <c r="A129" s="10"/>
      <c r="B129" s="10"/>
      <c r="C129" s="10">
        <v>19</v>
      </c>
      <c r="D129" s="10" t="s">
        <v>183</v>
      </c>
    </row>
    <row r="130" spans="1:4" x14ac:dyDescent="0.2">
      <c r="A130" s="10"/>
      <c r="B130" s="10"/>
      <c r="C130" s="10">
        <v>20</v>
      </c>
      <c r="D130" s="10" t="s">
        <v>184</v>
      </c>
    </row>
    <row r="131" spans="1:4" x14ac:dyDescent="0.2">
      <c r="A131" s="10"/>
      <c r="B131" s="10"/>
      <c r="C131" s="10">
        <v>21</v>
      </c>
      <c r="D131" s="10" t="s">
        <v>185</v>
      </c>
    </row>
    <row r="132" spans="1:4" x14ac:dyDescent="0.2">
      <c r="A132" s="10"/>
      <c r="B132" s="10"/>
      <c r="C132" s="10">
        <v>22</v>
      </c>
      <c r="D132" s="10" t="s">
        <v>186</v>
      </c>
    </row>
    <row r="133" spans="1:4" x14ac:dyDescent="0.2">
      <c r="A133" s="10"/>
      <c r="B133" s="10"/>
      <c r="C133" s="10">
        <v>23</v>
      </c>
      <c r="D133" s="10" t="s">
        <v>187</v>
      </c>
    </row>
    <row r="134" spans="1:4" x14ac:dyDescent="0.2">
      <c r="A134" s="10"/>
      <c r="B134" s="10"/>
      <c r="C134" s="10"/>
      <c r="D134" s="10"/>
    </row>
    <row r="135" spans="1:4" x14ac:dyDescent="0.2">
      <c r="A135" s="10">
        <v>3</v>
      </c>
      <c r="B135" s="10" t="s">
        <v>71</v>
      </c>
      <c r="C135" s="10">
        <v>28</v>
      </c>
      <c r="D135" s="10" t="s">
        <v>194</v>
      </c>
    </row>
    <row r="136" spans="1:4" x14ac:dyDescent="0.2">
      <c r="A136" s="10"/>
      <c r="B136" s="10"/>
      <c r="C136" s="10">
        <v>29</v>
      </c>
      <c r="D136" s="10" t="s">
        <v>195</v>
      </c>
    </row>
    <row r="137" spans="1:4" x14ac:dyDescent="0.2">
      <c r="A137" s="10"/>
      <c r="B137" s="10"/>
      <c r="C137" s="10">
        <v>30</v>
      </c>
      <c r="D137" s="10" t="s">
        <v>196</v>
      </c>
    </row>
    <row r="138" spans="1:4" x14ac:dyDescent="0.2">
      <c r="A138" s="10"/>
      <c r="B138" s="10"/>
      <c r="C138" s="10"/>
      <c r="D138" s="10"/>
    </row>
    <row r="139" spans="1:4" x14ac:dyDescent="0.2">
      <c r="A139" s="10">
        <v>4</v>
      </c>
      <c r="B139" s="10" t="s">
        <v>246</v>
      </c>
      <c r="C139" s="10">
        <v>31</v>
      </c>
      <c r="D139" s="10" t="s">
        <v>197</v>
      </c>
    </row>
    <row r="140" spans="1:4" x14ac:dyDescent="0.2">
      <c r="A140" s="10"/>
      <c r="B140" s="10"/>
      <c r="C140" s="10">
        <v>32</v>
      </c>
      <c r="D140" s="10" t="s">
        <v>198</v>
      </c>
    </row>
    <row r="141" spans="1:4" x14ac:dyDescent="0.2">
      <c r="A141" s="10"/>
      <c r="B141" s="10"/>
      <c r="C141" s="10">
        <v>33</v>
      </c>
      <c r="D141" s="10" t="s">
        <v>199</v>
      </c>
    </row>
    <row r="142" spans="1:4" x14ac:dyDescent="0.2">
      <c r="A142" s="10"/>
      <c r="B142" s="10"/>
      <c r="C142" s="10">
        <v>34</v>
      </c>
      <c r="D142" s="10" t="s">
        <v>201</v>
      </c>
    </row>
    <row r="143" spans="1:4" x14ac:dyDescent="0.2">
      <c r="A143" s="10"/>
      <c r="B143" s="10"/>
      <c r="C143" s="10">
        <v>35</v>
      </c>
      <c r="D143" s="10" t="s">
        <v>202</v>
      </c>
    </row>
    <row r="144" spans="1:4" x14ac:dyDescent="0.2">
      <c r="A144" s="10"/>
      <c r="B144" s="10"/>
      <c r="C144" s="10">
        <v>36</v>
      </c>
      <c r="D144" s="10" t="s">
        <v>203</v>
      </c>
    </row>
    <row r="145" spans="1:4" x14ac:dyDescent="0.2">
      <c r="A145" s="10"/>
      <c r="B145" s="10"/>
      <c r="C145" s="10">
        <v>37</v>
      </c>
      <c r="D145" s="10" t="s">
        <v>204</v>
      </c>
    </row>
    <row r="146" spans="1:4" x14ac:dyDescent="0.2">
      <c r="A146" s="10"/>
      <c r="B146" s="10"/>
      <c r="C146" s="10">
        <v>38</v>
      </c>
      <c r="D146" s="10" t="s">
        <v>205</v>
      </c>
    </row>
    <row r="147" spans="1:4" x14ac:dyDescent="0.2">
      <c r="A147" s="10"/>
      <c r="B147" s="10"/>
      <c r="C147" s="10">
        <v>39</v>
      </c>
      <c r="D147" s="10" t="s">
        <v>207</v>
      </c>
    </row>
    <row r="148" spans="1:4" x14ac:dyDescent="0.2">
      <c r="A148" s="10"/>
      <c r="B148" s="10"/>
      <c r="C148" s="10">
        <v>40</v>
      </c>
      <c r="D148" s="10" t="s">
        <v>208</v>
      </c>
    </row>
    <row r="149" spans="1:4" x14ac:dyDescent="0.2">
      <c r="A149" s="10"/>
      <c r="B149" s="10"/>
      <c r="C149" s="10"/>
      <c r="D149" s="10"/>
    </row>
    <row r="150" spans="1:4" x14ac:dyDescent="0.2">
      <c r="A150" s="10">
        <v>5</v>
      </c>
      <c r="B150" s="10" t="s">
        <v>247</v>
      </c>
      <c r="C150" s="10">
        <v>41</v>
      </c>
      <c r="D150" s="10" t="s">
        <v>130</v>
      </c>
    </row>
    <row r="151" spans="1:4" x14ac:dyDescent="0.2">
      <c r="A151" s="10"/>
      <c r="B151" s="10"/>
      <c r="C151" s="10">
        <v>42</v>
      </c>
      <c r="D151" s="10" t="s">
        <v>209</v>
      </c>
    </row>
    <row r="152" spans="1:4" x14ac:dyDescent="0.2">
      <c r="A152" s="10"/>
      <c r="B152" s="10"/>
      <c r="C152" s="10">
        <v>43</v>
      </c>
      <c r="D152" s="10" t="s">
        <v>210</v>
      </c>
    </row>
    <row r="153" spans="1:4" x14ac:dyDescent="0.2">
      <c r="A153" s="10"/>
      <c r="B153" s="10"/>
      <c r="C153" s="10">
        <v>44</v>
      </c>
      <c r="D153" s="10" t="s">
        <v>98</v>
      </c>
    </row>
    <row r="154" spans="1:4" x14ac:dyDescent="0.2">
      <c r="A154" s="10"/>
      <c r="B154" s="10"/>
      <c r="C154" s="10">
        <v>45</v>
      </c>
      <c r="D154" s="10" t="s">
        <v>212</v>
      </c>
    </row>
    <row r="155" spans="1:4" x14ac:dyDescent="0.2">
      <c r="A155" s="10"/>
      <c r="B155" s="10"/>
      <c r="C155" s="10">
        <v>46</v>
      </c>
      <c r="D155" s="10" t="s">
        <v>213</v>
      </c>
    </row>
    <row r="156" spans="1:4" x14ac:dyDescent="0.2">
      <c r="A156" s="10"/>
      <c r="B156" s="10"/>
      <c r="C156" s="10">
        <v>47</v>
      </c>
      <c r="D156" s="10" t="s">
        <v>131</v>
      </c>
    </row>
    <row r="157" spans="1:4" x14ac:dyDescent="0.2">
      <c r="A157" s="10"/>
      <c r="B157" s="10"/>
      <c r="C157" s="10">
        <v>48</v>
      </c>
      <c r="D157" s="10" t="s">
        <v>215</v>
      </c>
    </row>
    <row r="158" spans="1:4" x14ac:dyDescent="0.2">
      <c r="A158" s="10"/>
      <c r="B158" s="10"/>
      <c r="C158" s="10">
        <v>49</v>
      </c>
      <c r="D158" s="10" t="s">
        <v>216</v>
      </c>
    </row>
    <row r="159" spans="1:4" x14ac:dyDescent="0.2">
      <c r="A159" s="10"/>
      <c r="B159" s="10"/>
      <c r="C159" s="10">
        <v>50</v>
      </c>
      <c r="D159" s="10" t="s">
        <v>217</v>
      </c>
    </row>
    <row r="160" spans="1:4" x14ac:dyDescent="0.2">
      <c r="A160" s="10"/>
      <c r="B160" s="10"/>
      <c r="C160" s="10">
        <v>51</v>
      </c>
      <c r="D160" s="10" t="s">
        <v>219</v>
      </c>
    </row>
    <row r="161" spans="1:4" x14ac:dyDescent="0.2">
      <c r="A161" s="10"/>
      <c r="B161" s="10"/>
      <c r="C161" s="10">
        <v>52</v>
      </c>
      <c r="D161" s="10" t="s">
        <v>220</v>
      </c>
    </row>
    <row r="162" spans="1:4" x14ac:dyDescent="0.2">
      <c r="A162" s="10"/>
      <c r="B162" s="10"/>
      <c r="C162" s="10">
        <v>53</v>
      </c>
      <c r="D162" s="10" t="s">
        <v>221</v>
      </c>
    </row>
    <row r="163" spans="1:4" x14ac:dyDescent="0.2">
      <c r="A163" s="10"/>
      <c r="B163" s="10"/>
      <c r="C163" s="10">
        <v>54</v>
      </c>
      <c r="D163" s="10" t="s">
        <v>222</v>
      </c>
    </row>
    <row r="164" spans="1:4" x14ac:dyDescent="0.2">
      <c r="A164" s="10"/>
      <c r="B164" s="10"/>
      <c r="C164" s="10">
        <v>55</v>
      </c>
      <c r="D164" s="10" t="s">
        <v>223</v>
      </c>
    </row>
    <row r="165" spans="1:4" x14ac:dyDescent="0.2">
      <c r="A165" s="10"/>
      <c r="B165" s="10"/>
      <c r="C165" s="10">
        <v>56</v>
      </c>
      <c r="D165" s="10" t="s">
        <v>224</v>
      </c>
    </row>
    <row r="166" spans="1:4" x14ac:dyDescent="0.2">
      <c r="A166" s="10"/>
      <c r="B166" s="10"/>
      <c r="C166" s="10">
        <v>57</v>
      </c>
      <c r="D166" s="10" t="s">
        <v>225</v>
      </c>
    </row>
    <row r="167" spans="1:4" x14ac:dyDescent="0.2">
      <c r="A167" s="10"/>
      <c r="B167" s="10"/>
      <c r="C167" s="10">
        <v>58</v>
      </c>
      <c r="D167" s="10" t="s">
        <v>227</v>
      </c>
    </row>
    <row r="168" spans="1:4" x14ac:dyDescent="0.2">
      <c r="A168" s="10"/>
      <c r="B168" s="10"/>
      <c r="C168" s="10">
        <v>59</v>
      </c>
      <c r="D168" s="10" t="s">
        <v>132</v>
      </c>
    </row>
    <row r="169" spans="1:4" x14ac:dyDescent="0.2">
      <c r="A169" s="10"/>
      <c r="B169" s="10"/>
      <c r="C169" s="10">
        <v>60</v>
      </c>
      <c r="D169" s="10" t="s">
        <v>228</v>
      </c>
    </row>
    <row r="170" spans="1:4" x14ac:dyDescent="0.2">
      <c r="A170" s="10"/>
      <c r="B170" s="10"/>
      <c r="C170" s="10">
        <v>61</v>
      </c>
      <c r="D170" s="10" t="s">
        <v>229</v>
      </c>
    </row>
    <row r="171" spans="1:4" x14ac:dyDescent="0.2">
      <c r="A171" s="10"/>
      <c r="B171" s="10"/>
      <c r="C171" s="10">
        <v>62</v>
      </c>
      <c r="D171" s="10" t="s">
        <v>230</v>
      </c>
    </row>
    <row r="172" spans="1:4" x14ac:dyDescent="0.2">
      <c r="A172" s="10"/>
      <c r="B172" s="10"/>
      <c r="C172" s="10">
        <v>63</v>
      </c>
      <c r="D172" s="10" t="s">
        <v>231</v>
      </c>
    </row>
    <row r="173" spans="1:4" x14ac:dyDescent="0.2">
      <c r="A173" s="10"/>
      <c r="B173" s="10"/>
      <c r="C173" s="10">
        <v>69</v>
      </c>
      <c r="D173" s="10" t="s">
        <v>237</v>
      </c>
    </row>
    <row r="174" spans="1:4" x14ac:dyDescent="0.2">
      <c r="A174" s="10"/>
      <c r="B174" s="10"/>
      <c r="C174" s="10">
        <v>70</v>
      </c>
      <c r="D174" s="10" t="s">
        <v>238</v>
      </c>
    </row>
    <row r="175" spans="1:4" x14ac:dyDescent="0.2">
      <c r="A175" s="10"/>
      <c r="B175" s="10"/>
      <c r="C175" s="10">
        <v>71</v>
      </c>
      <c r="D175" s="10" t="s">
        <v>239</v>
      </c>
    </row>
    <row r="176" spans="1:4" x14ac:dyDescent="0.2">
      <c r="A176" s="10"/>
      <c r="B176" s="10"/>
      <c r="C176" s="10">
        <v>72</v>
      </c>
      <c r="D176" s="10" t="s">
        <v>240</v>
      </c>
    </row>
    <row r="177" spans="1:6" x14ac:dyDescent="0.2">
      <c r="A177" s="10"/>
      <c r="B177" s="10"/>
      <c r="C177" s="10">
        <v>73</v>
      </c>
      <c r="D177" s="10" t="s">
        <v>133</v>
      </c>
    </row>
    <row r="178" spans="1:6" x14ac:dyDescent="0.2">
      <c r="A178" s="10"/>
      <c r="B178" s="10"/>
      <c r="C178" s="10">
        <v>74</v>
      </c>
      <c r="D178" s="10" t="s">
        <v>242</v>
      </c>
    </row>
    <row r="179" spans="1:6" x14ac:dyDescent="0.2">
      <c r="A179" s="10"/>
      <c r="B179" s="10"/>
      <c r="C179" s="10">
        <v>75</v>
      </c>
      <c r="D179" s="10" t="s">
        <v>243</v>
      </c>
    </row>
    <row r="180" spans="1:6" x14ac:dyDescent="0.2">
      <c r="A180" s="10"/>
      <c r="B180" s="10"/>
      <c r="C180" s="10"/>
      <c r="D180" s="10"/>
    </row>
    <row r="181" spans="1:6" x14ac:dyDescent="0.2">
      <c r="A181" s="10">
        <v>6</v>
      </c>
      <c r="B181" s="10" t="s">
        <v>248</v>
      </c>
      <c r="C181" s="10">
        <v>64</v>
      </c>
      <c r="D181" s="10" t="s">
        <v>233</v>
      </c>
    </row>
    <row r="182" spans="1:6" x14ac:dyDescent="0.2">
      <c r="A182" s="10"/>
      <c r="B182" s="10"/>
      <c r="C182" s="10">
        <v>65</v>
      </c>
      <c r="D182" s="10" t="s">
        <v>72</v>
      </c>
    </row>
    <row r="183" spans="1:6" x14ac:dyDescent="0.2">
      <c r="A183" s="10"/>
      <c r="B183" s="10"/>
      <c r="C183" s="10">
        <v>66</v>
      </c>
      <c r="D183" s="10" t="s">
        <v>234</v>
      </c>
    </row>
    <row r="184" spans="1:6" x14ac:dyDescent="0.2">
      <c r="A184" s="10"/>
      <c r="B184" s="10"/>
      <c r="C184" s="10">
        <v>67</v>
      </c>
      <c r="D184" s="10" t="s">
        <v>235</v>
      </c>
    </row>
    <row r="185" spans="1:6" x14ac:dyDescent="0.2">
      <c r="A185" s="10"/>
      <c r="B185" s="10"/>
      <c r="C185" s="10">
        <v>68</v>
      </c>
      <c r="D185" s="10" t="s">
        <v>236</v>
      </c>
    </row>
    <row r="186" spans="1:6" x14ac:dyDescent="0.2">
      <c r="A186"/>
      <c r="B186"/>
      <c r="C186" s="89"/>
      <c r="D186"/>
    </row>
    <row r="187" spans="1:6" x14ac:dyDescent="0.2">
      <c r="A187" s="17" t="s">
        <v>429</v>
      </c>
      <c r="B187"/>
      <c r="C187" s="89"/>
      <c r="D187"/>
    </row>
    <row r="188" spans="1:6" x14ac:dyDescent="0.2">
      <c r="A188"/>
      <c r="B188"/>
    </row>
    <row r="189" spans="1:6" x14ac:dyDescent="0.2">
      <c r="A189"/>
      <c r="B189" s="126" t="s">
        <v>356</v>
      </c>
      <c r="C189" s="126"/>
      <c r="D189" s="126" t="s">
        <v>354</v>
      </c>
    </row>
    <row r="190" spans="1:6" x14ac:dyDescent="0.2">
      <c r="A190"/>
      <c r="B190"/>
      <c r="C190" s="126"/>
      <c r="D190" s="126"/>
      <c r="E190" s="126"/>
      <c r="F190" s="126"/>
    </row>
    <row r="191" spans="1:6" x14ac:dyDescent="0.2">
      <c r="A191" s="10">
        <v>1</v>
      </c>
      <c r="B191" s="10" t="s">
        <v>245</v>
      </c>
      <c r="C191" s="126">
        <v>1</v>
      </c>
      <c r="D191" s="126" t="s">
        <v>167</v>
      </c>
    </row>
    <row r="192" spans="1:6" x14ac:dyDescent="0.2">
      <c r="A192"/>
      <c r="B192"/>
      <c r="C192" s="126">
        <v>2</v>
      </c>
      <c r="D192" s="126" t="s">
        <v>94</v>
      </c>
      <c r="E192" s="126"/>
      <c r="F192" s="126"/>
    </row>
    <row r="193" spans="1:6" x14ac:dyDescent="0.2">
      <c r="A193"/>
      <c r="B193"/>
      <c r="C193" s="126">
        <v>6</v>
      </c>
      <c r="D193" s="126" t="s">
        <v>188</v>
      </c>
    </row>
    <row r="194" spans="1:6" x14ac:dyDescent="0.2">
      <c r="A194"/>
      <c r="B194"/>
      <c r="C194" s="126">
        <v>7</v>
      </c>
      <c r="D194" s="126" t="s">
        <v>190</v>
      </c>
      <c r="E194" s="126"/>
      <c r="F194" s="126"/>
    </row>
    <row r="195" spans="1:6" x14ac:dyDescent="0.2">
      <c r="A195"/>
      <c r="B195"/>
      <c r="C195" s="89"/>
      <c r="D195"/>
      <c r="E195" s="126"/>
      <c r="F195" s="126"/>
    </row>
    <row r="196" spans="1:6" x14ac:dyDescent="0.2">
      <c r="A196" s="10">
        <v>2</v>
      </c>
      <c r="B196" s="10" t="s">
        <v>101</v>
      </c>
      <c r="C196" s="126">
        <v>3</v>
      </c>
      <c r="D196" s="126" t="s">
        <v>170</v>
      </c>
    </row>
    <row r="197" spans="1:6" x14ac:dyDescent="0.2">
      <c r="A197"/>
      <c r="B197"/>
      <c r="C197" s="126">
        <v>4</v>
      </c>
      <c r="D197" s="126" t="s">
        <v>69</v>
      </c>
      <c r="E197" s="126"/>
      <c r="F197" s="126"/>
    </row>
    <row r="198" spans="1:6" x14ac:dyDescent="0.2">
      <c r="A198"/>
      <c r="B198"/>
      <c r="C198" s="126">
        <v>5</v>
      </c>
      <c r="D198" s="126" t="s">
        <v>96</v>
      </c>
      <c r="E198" s="126"/>
      <c r="F198" s="126"/>
    </row>
    <row r="199" spans="1:6" x14ac:dyDescent="0.2">
      <c r="A199"/>
      <c r="B199"/>
      <c r="C199" s="89"/>
      <c r="D199"/>
      <c r="E199" s="126"/>
      <c r="F199" s="126"/>
    </row>
    <row r="200" spans="1:6" x14ac:dyDescent="0.2">
      <c r="A200" s="10">
        <v>3</v>
      </c>
      <c r="B200" s="10" t="s">
        <v>71</v>
      </c>
      <c r="C200" s="126">
        <v>8</v>
      </c>
      <c r="D200" s="126" t="s">
        <v>71</v>
      </c>
    </row>
    <row r="201" spans="1:6" x14ac:dyDescent="0.2">
      <c r="A201"/>
      <c r="B201"/>
      <c r="C201" s="89"/>
      <c r="D201"/>
      <c r="E201" s="126"/>
      <c r="F201" s="126"/>
    </row>
    <row r="202" spans="1:6" x14ac:dyDescent="0.2">
      <c r="A202" s="10">
        <v>4</v>
      </c>
      <c r="B202" s="10" t="s">
        <v>246</v>
      </c>
      <c r="C202" s="126">
        <v>9</v>
      </c>
      <c r="D202" s="126" t="s">
        <v>97</v>
      </c>
      <c r="E202" s="126"/>
      <c r="F202" s="126"/>
    </row>
    <row r="203" spans="1:6" x14ac:dyDescent="0.2">
      <c r="A203"/>
      <c r="B203"/>
      <c r="C203" s="126">
        <v>10</v>
      </c>
      <c r="D203" s="126" t="s">
        <v>200</v>
      </c>
      <c r="E203" s="126"/>
      <c r="F203" s="126"/>
    </row>
    <row r="204" spans="1:6" x14ac:dyDescent="0.2">
      <c r="A204"/>
      <c r="B204"/>
      <c r="C204" s="126">
        <v>11</v>
      </c>
      <c r="D204" s="126" t="s">
        <v>206</v>
      </c>
      <c r="E204" s="126"/>
      <c r="F204" s="126"/>
    </row>
    <row r="205" spans="1:6" x14ac:dyDescent="0.2">
      <c r="A205"/>
      <c r="B205"/>
      <c r="C205" s="89"/>
      <c r="D205"/>
      <c r="E205" s="126"/>
      <c r="F205" s="126"/>
    </row>
    <row r="206" spans="1:6" x14ac:dyDescent="0.2">
      <c r="A206" s="10">
        <v>5</v>
      </c>
      <c r="B206" s="10" t="s">
        <v>247</v>
      </c>
      <c r="C206" s="126">
        <v>12</v>
      </c>
      <c r="D206" s="126" t="s">
        <v>100</v>
      </c>
      <c r="E206" s="126"/>
      <c r="F206" s="126"/>
    </row>
    <row r="207" spans="1:6" x14ac:dyDescent="0.2">
      <c r="A207"/>
      <c r="B207"/>
      <c r="C207" s="126">
        <v>13</v>
      </c>
      <c r="D207" s="126" t="s">
        <v>211</v>
      </c>
      <c r="E207" s="126"/>
      <c r="F207" s="126"/>
    </row>
    <row r="208" spans="1:6" x14ac:dyDescent="0.2">
      <c r="A208"/>
      <c r="B208"/>
      <c r="C208" s="126">
        <v>14</v>
      </c>
      <c r="D208" s="126" t="s">
        <v>214</v>
      </c>
      <c r="E208" s="126"/>
      <c r="F208" s="126"/>
    </row>
    <row r="209" spans="1:6" x14ac:dyDescent="0.2">
      <c r="A209"/>
      <c r="B209"/>
      <c r="C209" s="126">
        <v>15</v>
      </c>
      <c r="D209" s="126" t="s">
        <v>217</v>
      </c>
      <c r="E209" s="126"/>
      <c r="F209" s="126"/>
    </row>
    <row r="210" spans="1:6" x14ac:dyDescent="0.2">
      <c r="A210"/>
      <c r="B210"/>
      <c r="C210" s="126">
        <v>16</v>
      </c>
      <c r="D210" s="126" t="s">
        <v>218</v>
      </c>
      <c r="E210" s="126"/>
      <c r="F210" s="126"/>
    </row>
    <row r="211" spans="1:6" x14ac:dyDescent="0.2">
      <c r="A211"/>
      <c r="B211"/>
      <c r="C211" s="126">
        <v>17</v>
      </c>
      <c r="D211" s="126" t="s">
        <v>226</v>
      </c>
      <c r="E211" s="126"/>
      <c r="F211" s="126"/>
    </row>
    <row r="212" spans="1:6" x14ac:dyDescent="0.2">
      <c r="A212"/>
      <c r="B212"/>
      <c r="C212" s="126">
        <v>21</v>
      </c>
      <c r="D212" s="126" t="s">
        <v>99</v>
      </c>
      <c r="E212" s="126"/>
      <c r="F212" s="126"/>
    </row>
    <row r="213" spans="1:6" x14ac:dyDescent="0.2">
      <c r="A213"/>
      <c r="B213"/>
      <c r="C213" s="126">
        <v>22</v>
      </c>
      <c r="D213" s="126" t="s">
        <v>241</v>
      </c>
      <c r="E213" s="126"/>
      <c r="F213" s="126"/>
    </row>
    <row r="214" spans="1:6" x14ac:dyDescent="0.2">
      <c r="A214"/>
      <c r="B214"/>
      <c r="C214" s="126"/>
      <c r="D214" s="126"/>
      <c r="E214" s="126"/>
      <c r="F214" s="126"/>
    </row>
    <row r="215" spans="1:6" x14ac:dyDescent="0.2">
      <c r="A215" s="10">
        <v>6</v>
      </c>
      <c r="B215" s="10" t="s">
        <v>248</v>
      </c>
      <c r="C215" s="126">
        <v>18</v>
      </c>
      <c r="D215" s="126" t="s">
        <v>232</v>
      </c>
      <c r="E215" s="126"/>
      <c r="F215" s="126"/>
    </row>
    <row r="216" spans="1:6" x14ac:dyDescent="0.2">
      <c r="A216"/>
      <c r="B216"/>
      <c r="C216" s="126">
        <v>19</v>
      </c>
      <c r="D216" s="126" t="s">
        <v>72</v>
      </c>
      <c r="E216" s="126"/>
      <c r="F216" s="126"/>
    </row>
    <row r="217" spans="1:6" x14ac:dyDescent="0.2">
      <c r="A217"/>
      <c r="B217"/>
      <c r="C217" s="126">
        <v>20</v>
      </c>
      <c r="D217" s="126" t="s">
        <v>73</v>
      </c>
    </row>
    <row r="218" spans="1:6" x14ac:dyDescent="0.2">
      <c r="A218"/>
      <c r="B218"/>
      <c r="C218" s="126"/>
      <c r="D218" s="126"/>
      <c r="E218" s="126"/>
      <c r="F218" s="126"/>
    </row>
    <row r="219" spans="1:6" x14ac:dyDescent="0.2">
      <c r="A219"/>
      <c r="B219"/>
      <c r="C219" s="89"/>
      <c r="D219"/>
      <c r="E219" s="126"/>
      <c r="F219" s="126"/>
    </row>
    <row r="220" spans="1:6" x14ac:dyDescent="0.2">
      <c r="A220" s="15" t="s">
        <v>501</v>
      </c>
      <c r="B220" s="89"/>
      <c r="C220" s="126"/>
      <c r="D220" s="126"/>
      <c r="E220" s="126"/>
      <c r="F220" s="126"/>
    </row>
    <row r="221" spans="1:6" x14ac:dyDescent="0.2">
      <c r="A221" s="89" t="s">
        <v>11</v>
      </c>
      <c r="B221" s="89"/>
      <c r="C221" s="126"/>
      <c r="D221" s="126"/>
    </row>
    <row r="222" spans="1:6" x14ac:dyDescent="0.2">
      <c r="A222" s="89" t="s">
        <v>11</v>
      </c>
      <c r="B222" s="89"/>
      <c r="C222" s="126"/>
      <c r="D222" s="126"/>
      <c r="E222" s="126"/>
      <c r="F222" s="126"/>
    </row>
    <row r="223" spans="1:6" x14ac:dyDescent="0.2">
      <c r="A223" s="89"/>
      <c r="B223" s="89" t="s">
        <v>357</v>
      </c>
      <c r="C223" s="89"/>
      <c r="D223" s="89" t="s">
        <v>502</v>
      </c>
      <c r="E223" s="126"/>
      <c r="F223" s="126"/>
    </row>
    <row r="224" spans="1:6" x14ac:dyDescent="0.2">
      <c r="A224" s="89" t="s">
        <v>11</v>
      </c>
      <c r="B224" s="89"/>
      <c r="C224" s="89"/>
      <c r="D224" s="89"/>
      <c r="E224" s="126"/>
      <c r="F224" s="126"/>
    </row>
    <row r="225" spans="1:6" x14ac:dyDescent="0.2">
      <c r="A225" s="89">
        <v>1</v>
      </c>
      <c r="B225" s="126" t="s">
        <v>328</v>
      </c>
      <c r="C225" s="89">
        <v>1</v>
      </c>
      <c r="D225" s="126" t="s">
        <v>470</v>
      </c>
      <c r="E225" s="126"/>
      <c r="F225" s="126"/>
    </row>
    <row r="226" spans="1:6" x14ac:dyDescent="0.2">
      <c r="A226" s="89"/>
      <c r="B226" s="89"/>
      <c r="C226" s="89">
        <v>2</v>
      </c>
      <c r="D226" s="126" t="s">
        <v>471</v>
      </c>
      <c r="E226" s="126"/>
      <c r="F226" s="126"/>
    </row>
    <row r="227" spans="1:6" x14ac:dyDescent="0.2">
      <c r="A227" s="89"/>
      <c r="B227" s="89"/>
      <c r="C227" s="89"/>
      <c r="D227" s="126"/>
    </row>
    <row r="228" spans="1:6" x14ac:dyDescent="0.2">
      <c r="A228" s="89">
        <v>2</v>
      </c>
      <c r="B228" s="126" t="s">
        <v>329</v>
      </c>
      <c r="C228" s="89">
        <v>3</v>
      </c>
      <c r="D228" s="126" t="s">
        <v>472</v>
      </c>
      <c r="E228" s="126"/>
      <c r="F228" s="126"/>
    </row>
    <row r="229" spans="1:6" x14ac:dyDescent="0.2">
      <c r="A229" s="89"/>
      <c r="B229" s="89"/>
      <c r="C229" s="89">
        <v>4</v>
      </c>
      <c r="D229" s="126" t="s">
        <v>473</v>
      </c>
      <c r="E229" s="126"/>
      <c r="F229" s="126"/>
    </row>
    <row r="230" spans="1:6" x14ac:dyDescent="0.2">
      <c r="A230" s="89"/>
      <c r="B230" s="89"/>
      <c r="C230" s="89">
        <v>5</v>
      </c>
      <c r="D230" s="126" t="s">
        <v>474</v>
      </c>
    </row>
    <row r="231" spans="1:6" x14ac:dyDescent="0.2">
      <c r="A231" s="89"/>
      <c r="B231" s="89"/>
      <c r="C231" s="89">
        <v>6</v>
      </c>
      <c r="D231" s="126" t="s">
        <v>475</v>
      </c>
      <c r="E231" s="126"/>
      <c r="F231" s="126"/>
    </row>
    <row r="232" spans="1:6" x14ac:dyDescent="0.2">
      <c r="A232" s="89"/>
      <c r="B232" s="126"/>
      <c r="C232" s="89"/>
      <c r="D232" s="126"/>
      <c r="E232" s="126"/>
      <c r="F232" s="126"/>
    </row>
    <row r="233" spans="1:6" x14ac:dyDescent="0.2">
      <c r="A233" s="89">
        <v>3</v>
      </c>
      <c r="B233" s="126" t="s">
        <v>497</v>
      </c>
      <c r="C233" s="89">
        <v>7</v>
      </c>
      <c r="D233" s="126" t="s">
        <v>476</v>
      </c>
      <c r="E233" s="126"/>
      <c r="F233" s="126"/>
    </row>
    <row r="234" spans="1:6" x14ac:dyDescent="0.2">
      <c r="A234" s="89"/>
      <c r="B234" s="89"/>
      <c r="C234" s="89">
        <v>8</v>
      </c>
      <c r="D234" s="126" t="s">
        <v>477</v>
      </c>
    </row>
    <row r="235" spans="1:6" x14ac:dyDescent="0.2">
      <c r="A235" s="89"/>
      <c r="B235" s="89"/>
      <c r="C235" s="89">
        <v>9</v>
      </c>
      <c r="D235" s="126" t="s">
        <v>478</v>
      </c>
      <c r="E235" s="126"/>
      <c r="F235" s="126"/>
    </row>
    <row r="236" spans="1:6" x14ac:dyDescent="0.2">
      <c r="A236" s="89"/>
      <c r="B236" s="89"/>
      <c r="C236" s="89">
        <v>10</v>
      </c>
      <c r="D236" s="126" t="s">
        <v>479</v>
      </c>
      <c r="E236" s="126"/>
      <c r="F236" s="126"/>
    </row>
    <row r="237" spans="1:6" x14ac:dyDescent="0.2">
      <c r="A237" s="89"/>
      <c r="B237" s="89"/>
      <c r="C237" s="89">
        <v>11</v>
      </c>
      <c r="D237" s="126" t="s">
        <v>480</v>
      </c>
      <c r="E237" s="126"/>
      <c r="F237" s="126"/>
    </row>
    <row r="238" spans="1:6" x14ac:dyDescent="0.2">
      <c r="A238" s="89"/>
      <c r="B238" s="89"/>
      <c r="C238" s="89"/>
      <c r="D238" s="126"/>
    </row>
    <row r="239" spans="1:6" x14ac:dyDescent="0.2">
      <c r="A239" s="89">
        <v>4</v>
      </c>
      <c r="B239" s="126" t="s">
        <v>498</v>
      </c>
      <c r="C239" s="89">
        <v>12</v>
      </c>
      <c r="D239" s="126" t="s">
        <v>481</v>
      </c>
      <c r="E239" s="126"/>
      <c r="F239" s="126"/>
    </row>
    <row r="240" spans="1:6" x14ac:dyDescent="0.2">
      <c r="A240" s="89"/>
      <c r="B240" s="89"/>
      <c r="C240" s="89">
        <v>13</v>
      </c>
      <c r="D240" s="126" t="s">
        <v>482</v>
      </c>
      <c r="E240" s="126"/>
      <c r="F240" s="126"/>
    </row>
    <row r="241" spans="1:6" x14ac:dyDescent="0.2">
      <c r="A241" s="89"/>
      <c r="B241" s="89"/>
      <c r="C241" s="89"/>
      <c r="D241"/>
      <c r="E241" s="126"/>
      <c r="F241" s="126"/>
    </row>
    <row r="242" spans="1:6" x14ac:dyDescent="0.2">
      <c r="A242" s="89">
        <v>5</v>
      </c>
      <c r="B242" s="126" t="s">
        <v>330</v>
      </c>
      <c r="C242" s="89">
        <v>14</v>
      </c>
      <c r="D242" s="126" t="s">
        <v>483</v>
      </c>
    </row>
    <row r="243" spans="1:6" x14ac:dyDescent="0.2">
      <c r="A243" s="89"/>
      <c r="B243" s="89"/>
      <c r="C243" s="89">
        <v>15</v>
      </c>
      <c r="D243" s="126" t="s">
        <v>484</v>
      </c>
      <c r="E243" s="126"/>
      <c r="F243" s="126"/>
    </row>
    <row r="244" spans="1:6" x14ac:dyDescent="0.2">
      <c r="A244" s="89"/>
      <c r="B244" s="89"/>
      <c r="C244" s="89">
        <v>16</v>
      </c>
      <c r="D244" s="126" t="s">
        <v>485</v>
      </c>
    </row>
    <row r="245" spans="1:6" x14ac:dyDescent="0.2">
      <c r="A245" s="89"/>
      <c r="B245" s="89"/>
      <c r="C245" s="89">
        <v>17</v>
      </c>
      <c r="D245" s="126" t="s">
        <v>486</v>
      </c>
      <c r="E245" s="126"/>
      <c r="F245" s="126"/>
    </row>
    <row r="246" spans="1:6" x14ac:dyDescent="0.2">
      <c r="A246" s="89"/>
      <c r="B246" s="89"/>
      <c r="C246" s="89"/>
      <c r="D246"/>
      <c r="E246" s="126"/>
      <c r="F246" s="126"/>
    </row>
    <row r="247" spans="1:6" x14ac:dyDescent="0.2">
      <c r="A247" s="89">
        <v>6</v>
      </c>
      <c r="B247" s="126" t="s">
        <v>499</v>
      </c>
      <c r="C247" s="89">
        <v>18</v>
      </c>
      <c r="D247" s="126" t="s">
        <v>487</v>
      </c>
      <c r="E247" s="126"/>
      <c r="F247" s="126"/>
    </row>
    <row r="248" spans="1:6" x14ac:dyDescent="0.2">
      <c r="A248" s="89"/>
      <c r="B248" s="89"/>
      <c r="C248" s="89">
        <v>19</v>
      </c>
      <c r="D248" s="126" t="s">
        <v>488</v>
      </c>
      <c r="E248" s="126"/>
      <c r="F248" s="126"/>
    </row>
    <row r="249" spans="1:6" x14ac:dyDescent="0.2">
      <c r="A249" s="89"/>
      <c r="B249" s="89"/>
      <c r="C249" s="89">
        <v>20</v>
      </c>
      <c r="D249" s="126" t="s">
        <v>489</v>
      </c>
      <c r="E249" s="126"/>
      <c r="F249" s="126"/>
    </row>
    <row r="250" spans="1:6" x14ac:dyDescent="0.2">
      <c r="A250" s="89"/>
      <c r="B250" s="89"/>
      <c r="C250" s="89"/>
      <c r="D250" s="89"/>
      <c r="E250" s="126"/>
      <c r="F250" s="126"/>
    </row>
    <row r="251" spans="1:6" x14ac:dyDescent="0.2">
      <c r="A251" s="89">
        <v>7</v>
      </c>
      <c r="B251" s="126" t="s">
        <v>500</v>
      </c>
      <c r="C251" s="89">
        <v>21</v>
      </c>
      <c r="D251" s="126" t="s">
        <v>490</v>
      </c>
      <c r="E251" s="126"/>
      <c r="F251" s="126"/>
    </row>
    <row r="252" spans="1:6" x14ac:dyDescent="0.2">
      <c r="A252" s="89"/>
      <c r="B252" s="89"/>
      <c r="C252" s="89">
        <v>22</v>
      </c>
      <c r="D252" s="126" t="s">
        <v>491</v>
      </c>
    </row>
    <row r="253" spans="1:6" x14ac:dyDescent="0.2">
      <c r="A253" s="89"/>
      <c r="B253" s="89"/>
      <c r="C253" s="89"/>
      <c r="D253" s="126"/>
      <c r="E253" s="126"/>
      <c r="F253" s="126"/>
    </row>
    <row r="254" spans="1:6" x14ac:dyDescent="0.2">
      <c r="A254" s="89">
        <v>8</v>
      </c>
      <c r="B254" s="126" t="s">
        <v>331</v>
      </c>
      <c r="C254" s="89">
        <v>23</v>
      </c>
      <c r="D254" s="126" t="s">
        <v>492</v>
      </c>
      <c r="E254" s="126"/>
      <c r="F254" s="126"/>
    </row>
    <row r="255" spans="1:6" ht="12" customHeight="1" x14ac:dyDescent="0.2">
      <c r="A255" s="89"/>
      <c r="B255" s="89"/>
      <c r="C255" s="89">
        <v>24</v>
      </c>
      <c r="D255" s="126" t="s">
        <v>493</v>
      </c>
      <c r="E255" s="126"/>
      <c r="F255" s="126"/>
    </row>
    <row r="256" spans="1:6" x14ac:dyDescent="0.2">
      <c r="A256" s="89"/>
      <c r="B256" s="89"/>
      <c r="C256" s="89"/>
      <c r="D256" s="89"/>
      <c r="E256" s="126"/>
      <c r="F256" s="126"/>
    </row>
    <row r="257" spans="1:6" x14ac:dyDescent="0.2">
      <c r="A257" s="89">
        <v>9</v>
      </c>
      <c r="B257" s="126" t="s">
        <v>9</v>
      </c>
      <c r="C257" s="89">
        <v>25</v>
      </c>
      <c r="D257" s="126" t="s">
        <v>494</v>
      </c>
      <c r="E257" s="126"/>
      <c r="F257" s="126"/>
    </row>
    <row r="258" spans="1:6" x14ac:dyDescent="0.2">
      <c r="A258" s="89"/>
      <c r="B258" s="89"/>
      <c r="C258" s="89">
        <v>26</v>
      </c>
      <c r="D258" t="s">
        <v>495</v>
      </c>
      <c r="E258" s="126"/>
      <c r="F258" s="126"/>
    </row>
    <row r="259" spans="1:6" x14ac:dyDescent="0.2">
      <c r="A259" s="89"/>
      <c r="B259"/>
      <c r="C259" s="89"/>
      <c r="D259"/>
      <c r="E259" s="126"/>
      <c r="F259" s="126"/>
    </row>
    <row r="260" spans="1:6" x14ac:dyDescent="0.2">
      <c r="A260" s="15" t="s">
        <v>358</v>
      </c>
      <c r="B260" s="89"/>
      <c r="C260" s="89"/>
      <c r="D260"/>
    </row>
    <row r="261" spans="1:6" x14ac:dyDescent="0.2">
      <c r="A261" s="89"/>
      <c r="B261" s="89"/>
      <c r="C261" s="89"/>
      <c r="D261"/>
    </row>
    <row r="262" spans="1:6" x14ac:dyDescent="0.2">
      <c r="B262" s="89" t="s">
        <v>360</v>
      </c>
      <c r="D262" s="89" t="s">
        <v>359</v>
      </c>
    </row>
    <row r="264" spans="1:6" x14ac:dyDescent="0.2">
      <c r="A264" s="14">
        <v>1</v>
      </c>
      <c r="B264" s="126" t="s">
        <v>443</v>
      </c>
      <c r="C264" s="14">
        <v>1</v>
      </c>
      <c r="D264" s="126" t="s">
        <v>442</v>
      </c>
    </row>
    <row r="265" spans="1:6" x14ac:dyDescent="0.2">
      <c r="C265" s="14">
        <v>2</v>
      </c>
      <c r="D265" s="126" t="s">
        <v>444</v>
      </c>
      <c r="E265" s="126"/>
      <c r="F265" s="126"/>
    </row>
    <row r="266" spans="1:6" x14ac:dyDescent="0.2">
      <c r="E266" s="126"/>
      <c r="F266" s="126"/>
    </row>
    <row r="267" spans="1:6" x14ac:dyDescent="0.2">
      <c r="A267" s="14">
        <v>2</v>
      </c>
      <c r="B267" s="126" t="s">
        <v>445</v>
      </c>
      <c r="C267" s="14">
        <v>3</v>
      </c>
      <c r="D267" s="126" t="s">
        <v>446</v>
      </c>
      <c r="E267" s="126"/>
      <c r="F267" s="126"/>
    </row>
    <row r="268" spans="1:6" x14ac:dyDescent="0.2">
      <c r="C268" s="14">
        <v>4</v>
      </c>
      <c r="D268" s="126" t="s">
        <v>448</v>
      </c>
    </row>
    <row r="269" spans="1:6" x14ac:dyDescent="0.2">
      <c r="C269" s="14">
        <v>5</v>
      </c>
      <c r="D269" s="126" t="s">
        <v>450</v>
      </c>
    </row>
    <row r="271" spans="1:6" x14ac:dyDescent="0.2">
      <c r="A271" s="14">
        <v>3</v>
      </c>
      <c r="B271" s="126" t="s">
        <v>447</v>
      </c>
      <c r="C271" s="14">
        <v>6</v>
      </c>
      <c r="D271" s="126" t="s">
        <v>447</v>
      </c>
    </row>
    <row r="273" spans="1:4" x14ac:dyDescent="0.2">
      <c r="A273" s="14">
        <v>4</v>
      </c>
      <c r="B273" s="126" t="s">
        <v>449</v>
      </c>
      <c r="C273" s="14">
        <v>7</v>
      </c>
      <c r="D273" s="126" t="s">
        <v>449</v>
      </c>
    </row>
    <row r="275" spans="1:4" x14ac:dyDescent="0.2">
      <c r="A275" s="14">
        <v>5</v>
      </c>
      <c r="B275" s="126" t="s">
        <v>451</v>
      </c>
      <c r="C275" s="14">
        <v>8</v>
      </c>
      <c r="D275" s="126" t="s">
        <v>451</v>
      </c>
    </row>
    <row r="277" spans="1:4" x14ac:dyDescent="0.2">
      <c r="A277" s="14">
        <v>6</v>
      </c>
      <c r="B277" s="126" t="s">
        <v>333</v>
      </c>
      <c r="C277" s="14">
        <v>9</v>
      </c>
      <c r="D277" s="126" t="s">
        <v>333</v>
      </c>
    </row>
  </sheetData>
  <phoneticPr fontId="4" type="noConversion"/>
  <pageMargins left="0.35433070866141736" right="0.35433070866141736" top="0.78740157480314965" bottom="0.59055118110236227" header="0.51181102362204722" footer="0.51181102362204722"/>
  <pageSetup paperSize="9" scale="74" fitToHeight="0" orientation="portrait" r:id="rId1"/>
  <headerFooter alignWithMargins="0"/>
  <rowBreaks count="5" manualBreakCount="5">
    <brk id="45" max="16383" man="1"/>
    <brk id="100" max="16383" man="1"/>
    <brk id="138" max="16383" man="1"/>
    <brk id="185" max="16383" man="1"/>
    <brk id="258" max="16383" man="1"/>
  </rowBreaks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61ED900E45533240984673D798A9AA08" ma:contentTypeVersion="16" ma:contentTypeDescription="Create a new document." ma:contentTypeScope="" ma:versionID="b34f5c9dd34a4bac27ce1c192defbbad">
  <xsd:schema xmlns:xsd="http://www.w3.org/2001/XMLSchema" xmlns:xs="http://www.w3.org/2001/XMLSchema" xmlns:p="http://schemas.microsoft.com/office/2006/metadata/properties" xmlns:ns2="591b7eeb-5105-4999-94f6-a746eb4c6310" xmlns:ns3="22f0be0a-36a8-4d1a-945f-e8a2e9519595" xmlns:ns4="8c566321-f672-4e06-a901-b5e72b4c4357" targetNamespace="http://schemas.microsoft.com/office/2006/metadata/properties" ma:root="true" ma:fieldsID="5954b999f508fe67fa54cfd672f1adfe" ns2:_="" ns3:_="" ns4:_="">
    <xsd:import namespace="591b7eeb-5105-4999-94f6-a746eb4c6310"/>
    <xsd:import namespace="22f0be0a-36a8-4d1a-945f-e8a2e9519595"/>
    <xsd:import namespace="8c566321-f672-4e06-a901-b5e72b4c4357"/>
    <xsd:element name="properties">
      <xsd:complexType>
        <xsd:sequence>
          <xsd:element name="documentManagement">
            <xsd:complexType>
              <xsd:all>
                <xsd:element ref="ns2:MediaServiceMetadata" minOccurs="0"/>
                <xsd:element ref="ns2:MediaServiceFastMetadata" minOccurs="0"/>
                <xsd:element ref="ns3:SharedWithUsers" minOccurs="0"/>
                <xsd:element ref="ns3:SharedWithDetails" minOccurs="0"/>
                <xsd:element ref="ns2:MediaServiceAutoKeyPoints" minOccurs="0"/>
                <xsd:element ref="ns2:MediaServiceKeyPoints" minOccurs="0"/>
                <xsd:element ref="ns2:MediaServiceAutoTags" minOccurs="0"/>
                <xsd:element ref="ns2:MediaServiceOCR" minOccurs="0"/>
                <xsd:element ref="ns2:MediaServiceGenerationTime" minOccurs="0"/>
                <xsd:element ref="ns2:MediaServiceEventHashCode" minOccurs="0"/>
                <xsd:element ref="ns2:lcf76f155ced4ddcb4097134ff3c332f" minOccurs="0"/>
                <xsd:element ref="ns4:TaxCatchAll" minOccurs="0"/>
                <xsd:element ref="ns2:MediaServiceDateTaken" minOccurs="0"/>
                <xsd:element ref="ns2:MediaLengthInSeconds" minOccurs="0"/>
                <xsd:element ref="ns2:MediaServiceLocation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591b7eeb-5105-4999-94f6-a746eb4c6310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AutoKeyPoints" ma:index="12" nillable="true" ma:displayName="MediaServiceAutoKeyPoints" ma:hidden="true" ma:internalName="MediaServiceAutoKeyPoints" ma:readOnly="true">
      <xsd:simpleType>
        <xsd:restriction base="dms:Note"/>
      </xsd:simpleType>
    </xsd:element>
    <xsd:element name="MediaServiceKeyPoints" ma:index="13" nillable="true" ma:displayName="KeyPoints" ma:internalName="MediaServiceKeyPoints" ma:readOnly="true">
      <xsd:simpleType>
        <xsd:restriction base="dms:Note">
          <xsd:maxLength value="255"/>
        </xsd:restriction>
      </xsd:simpleType>
    </xsd:element>
    <xsd:element name="MediaServiceAutoTags" ma:index="14" nillable="true" ma:displayName="Tags" ma:internalName="MediaServiceAutoTags" ma:readOnly="true">
      <xsd:simpleType>
        <xsd:restriction base="dms:Text"/>
      </xsd:simpleType>
    </xsd:element>
    <xsd:element name="MediaServiceOCR" ma:index="15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  <xsd:element name="MediaServiceGenerationTime" ma:index="16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7" nillable="true" ma:displayName="MediaServiceEventHashCode" ma:hidden="true" ma:internalName="MediaServiceEventHashCode" ma:readOnly="true">
      <xsd:simpleType>
        <xsd:restriction base="dms:Text"/>
      </xsd:simpleType>
    </xsd:element>
    <xsd:element name="lcf76f155ced4ddcb4097134ff3c332f" ma:index="19" nillable="true" ma:taxonomy="true" ma:internalName="lcf76f155ced4ddcb4097134ff3c332f" ma:taxonomyFieldName="MediaServiceImageTags" ma:displayName="Image Tags" ma:readOnly="false" ma:fieldId="{5cf76f15-5ced-4ddc-b409-7134ff3c332f}" ma:taxonomyMulti="true" ma:sspId="ec07c698-60f5-424f-b9af-f4c59398b511" ma:termSetId="09814cd3-568e-fe90-9814-8d621ff8fb84" ma:anchorId="fba54fb3-c3e1-fe81-a776-ca4b69148c4d" ma:open="true" ma:isKeyword="false">
      <xsd:complexType>
        <xsd:sequence>
          <xsd:element ref="pc:Terms" minOccurs="0" maxOccurs="1"/>
        </xsd:sequence>
      </xsd:complexType>
    </xsd:element>
    <xsd:element name="MediaServiceDateTaken" ma:index="21" nillable="true" ma:displayName="MediaServiceDateTaken" ma:hidden="true" ma:internalName="MediaServiceDateTaken" ma:readOnly="true">
      <xsd:simpleType>
        <xsd:restriction base="dms:Text"/>
      </xsd:simpleType>
    </xsd:element>
    <xsd:element name="MediaLengthInSeconds" ma:index="22" nillable="true" ma:displayName="MediaLengthInSeconds" ma:hidden="true" ma:internalName="MediaLengthInSeconds" ma:readOnly="true">
      <xsd:simpleType>
        <xsd:restriction base="dms:Unknown"/>
      </xsd:simpleType>
    </xsd:element>
    <xsd:element name="MediaServiceLocation" ma:index="23" nillable="true" ma:displayName="Location" ma:indexed="true" ma:internalName="MediaServiceLocation" ma:readOnly="true">
      <xsd:simpleType>
        <xsd:restriction base="dms:Text"/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22f0be0a-36a8-4d1a-945f-e8a2e9519595" elementFormDefault="qualified">
    <xsd:import namespace="http://schemas.microsoft.com/office/2006/documentManagement/types"/>
    <xsd:import namespace="http://schemas.microsoft.com/office/infopath/2007/PartnerControls"/>
    <xsd:element name="SharedWithUsers" ma:index="10" nillable="true" ma:displayName="Shared With" ma:internalName="SharedWithUsers" ma:readOnly="true">
      <xsd:complexType>
        <xsd:complexContent>
          <xsd:extension base="dms:UserMulti">
            <xsd:sequence>
              <xsd:element name="UserInfo" minOccurs="0" maxOccurs="unbounded">
                <xsd:complexType>
                  <xsd:sequence>
                    <xsd:element name="DisplayName" type="xsd:string" minOccurs="0"/>
                    <xsd:element name="AccountId" type="dms:UserId" minOccurs="0" nillable="true"/>
                    <xsd:element name="AccountType" type="xsd:string" minOccurs="0"/>
                  </xsd:sequence>
                </xsd:complexType>
              </xsd:element>
            </xsd:sequence>
          </xsd:extension>
        </xsd:complexContent>
      </xsd:complexType>
    </xsd:element>
    <xsd:element name="SharedWithDetails" ma:index="11" nillable="true" ma:displayName="Shared With Details" ma:internalName="SharedWithDetails" ma:readOnly="true">
      <xsd:simpleType>
        <xsd:restriction base="dms:Note">
          <xsd:maxLength value="255"/>
        </xsd:restriction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8c566321-f672-4e06-a901-b5e72b4c4357" elementFormDefault="qualified">
    <xsd:import namespace="http://schemas.microsoft.com/office/2006/documentManagement/types"/>
    <xsd:import namespace="http://schemas.microsoft.com/office/infopath/2007/PartnerControls"/>
    <xsd:element name="TaxCatchAll" ma:index="20" nillable="true" ma:displayName="Taxonomy Catch All Column" ma:hidden="true" ma:list="{a6fc1f59-704c-443d-8adf-ed44e3904037}" ma:internalName="TaxCatchAll" ma:showField="CatchAllData" ma:web="22f0be0a-36a8-4d1a-945f-e8a2e9519595">
      <xsd:complexType>
        <xsd:complexContent>
          <xsd:extension base="dms:MultiChoiceLookup">
            <xsd:sequence>
              <xsd:element name="Value" type="dms:Lookup" maxOccurs="unbounded" minOccurs="0" nillable="true"/>
            </xsd:sequence>
          </xsd:extension>
        </xsd:complexContent>
      </xsd:complex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2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3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TaxCatchAll xmlns="8c566321-f672-4e06-a901-b5e72b4c4357" xsi:nil="true"/>
    <lcf76f155ced4ddcb4097134ff3c332f xmlns="591b7eeb-5105-4999-94f6-a746eb4c6310">
      <Terms xmlns="http://schemas.microsoft.com/office/infopath/2007/PartnerControls"/>
    </lcf76f155ced4ddcb4097134ff3c332f>
  </documentManagement>
</p:properties>
</file>

<file path=customXml/itemProps1.xml><?xml version="1.0" encoding="utf-8"?>
<ds:datastoreItem xmlns:ds="http://schemas.openxmlformats.org/officeDocument/2006/customXml" ds:itemID="{4463E558-8D3A-48AA-82C3-B64761F2CEF2}"/>
</file>

<file path=customXml/itemProps2.xml><?xml version="1.0" encoding="utf-8"?>
<ds:datastoreItem xmlns:ds="http://schemas.openxmlformats.org/officeDocument/2006/customXml" ds:itemID="{2F30AFA9-C8E0-46C8-823D-061D1CDEDF8D}"/>
</file>

<file path=customXml/itemProps3.xml><?xml version="1.0" encoding="utf-8"?>
<ds:datastoreItem xmlns:ds="http://schemas.openxmlformats.org/officeDocument/2006/customXml" ds:itemID="{E226A240-87B7-44A8-9A72-CBB9BAFDFFBD}"/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35</vt:i4>
      </vt:variant>
      <vt:variant>
        <vt:lpstr>Named Ranges</vt:lpstr>
      </vt:variant>
      <vt:variant>
        <vt:i4>31</vt:i4>
      </vt:variant>
    </vt:vector>
  </HeadingPairs>
  <TitlesOfParts>
    <vt:vector size="66" baseType="lpstr">
      <vt:lpstr>Stored</vt:lpstr>
      <vt:lpstr>Warning</vt:lpstr>
      <vt:lpstr>Info</vt:lpstr>
      <vt:lpstr>Manager</vt:lpstr>
      <vt:lpstr>Contents</vt:lpstr>
      <vt:lpstr>Ind T1</vt:lpstr>
      <vt:lpstr>Ind T2</vt:lpstr>
      <vt:lpstr>Ind T4</vt:lpstr>
      <vt:lpstr>Ind T5</vt:lpstr>
      <vt:lpstr>Ind T6</vt:lpstr>
      <vt:lpstr>Ind F1</vt:lpstr>
      <vt:lpstr>Ind F2</vt:lpstr>
      <vt:lpstr>Ind Occ T1</vt:lpstr>
      <vt:lpstr>Ind Occ T2</vt:lpstr>
      <vt:lpstr>Occ T1</vt:lpstr>
      <vt:lpstr>Occ T2</vt:lpstr>
      <vt:lpstr>Occ T3</vt:lpstr>
      <vt:lpstr>Occ T4</vt:lpstr>
      <vt:lpstr>Occ T5</vt:lpstr>
      <vt:lpstr>Occ F1</vt:lpstr>
      <vt:lpstr>Occ F2</vt:lpstr>
      <vt:lpstr>Occ F3</vt:lpstr>
      <vt:lpstr>Occ F4</vt:lpstr>
      <vt:lpstr>Occ F5</vt:lpstr>
      <vt:lpstr>Qual T1</vt:lpstr>
      <vt:lpstr>Qual F1</vt:lpstr>
      <vt:lpstr>ShiftShare T1</vt:lpstr>
      <vt:lpstr>RD T1</vt:lpstr>
      <vt:lpstr>RD F1</vt:lpstr>
      <vt:lpstr>Basic T1</vt:lpstr>
      <vt:lpstr>Basic T2</vt:lpstr>
      <vt:lpstr>Basic T3</vt:lpstr>
      <vt:lpstr>name</vt:lpstr>
      <vt:lpstr>aggregation</vt:lpstr>
      <vt:lpstr>AggregationTables</vt:lpstr>
      <vt:lpstr>'Basic T1'!Print_Area</vt:lpstr>
      <vt:lpstr>'Basic T2'!Print_Area</vt:lpstr>
      <vt:lpstr>'Basic T3'!Print_Area</vt:lpstr>
      <vt:lpstr>BasicTable5!Print_Area</vt:lpstr>
      <vt:lpstr>'Ind F1'!Print_Area</vt:lpstr>
      <vt:lpstr>'Ind F2'!Print_Area</vt:lpstr>
      <vt:lpstr>'Ind Occ T1'!Print_Area</vt:lpstr>
      <vt:lpstr>'Ind Occ T2'!Print_Area</vt:lpstr>
      <vt:lpstr>'Ind T1'!Print_Area</vt:lpstr>
      <vt:lpstr>'Ind T2'!Print_Area</vt:lpstr>
      <vt:lpstr>'Ind T4'!Print_Area</vt:lpstr>
      <vt:lpstr>'Ind T5'!Print_Area</vt:lpstr>
      <vt:lpstr>'Ind T6'!Print_Area</vt:lpstr>
      <vt:lpstr>Manager!Print_Area</vt:lpstr>
      <vt:lpstr>'Occ F1'!Print_Area</vt:lpstr>
      <vt:lpstr>'Occ F2'!Print_Area</vt:lpstr>
      <vt:lpstr>'Occ F3'!Print_Area</vt:lpstr>
      <vt:lpstr>'Occ F4'!Print_Area</vt:lpstr>
      <vt:lpstr>'Occ F5'!Print_Area</vt:lpstr>
      <vt:lpstr>'Occ T1'!Print_Area</vt:lpstr>
      <vt:lpstr>'Occ T2'!Print_Area</vt:lpstr>
      <vt:lpstr>'Occ T3'!Print_Area</vt:lpstr>
      <vt:lpstr>'Occ T4'!Print_Area</vt:lpstr>
      <vt:lpstr>'Occ T5'!Print_Area</vt:lpstr>
      <vt:lpstr>'Qual F1'!Print_Area</vt:lpstr>
      <vt:lpstr>'Qual T1'!Print_Area</vt:lpstr>
      <vt:lpstr>'RD F1'!Print_Area</vt:lpstr>
      <vt:lpstr>'RD T1'!Print_Area</vt:lpstr>
      <vt:lpstr>'ShiftShare T1'!Print_Area</vt:lpstr>
      <vt:lpstr>'Basic T3'!Print_Titles</vt:lpstr>
      <vt:lpstr>SummaryTable12!Print_Titles</vt:lpstr>
    </vt:vector>
  </TitlesOfParts>
  <Company>University of Warwick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IT Services</dc:creator>
  <cp:lastModifiedBy>Day, Rosie</cp:lastModifiedBy>
  <cp:lastPrinted>2022-11-08T11:16:28Z</cp:lastPrinted>
  <dcterms:created xsi:type="dcterms:W3CDTF">2006-08-30T09:48:05Z</dcterms:created>
  <dcterms:modified xsi:type="dcterms:W3CDTF">2023-03-09T10:28:06Z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0x01010061ED900E45533240984673D798A9AA08</vt:lpwstr>
  </property>
</Properties>
</file>